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New Emails\09192019\"/>
    </mc:Choice>
  </mc:AlternateContent>
  <xr:revisionPtr revIDLastSave="0" documentId="8_{7EFD85B8-8780-4152-B6C3-FA57B7EB941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 i="3" l="1"/>
  <c r="C9" i="4" l="1"/>
  <c r="E6" i="7" l="1"/>
  <c r="I75" i="4"/>
  <c r="I4" i="3"/>
  <c r="G39" i="3"/>
  <c r="D268" i="29"/>
  <c r="D266" i="29"/>
  <c r="D264" i="29"/>
  <c r="D259" i="29"/>
  <c r="D246" i="29"/>
  <c r="D245" i="29"/>
  <c r="D241" i="29"/>
  <c r="D234" i="29"/>
  <c r="D233" i="29"/>
  <c r="D223" i="29"/>
  <c r="D219" i="29"/>
  <c r="D217" i="29"/>
  <c r="D215" i="29"/>
  <c r="E182" i="29"/>
  <c r="H170" i="29"/>
  <c r="H169" i="29"/>
  <c r="F124" i="29"/>
  <c r="D4" i="3"/>
  <c r="C39" i="3"/>
  <c r="C49" i="29"/>
  <c r="H55" i="29"/>
  <c r="C55" i="29"/>
  <c r="C50" i="29"/>
  <c r="E49" i="29"/>
  <c r="C4" i="3" l="1"/>
  <c r="F137" i="181" l="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6" i="181"/>
  <c r="E136" i="181"/>
  <c r="G135" i="181"/>
  <c r="E135" i="181"/>
  <c r="G134" i="181"/>
  <c r="E134" i="181"/>
  <c r="G133" i="181"/>
  <c r="E133" i="181"/>
  <c r="G132" i="181"/>
  <c r="E132" i="181"/>
  <c r="G131" i="181"/>
  <c r="E131" i="181"/>
  <c r="G130" i="181"/>
  <c r="E130" i="181"/>
  <c r="E129" i="181"/>
  <c r="G129" i="181" s="1"/>
  <c r="G128" i="181"/>
  <c r="E128" i="181"/>
  <c r="G127" i="181"/>
  <c r="E127" i="181"/>
  <c r="G126" i="181"/>
  <c r="E126" i="181"/>
  <c r="G125" i="181"/>
  <c r="E125" i="181"/>
  <c r="E124" i="181"/>
  <c r="G124" i="181" s="1"/>
  <c r="G123" i="181"/>
  <c r="E123" i="181"/>
  <c r="G122" i="181"/>
  <c r="E122" i="181"/>
  <c r="G121" i="181"/>
  <c r="E121" i="181"/>
  <c r="E120" i="181"/>
  <c r="G120" i="181" s="1"/>
  <c r="G119" i="181"/>
  <c r="E119" i="181"/>
  <c r="G118" i="181"/>
  <c r="E118" i="181"/>
  <c r="G117" i="181"/>
  <c r="E117" i="181"/>
  <c r="G116" i="181"/>
  <c r="E116" i="181"/>
  <c r="G115" i="181"/>
  <c r="E115" i="181"/>
  <c r="G114" i="181"/>
  <c r="E114" i="181"/>
  <c r="G113" i="181"/>
  <c r="E113" i="181"/>
  <c r="G112" i="181"/>
  <c r="E112" i="181"/>
  <c r="E111" i="181"/>
  <c r="G111" i="181" s="1"/>
  <c r="G110" i="181"/>
  <c r="E110" i="181"/>
  <c r="G109" i="181"/>
  <c r="E109" i="181"/>
  <c r="G108" i="181"/>
  <c r="E108" i="181"/>
  <c r="E107" i="181"/>
  <c r="G107" i="181" s="1"/>
  <c r="G106" i="181"/>
  <c r="E106" i="181"/>
  <c r="G105" i="181"/>
  <c r="E105" i="181"/>
  <c r="G104" i="181"/>
  <c r="E104" i="181"/>
  <c r="G103" i="181"/>
  <c r="E103" i="181"/>
  <c r="G102" i="181"/>
  <c r="E102" i="181"/>
  <c r="G101" i="181"/>
  <c r="E101" i="181"/>
  <c r="G96" i="181"/>
  <c r="E96" i="181"/>
  <c r="G100" i="181"/>
  <c r="E100" i="181"/>
  <c r="E99" i="181"/>
  <c r="G99" i="181" s="1"/>
  <c r="G98" i="181"/>
  <c r="E98" i="181"/>
  <c r="E97" i="181"/>
  <c r="G97" i="181" s="1"/>
  <c r="G95" i="181"/>
  <c r="E95" i="181"/>
  <c r="E94" i="181"/>
  <c r="G94" i="181" s="1"/>
  <c r="G93" i="181"/>
  <c r="E93" i="181"/>
  <c r="E92" i="181"/>
  <c r="G92" i="181" s="1"/>
  <c r="G90" i="181"/>
  <c r="E90" i="181"/>
  <c r="G89" i="181"/>
  <c r="E89" i="181"/>
  <c r="E88" i="181"/>
  <c r="G88" i="181" s="1"/>
  <c r="G87" i="181"/>
  <c r="E87" i="181"/>
  <c r="G86" i="181"/>
  <c r="E86" i="181"/>
  <c r="E85" i="181"/>
  <c r="G85" i="181" s="1"/>
  <c r="G84" i="181"/>
  <c r="E84" i="181"/>
  <c r="E83" i="181"/>
  <c r="G83" i="181" s="1"/>
  <c r="G81" i="181"/>
  <c r="E81" i="181"/>
  <c r="G80" i="181"/>
  <c r="E80" i="181"/>
  <c r="G79" i="181"/>
  <c r="E79" i="181"/>
  <c r="G78" i="181"/>
  <c r="E78" i="181"/>
  <c r="G77" i="181"/>
  <c r="E77" i="181"/>
  <c r="G76" i="181"/>
  <c r="E76" i="181"/>
  <c r="G75" i="181"/>
  <c r="E75" i="181"/>
  <c r="G74" i="181"/>
  <c r="E74" i="181"/>
  <c r="G73" i="181"/>
  <c r="E73" i="181"/>
  <c r="E72" i="181"/>
  <c r="G72" i="181" s="1"/>
  <c r="G71" i="181"/>
  <c r="E71" i="181"/>
  <c r="G70" i="181"/>
  <c r="E70" i="181"/>
  <c r="G137" i="181"/>
  <c r="E137" i="181"/>
  <c r="G91" i="181"/>
  <c r="E91" i="181"/>
  <c r="G82" i="181"/>
  <c r="E82" i="181"/>
  <c r="E69" i="181"/>
  <c r="G69" i="181" s="1"/>
  <c r="G68" i="181"/>
  <c r="E68" i="181"/>
  <c r="G67" i="181"/>
  <c r="E67" i="181"/>
  <c r="G66" i="181"/>
  <c r="E66" i="181"/>
  <c r="G65" i="181"/>
  <c r="E65" i="181"/>
  <c r="G64" i="181"/>
  <c r="E64" i="181"/>
  <c r="G63" i="181"/>
  <c r="E63" i="181"/>
  <c r="E62" i="181"/>
  <c r="G62" i="181" s="1"/>
  <c r="E61" i="181"/>
  <c r="G61" i="181" s="1"/>
  <c r="G60" i="181"/>
  <c r="E60" i="181"/>
  <c r="G59" i="181"/>
  <c r="E59" i="181"/>
  <c r="G58" i="181"/>
  <c r="E58" i="181"/>
  <c r="E57" i="181"/>
  <c r="G57" i="181" s="1"/>
  <c r="G56" i="181"/>
  <c r="E56" i="181"/>
  <c r="E55" i="181"/>
  <c r="G55" i="181" s="1"/>
  <c r="G54" i="181"/>
  <c r="E54" i="181"/>
  <c r="E53" i="181"/>
  <c r="G53" i="181" s="1"/>
  <c r="G52" i="181"/>
  <c r="E52" i="181"/>
  <c r="E51" i="181"/>
  <c r="G51" i="181" s="1"/>
  <c r="G50" i="181"/>
  <c r="E50" i="181"/>
  <c r="G49" i="181"/>
  <c r="E49" i="181"/>
  <c r="G48" i="181"/>
  <c r="E48" i="181"/>
  <c r="G47" i="181"/>
  <c r="E47" i="181"/>
  <c r="G46" i="181"/>
  <c r="E46" i="181"/>
  <c r="E45" i="181"/>
  <c r="G45" i="181" s="1"/>
  <c r="G44" i="181"/>
  <c r="E44" i="181"/>
  <c r="G43" i="181"/>
  <c r="E43" i="181"/>
  <c r="E42" i="181"/>
  <c r="F42" i="181" s="1"/>
  <c r="G42" i="181" s="1"/>
  <c r="E41" i="181"/>
  <c r="F41" i="181" s="1"/>
  <c r="G41" i="181" s="1"/>
  <c r="E40" i="181"/>
  <c r="E39" i="18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E29" i="181"/>
  <c r="F29" i="181" s="1"/>
  <c r="G29" i="181" s="1"/>
  <c r="E28" i="181"/>
  <c r="F28" i="181" s="1"/>
  <c r="G28" i="181" s="1"/>
  <c r="E27" i="181"/>
  <c r="F27" i="181" s="1"/>
  <c r="G27" i="181" s="1"/>
  <c r="E26" i="181"/>
  <c r="E25" i="181"/>
  <c r="F25" i="181" s="1"/>
  <c r="G25" i="181" s="1"/>
  <c r="E24" i="181"/>
  <c r="E23" i="181"/>
  <c r="F23" i="181" s="1"/>
  <c r="G23" i="181" s="1"/>
  <c r="E22" i="181"/>
  <c r="F22" i="181" s="1"/>
  <c r="G22" i="181" s="1"/>
  <c r="E21" i="181"/>
  <c r="F21" i="181" s="1"/>
  <c r="G21" i="181" s="1"/>
  <c r="E20" i="181"/>
  <c r="F20" i="181" s="1"/>
  <c r="G20" i="181" s="1"/>
  <c r="E19" i="181"/>
  <c r="E18" i="181"/>
  <c r="F40" i="181" l="1"/>
  <c r="G40" i="181" s="1"/>
  <c r="F39" i="181"/>
  <c r="G39" i="181" s="1"/>
  <c r="F30" i="181"/>
  <c r="G30" i="181" s="1"/>
  <c r="F26" i="181"/>
  <c r="G26" i="181" s="1"/>
  <c r="F24" i="181"/>
  <c r="G24" i="181" s="1"/>
  <c r="F19" i="181"/>
  <c r="G19" i="181" s="1"/>
  <c r="F18" i="181"/>
  <c r="G18" i="181" s="1"/>
  <c r="D138" i="181"/>
  <c r="D80" i="36" l="1"/>
  <c r="B7797" i="106"/>
  <c r="E138" i="181"/>
  <c r="E17" i="181"/>
  <c r="F17" i="181" s="1"/>
  <c r="E16" i="181"/>
  <c r="F16" i="181" l="1"/>
  <c r="G16" i="181" s="1"/>
  <c r="G17" i="181"/>
  <c r="G138" i="181" s="1"/>
  <c r="G40" i="108" l="1"/>
  <c r="B7799" i="106"/>
  <c r="F1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E27" i="108"/>
  <c r="G27" i="108"/>
  <c r="E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D54" i="36" l="1"/>
  <c r="D11" i="37"/>
  <c r="E30" i="108"/>
  <c r="D68" i="36"/>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51" i="29" l="1"/>
  <c r="B1226" i="106" s="1"/>
  <c r="D1226" i="106" s="1"/>
  <c r="D44" i="36"/>
  <c r="F41" i="108"/>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<sst xmlns="http://schemas.openxmlformats.org/spreadsheetml/2006/main" count="5092" uniqueCount="2106">
  <si>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</si>
  <si>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</si>
  <si>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</si>
  <si>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</si>
  <si>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</si>
  <si>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</si>
  <si>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</si>
  <si>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</si>
  <si>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</si>
  <si>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</si>
  <si>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</si>
  <si>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</si>
  <si>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</si>
  <si>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</si>
  <si>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</si>
  <si>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</si>
  <si>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</si>
  <si>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</si>
  <si>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</si>
  <si>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</si>
  <si>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</si>
  <si>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</si>
  <si>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</si>
  <si>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</si>
  <si>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</si>
  <si>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</si>
  <si>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</si>
  <si>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</si>
  <si>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</si>
  <si>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</si>
  <si>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</si>
  <si>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</si>
  <si>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</si>
  <si>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</si>
  <si>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</si>
  <si>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</si>
  <si>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</si>
  <si>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</si>
  <si>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</si>
  <si>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</si>
  <si>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</si>
  <si>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</si>
  <si>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</si>
  <si>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</si>
  <si>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</si>
  <si>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</si>
  <si>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</si>
  <si>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</si>
  <si>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</si>
  <si>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</si>
  <si>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</si>
  <si>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</si>
  <si>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</si>
  <si>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</si>
  <si>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</si>
  <si>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</si>
  <si>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</si>
  <si>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</si>
  <si>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</si>
  <si>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</si>
  <si>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</si>
  <si>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</si>
  <si>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</si>
  <si>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</si>
  <si>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</si>
  <si>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</si>
  <si>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</si>
  <si>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</si>
  <si>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</si>
  <si>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</si>
  <si>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</si>
  <si>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</si>
  <si>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</si>
  <si>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</si>
  <si>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</si>
  <si>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</si>
  <si>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</si>
  <si>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</si>
  <si>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</si>
  <si>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</si>
  <si>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</si>
  <si>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</si>
  <si>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</si>
  <si>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</si>
  <si>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</si>
  <si>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</si>
  <si>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</si>
  <si>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</si>
  <si>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</si>
  <si>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</si>
  <si>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</si>
  <si>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</si>
  <si>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</si>
  <si>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</si>
  <si>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</si>
  <si>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</si>
  <si>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</si>
  <si>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</si>
  <si>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</si>
  <si>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</si>
  <si>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</si>
  <si>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</si>
  <si>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</si>
  <si>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</si>
  <si>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</si>
  <si>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</si>
  <si>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</si>
  <si>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</si>
  <si>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</si>
  <si>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</si>
  <si>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</si>
  <si>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</si>
  <si>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</si>
  <si>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</si>
  <si>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</si>
  <si>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</si>
  <si>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</si>
  <si>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</si>
  <si>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</si>
  <si>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</si>
  <si>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</si>
  <si>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</si>
  <si>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</si>
  <si>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</si>
  <si>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</si>
  <si>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</si>
  <si>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</si>
  <si>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</si>
  <si>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</si>
  <si>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</si>
  <si>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</si>
  <si>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</si>
  <si>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</si>
  <si>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</si>
  <si>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</si>
  <si>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</si>
  <si>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</si>
  <si>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</si>
  <si>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</si>
  <si>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</si>
  <si>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</si>
  <si>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</si>
  <si>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</si>
  <si>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</si>
  <si>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</si>
  <si>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</si>
  <si>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</si>
  <si>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</si>
  <si>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</si>
  <si>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</si>
  <si>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</si>
  <si>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</si>
  <si>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</si>
  <si>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</si>
  <si>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</si>
  <si>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</si>
  <si>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</si>
  <si>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</si>
  <si>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</si>
  <si>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</si>
  <si>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</si>
  <si>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</si>
  <si>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</si>
  <si>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</si>
  <si>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</si>
  <si>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</si>
  <si>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</si>
  <si>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</si>
  <si>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</si>
  <si>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</si>
  <si>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</si>
  <si>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</si>
  <si>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</si>
  <si>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</si>
  <si>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</si>
  <si>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</si>
  <si>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</si>
  <si>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</si>
  <si>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</si>
  <si>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</si>
  <si>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</si>
  <si>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</si>
  <si>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</si>
  <si>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</si>
  <si>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</si>
  <si>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</si>
  <si>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</si>
  <si>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</si>
  <si>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</si>
  <si>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</si>
  <si>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</si>
  <si>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</si>
  <si>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</si>
  <si>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</si>
  <si>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</si>
  <si>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</si>
  <si>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</si>
  <si>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</si>
  <si>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</si>
  <si>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</si>
  <si>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</si>
  <si>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</si>
  <si>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</si>
  <si>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</si>
  <si>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</si>
  <si>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</si>
  <si>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</si>
  <si>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</si>
  <si>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</si>
  <si>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</si>
  <si>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</si>
  <si>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</si>
  <si>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</si>
  <si>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</si>
  <si>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</si>
  <si>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</si>
  <si>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</si>
  <si>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</si>
  <si>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</si>
  <si>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</si>
  <si>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</si>
  <si>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</si>
  <si>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</si>
  <si>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</si>
  <si>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</si>
  <si>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</si>
  <si>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</si>
  <si>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</si>
  <si>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</si>
  <si>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</si>
  <si>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</si>
  <si>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</si>
  <si>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</si>
  <si>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</si>
  <si>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</si>
  <si>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</si>
  <si>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</si>
  <si>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</si>
  <si>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</si>
  <si>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</si>
  <si>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</si>
  <si>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</si>
  <si>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</si>
  <si>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</si>
  <si>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</si>
  <si>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</si>
  <si>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</si>
  <si>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</si>
  <si>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</si>
  <si>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</si>
  <si>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</si>
  <si>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</si>
  <si>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</si>
  <si>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</si>
  <si>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</si>
  <si>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</si>
  <si>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</si>
  <si>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</si>
  <si>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</si>
  <si>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</si>
  <si>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</si>
  <si>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</si>
  <si>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</si>
  <si>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</si>
  <si>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</si>
  <si>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</si>
  <si>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</si>
  <si>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</si>
  <si>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</si>
  <si>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</si>
  <si>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</si>
  <si>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</si>
  <si>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</si>
  <si>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</si>
  <si>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</si>
  <si>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</si>
  <si>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</si>
  <si>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</si>
  <si>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</si>
  <si>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</si>
  <si>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</si>
  <si>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</si>
  <si>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</si>
  <si>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</si>
  <si>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</si>
  <si>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</si>
  <si>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</si>
  <si>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</si>
  <si>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</si>
  <si>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</si>
  <si>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</si>
  <si>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</si>
  <si>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</si>
  <si>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</si>
  <si>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</si>
  <si>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</si>
  <si>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</si>
  <si>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</si>
  <si>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</si>
  <si>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</si>
  <si>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</si>
  <si>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</si>
  <si>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</si>
  <si>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</si>
  <si>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</si>
  <si>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</si>
  <si>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</si>
  <si>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</si>
  <si>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</si>
  <si>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</si>
  <si>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</si>
  <si>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</si>
  <si>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</si>
  <si>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</si>
  <si>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</si>
  <si>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</si>
  <si>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</si>
  <si>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</si>
  <si>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</si>
  <si>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</si>
  <si>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</si>
  <si>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</si>
  <si>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</si>
  <si>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</si>
  <si>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</si>
  <si>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</si>
  <si>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</si>
  <si>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</si>
  <si>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</si>
  <si>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</si>
  <si>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</si>
  <si>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</si>
  <si>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</si>
  <si>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</si>
  <si>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</si>
  <si>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</si>
  <si>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</si>
  <si>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</si>
  <si>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</si>
  <si>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</si>
  <si>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</si>
  <si>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</si>
  <si>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</si>
  <si>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</si>
  <si>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</si>
  <si>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</si>
  <si>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</si>
  <si>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</si>
  <si>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</si>
  <si>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</si>
  <si>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</si>
  <si>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</si>
  <si>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</si>
  <si>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</si>
  <si>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</si>
  <si>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</si>
  <si>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</si>
  <si>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</si>
  <si>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</si>
  <si>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</si>
  <si>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</si>
  <si>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</si>
  <si>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</si>
  <si>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</si>
  <si>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</si>
  <si>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</si>
  <si>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</si>
  <si>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</si>
  <si>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</si>
  <si>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</si>
  <si>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</si>
  <si>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</si>
  <si>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</si>
  <si>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</si>
  <si>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</si>
  <si>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</si>
  <si>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</si>
  <si>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</si>
  <si>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</si>
  <si>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</si>
  <si>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</si>
  <si>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</si>
  <si>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</si>
  <si>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</si>
  <si>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</si>
  <si>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</si>
  <si>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</si>
  <si>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</si>
  <si>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</si>
  <si>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</si>
  <si>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</si>
  <si>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</si>
  <si>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</si>
  <si>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</si>
  <si>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</si>
  <si>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</si>
  <si>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</si>
  <si>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</si>
  <si>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</si>
  <si>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</si>
  <si>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</si>
  <si>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</si>
  <si>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</si>
  <si>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</si>
  <si>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</si>
  <si>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</si>
  <si>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</si>
  <si>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</si>
  <si>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</si>
  <si>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</si>
  <si>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</si>
  <si>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</si>
  <si>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</si>
  <si>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</si>
  <si>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</si>
  <si>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</si>
  <si>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</si>
  <si>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</si>
  <si>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</si>
  <si>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</si>
  <si>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</si>
  <si>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</si>
  <si>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</si>
  <si>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</si>
  <si>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</si>
  <si>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</si>
  <si>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</si>
  <si>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</si>
  <si>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</si>
  <si>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</si>
  <si>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</si>
  <si>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</si>
  <si>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</si>
  <si>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</si>
  <si>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</si>
  <si>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</si>
  <si>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</si>
  <si>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</si>
  <si>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</si>
  <si>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</si>
  <si>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</si>
  <si>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</si>
  <si>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</si>
  <si>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</si>
  <si>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</si>
  <si>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</si>
  <si>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</si>
  <si>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</si>
  <si>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</si>
  <si>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</si>
  <si>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</si>
  <si>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</si>
  <si>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</si>
  <si>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</si>
  <si>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</si>
  <si>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</si>
  <si>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</si>
  <si>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</si>
  <si>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</si>
  <si>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</si>
  <si>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</si>
  <si>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</si>
  <si>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</si>
  <si>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</si>
  <si>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</si>
  <si>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</si>
  <si>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</si>
  <si>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</si>
  <si>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</si>
  <si>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</si>
  <si>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</si>
  <si>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</si>
  <si>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</si>
  <si>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</si>
  <si>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</si>
  <si>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</si>
  <si>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</si>
  <si>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</si>
  <si>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</si>
  <si>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</si>
  <si>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</si>
  <si>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</si>
  <si>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</si>
  <si>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</si>
  <si>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</si>
  <si>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</si>
  <si>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</si>
  <si>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</si>
  <si>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</si>
  <si>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</si>
  <si>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</si>
  <si>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</si>
  <si>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</si>
  <si>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</si>
  <si>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</si>
  <si>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</si>
  <si>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</si>
  <si>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</si>
  <si>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</si>
  <si>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</si>
  <si>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</si>
  <si>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</si>
  <si>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</si>
  <si>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</si>
  <si>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</si>
  <si>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</si>
  <si>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</si>
  <si>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</si>
  <si>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</si>
  <si>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</si>
  <si>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</si>
  <si>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</si>
  <si>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</si>
  <si>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</si>
  <si>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</si>
  <si>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</si>
  <si>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</si>
  <si>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</si>
  <si>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</si>
  <si>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</si>
  <si>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</si>
  <si>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</si>
  <si>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</si>
  <si>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</si>
  <si>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</si>
  <si>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</si>
  <si>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</si>
  <si>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</si>
  <si>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</si>
  <si>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</si>
  <si>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</si>
  <si>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</si>
  <si>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</si>
  <si>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</si>
  <si>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</si>
  <si>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</si>
  <si>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</si>
  <si>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</si>
  <si>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</si>
  <si>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</si>
  <si>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</si>
  <si>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</si>
  <si>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</si>
  <si>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</si>
  <si>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</si>
  <si>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</si>
  <si>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</si>
  <si>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</si>
  <si>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</si>
  <si>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</si>
  <si>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</si>
  <si>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</si>
  <si>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</si>
  <si>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</si>
  <si>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</si>
  <si>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</si>
  <si>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</si>
  <si>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</si>
  <si>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</si>
  <si>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</si>
  <si>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</si>
  <si>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</si>
  <si>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</si>
  <si>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</si>
  <si>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</si>
  <si>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</si>
  <si>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</si>
  <si>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</si>
  <si>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</si>
  <si>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</si>
  <si>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</si>
  <si>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</si>
  <si>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</si>
  <si>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</si>
  <si>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</si>
  <si>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</si>
  <si>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</si>
  <si>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</si>
  <si>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</si>
  <si>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</si>
  <si>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</si>
  <si>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</si>
  <si>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</si>
  <si>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</si>
  <si>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</si>
  <si>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</si>
  <si>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</si>
  <si>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</si>
  <si>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</si>
  <si>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</si>
  <si>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</si>
  <si>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</si>
  <si>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</si>
  <si>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</si>
  <si>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</si>
  <si>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</si>
  <si>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</si>
  <si>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</si>
  <si>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</si>
  <si>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</si>
  <si>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</si>
  <si>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</si>
  <si>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</si>
  <si>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</si>
  <si>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</si>
  <si>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</si>
  <si>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</si>
  <si>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</si>
  <si>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</si>
  <si>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</si>
  <si>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</si>
  <si>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</si>
  <si>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</si>
  <si>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</si>
  <si>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</si>
  <si>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</si>
  <si>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</si>
  <si>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</si>
  <si>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</si>
  <si>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</si>
  <si>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</si>
  <si>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</si>
  <si>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</si>
  <si>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</si>
  <si>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</si>
  <si>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</si>
  <si>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</si>
  <si>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</si>
  <si>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</si>
  <si>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</si>
  <si>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</si>
  <si>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</si>
  <si>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</si>
  <si>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</si>
  <si>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</si>
  <si>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</si>
  <si>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</si>
  <si>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</si>
  <si>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</si>
  <si>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</si>
  <si>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</si>
  <si>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</si>
  <si>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</si>
  <si>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</si>
  <si>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</si>
  <si>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</si>
  <si>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</si>
  <si>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</si>
  <si>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</si>
  <si>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</si>
  <si>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</si>
  <si>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</si>
  <si>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</si>
  <si>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</si>
  <si>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</si>
  <si>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</si>
  <si>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</si>
  <si>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</si>
  <si>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</si>
  <si>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</si>
  <si>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</si>
  <si>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</si>
  <si>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</si>
  <si>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</si>
  <si>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</si>
  <si>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</si>
  <si>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</si>
  <si>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</si>
  <si>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</si>
  <si>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</si>
  <si>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</si>
  <si>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</si>
  <si>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</si>
  <si>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</si>
  <si>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</si>
  <si>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</si>
  <si>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</si>
  <si>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</si>
  <si>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</si>
  <si>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</si>
  <si>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</si>
  <si>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</si>
  <si>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</si>
  <si>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</si>
  <si>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</si>
  <si>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</si>
  <si>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</si>
  <si>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</si>
  <si>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</si>
  <si>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</si>
  <si>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</si>
  <si>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</si>
  <si>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</si>
  <si>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</si>
  <si>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</si>
  <si>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</si>
  <si>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</si>
  <si>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</si>
  <si>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</si>
  <si>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</si>
  <si>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</si>
  <si>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</si>
  <si>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</si>
  <si>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</si>
  <si>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</si>
  <si>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</si>
  <si>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</si>
  <si>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</si>
  <si>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</si>
  <si>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</si>
  <si>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</si>
  <si>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</si>
  <si>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</si>
  <si>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</si>
  <si>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</si>
  <si>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</si>
  <si>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</si>
  <si>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</si>
  <si>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</si>
  <si>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</si>
  <si>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</si>
  <si>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</si>
  <si>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</si>
  <si>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</si>
  <si>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</si>
  <si>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</si>
  <si>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</si>
  <si>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</si>
  <si>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</si>
  <si>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</si>
  <si>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</si>
  <si>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</si>
  <si>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</si>
  <si>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</si>
  <si>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</si>
  <si>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</si>
  <si>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</si>
  <si>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</si>
  <si>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</si>
  <si>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</si>
  <si>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</si>
  <si>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</si>
  <si>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</si>
  <si>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</si>
  <si>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</si>
  <si>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</si>
  <si>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</si>
  <si>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</si>
  <si>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</si>
  <si>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</si>
  <si>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</si>
  <si>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</si>
  <si>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</si>
  <si>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</si>
  <si>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</si>
  <si>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</si>
  <si>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</si>
  <si>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</si>
  <si>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</si>
  <si>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</si>
  <si>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</si>
  <si>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</si>
  <si>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</si>
  <si>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</si>
  <si>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</si>
  <si>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</si>
  <si>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</si>
  <si>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</si>
  <si>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</si>
  <si>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</si>
  <si>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</si>
  <si>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</si>
  <si>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</si>
  <si>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</si>
  <si>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</si>
  <si>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</si>
  <si>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</si>
  <si>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</si>
  <si>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</si>
  <si>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</si>
  <si>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</si>
  <si>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</si>
  <si>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</si>
  <si>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</si>
  <si>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</si>
  <si>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</si>
  <si>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</si>
  <si>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</si>
  <si>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</si>
  <si>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</si>
  <si>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</si>
  <si>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</si>
  <si>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</si>
  <si>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</si>
  <si>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</si>
  <si>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</si>
  <si>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</si>
  <si>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</si>
  <si>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</si>
  <si>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</si>
  <si>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</si>
  <si>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</si>
  <si>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</si>
  <si>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</si>
  <si>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</si>
  <si>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</si>
  <si>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</si>
  <si>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</si>
  <si>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</si>
  <si>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</si>
  <si>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</si>
  <si>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</si>
  <si>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</si>
  <si>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</si>
  <si>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</si>
  <si>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</si>
  <si>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</si>
  <si>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</si>
  <si>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</si>
  <si>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</si>
  <si>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</si>
  <si>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</si>
  <si>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</si>
  <si>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</si>
  <si>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</si>
  <si>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</si>
  <si>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</si>
  <si>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</si>
  <si>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</si>
  <si>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</si>
  <si>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</si>
  <si>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</si>
  <si>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</si>
  <si>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</si>
  <si>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</si>
  <si>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</si>
  <si>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</si>
  <si>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</si>
  <si>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</si>
  <si>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</si>
  <si>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</si>
  <si>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</si>
  <si>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</si>
  <si>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</si>
  <si>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</si>
  <si>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</si>
  <si>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</si>
  <si>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</si>
  <si>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</si>
  <si>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</si>
  <si>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</si>
  <si>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</si>
  <si>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</si>
  <si>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</si>
  <si>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</si>
  <si>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</si>
  <si>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</si>
  <si>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</si>
  <si>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</si>
  <si>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</si>
  <si>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</si>
  <si>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</si>
  <si>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</si>
  <si>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</si>
  <si>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</si>
  <si>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</si>
  <si>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</si>
  <si>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</si>
  <si>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</si>
  <si>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</si>
  <si>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</si>
  <si>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</si>
  <si>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</si>
  <si>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</si>
  <si>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</si>
  <si>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</si>
  <si>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</si>
  <si>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</si>
  <si>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</si>
  <si>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</si>
  <si>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</si>
  <si>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</si>
  <si>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</si>
  <si>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</si>
  <si>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</si>
  <si>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</si>
  <si>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</si>
  <si>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</si>
  <si>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</si>
  <si>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</si>
  <si>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</si>
  <si>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</si>
  <si>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</si>
  <si>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</si>
  <si>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</si>
  <si>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</si>
  <si>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</si>
  <si>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</si>
  <si>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</si>
  <si>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</si>
  <si>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</si>
  <si>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</si>
  <si>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</si>
  <si>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</si>
  <si>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</si>
  <si>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</si>
  <si>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</si>
  <si>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</si>
  <si>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</si>
  <si>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</si>
  <si>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</si>
  <si>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</si>
  <si>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</si>
  <si>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</si>
  <si>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</si>
  <si>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</si>
  <si>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</si>
  <si>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</si>
  <si>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</si>
  <si>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</si>
  <si>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</si>
  <si>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</si>
  <si>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</si>
  <si>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</si>
  <si>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</si>
  <si>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</si>
  <si>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</si>
  <si>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</si>
  <si>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</si>
  <si>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</si>
  <si>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</si>
  <si>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</si>
  <si>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</si>
  <si>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</si>
  <si>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</si>
  <si>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</si>
  <si>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</si>
  <si>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</si>
  <si>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</si>
  <si>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</si>
  <si>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</si>
  <si>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</si>
  <si>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</si>
  <si>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</si>
  <si>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</si>
  <si>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</si>
  <si>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</si>
  <si>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</si>
  <si>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</si>
  <si>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</si>
  <si>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</si>
  <si>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</si>
  <si>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</si>
  <si>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</si>
  <si>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</si>
  <si>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</si>
  <si>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</si>
  <si>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</si>
  <si>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</si>
  <si>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</si>
  <si>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</si>
  <si>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</si>
  <si>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</si>
  <si>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</si>
  <si>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</si>
  <si>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</si>
  <si>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</si>
  <si>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</si>
  <si>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</si>
  <si>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</si>
  <si>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</si>
  <si>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</si>
  <si>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</si>
  <si>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</si>
  <si>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</si>
  <si>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</si>
  <si>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</si>
  <si>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</si>
  <si>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</si>
  <si>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</si>
  <si>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</si>
  <si>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</si>
  <si>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</si>
  <si>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</si>
  <si>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</si>
  <si>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</si>
  <si>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</si>
  <si>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</si>
  <si>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</si>
  <si>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</si>
  <si>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</si>
  <si>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</si>
  <si>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</si>
  <si>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</si>
  <si>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</si>
  <si>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</si>
  <si>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</si>
  <si>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</si>
  <si>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</si>
  <si>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</si>
  <si>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</si>
  <si>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</si>
  <si>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</si>
  <si>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</si>
  <si>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</si>
  <si>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</si>
  <si>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</si>
  <si>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</si>
  <si>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</si>
  <si>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</si>
  <si>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</si>
  <si>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</si>
  <si>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</si>
  <si>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</si>
  <si>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</si>
  <si>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</si>
  <si>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</si>
  <si>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</si>
  <si>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</si>
  <si>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</si>
  <si>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</si>
  <si>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</si>
  <si>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</si>
  <si>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</si>
  <si>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</si>
  <si>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</si>
  <si>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</si>
  <si>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</si>
  <si>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</si>
  <si>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</si>
  <si>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</si>
  <si>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</si>
  <si>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</si>
  <si>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</si>
  <si>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</si>
  <si>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</si>
  <si>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</si>
  <si>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</si>
  <si>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</si>
  <si>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</si>
  <si>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</si>
  <si>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</si>
  <si>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</si>
  <si>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</si>
  <si>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</si>
  <si>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</si>
  <si>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</si>
  <si>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</si>
  <si>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</si>
  <si>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</si>
  <si>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</si>
  <si>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</si>
  <si>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</si>
  <si>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</si>
  <si>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</si>
  <si>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</si>
  <si>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</si>
  <si>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</si>
  <si>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</si>
  <si>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</si>
  <si>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</si>
  <si>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</si>
  <si>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</si>
  <si>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</si>
  <si>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</si>
  <si>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</si>
  <si>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</si>
  <si>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</si>
  <si>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</si>
  <si>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</si>
  <si>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</si>
  <si>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</si>
  <si>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</si>
  <si>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</si>
  <si>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</si>
  <si>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</si>
  <si>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</si>
  <si>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</si>
  <si>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</si>
  <si>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</si>
  <si>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</si>
  <si>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</si>
  <si>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</si>
  <si>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</si>
  <si>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</si>
  <si>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</si>
  <si>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</si>
  <si>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</si>
  <si>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</si>
  <si>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</si>
  <si>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</si>
  <si>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</si>
  <si>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</si>
  <si>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</si>
  <si>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</si>
  <si>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</si>
  <si>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</si>
  <si>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</si>
  <si>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</si>
  <si>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</si>
  <si>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</si>
  <si>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</si>
  <si>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</si>
  <si>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</si>
  <si>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</si>
  <si>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</si>
  <si>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</si>
  <si>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</si>
  <si>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</si>
  <si>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</si>
  <si>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</si>
  <si>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</si>
  <si>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</si>
  <si>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</si>
  <si>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</si>
  <si>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</si>
  <si>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</si>
  <si>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</si>
  <si>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</si>
  <si>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</si>
  <si>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</si>
  <si>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</si>
  <si>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</si>
  <si>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</si>
  <si>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</si>
  <si>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</si>
  <si>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</si>
  <si>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</si>
  <si>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</si>
  <si>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</si>
  <si>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</si>
  <si>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</si>
  <si>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</si>
  <si>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</si>
  <si>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</si>
  <si>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</si>
  <si>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</si>
  <si>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</si>
  <si>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</si>
  <si>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</si>
  <si>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</si>
  <si>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</si>
  <si>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</si>
  <si>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</si>
  <si>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</si>
  <si>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</si>
  <si>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</si>
  <si>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</si>
  <si>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</si>
  <si>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</si>
  <si>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</si>
  <si>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</si>
  <si>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</si>
  <si>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</si>
  <si>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</si>
  <si>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</si>
  <si>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</si>
  <si>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</si>
  <si>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</si>
  <si>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</si>
  <si>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</si>
  <si>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</si>
  <si>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</si>
  <si>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</si>
  <si>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</si>
  <si>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</si>
  <si>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</si>
  <si>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</si>
  <si>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</si>
  <si>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</si>
  <si>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</si>
  <si>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</si>
  <si>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</si>
  <si>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</si>
  <si>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</si>
  <si>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</si>
  <si>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</si>
  <si>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</si>
  <si>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</si>
  <si>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</si>
  <si>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</si>
  <si>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</si>
  <si>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</si>
  <si>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</si>
  <si>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</si>
  <si>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</si>
  <si>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</si>
  <si>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</si>
  <si>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</si>
  <si>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</si>
  <si>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</si>
  <si>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</si>
  <si>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</si>
  <si>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</si>
  <si>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</si>
  <si>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</si>
  <si>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</si>
  <si>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</si>
  <si>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</si>
  <si>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</si>
  <si>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</si>
  <si>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</si>
  <si>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</si>
  <si>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</si>
  <si>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</si>
  <si>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</si>
  <si>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</si>
  <si>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</si>
  <si>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</si>
  <si>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</si>
  <si>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</si>
  <si>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</si>
  <si>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</si>
  <si>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</si>
  <si>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</si>
  <si>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</si>
  <si>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</si>
  <si>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</si>
  <si>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</si>
  <si>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</si>
  <si>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</si>
  <si>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</si>
  <si>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</si>
  <si>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</si>
  <si>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</si>
  <si>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</si>
  <si>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</si>
  <si>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</si>
  <si>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</si>
  <si>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</si>
  <si>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</si>
  <si>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</si>
  <si>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</si>
  <si>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</si>
  <si>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</si>
  <si>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</si>
  <si>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</si>
  <si>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</si>
  <si>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</si>
  <si>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</si>
  <si>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</si>
  <si>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</si>
  <si>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</si>
  <si>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</si>
  <si>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</si>
  <si>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</si>
  <si>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</si>
  <si>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</si>
  <si>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</si>
  <si>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</si>
  <si>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</si>
  <si>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</si>
  <si>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</si>
  <si>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</si>
  <si>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</si>
  <si>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</si>
  <si>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</si>
  <si>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</si>
  <si>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</si>
  <si>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</si>
  <si>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</si>
  <si>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</si>
  <si>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</si>
  <si>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</si>
  <si>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</si>
  <si>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</si>
  <si>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</si>
  <si>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</si>
  <si>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</si>
  <si>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</si>
  <si>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</si>
  <si>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</si>
  <si>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</si>
  <si>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</si>
  <si>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</si>
  <si>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</si>
  <si>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</si>
  <si>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</si>
  <si>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</si>
  <si>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</si>
  <si>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</si>
  <si>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</si>
  <si>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</si>
  <si>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</si>
  <si>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</si>
  <si>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</si>
  <si>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</si>
  <si>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</si>
  <si>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</si>
  <si>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</si>
  <si>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</si>
  <si>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</si>
  <si>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</si>
  <si>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</si>
  <si>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</si>
  <si>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</si>
  <si>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</si>
  <si>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</si>
  <si>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</si>
  <si>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</si>
  <si>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</si>
  <si>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</si>
  <si>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</si>
  <si>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</si>
  <si>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</si>
  <si>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</si>
  <si>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</si>
  <si>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</si>
  <si>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</si>
  <si>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</si>
  <si>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</si>
  <si>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</si>
  <si>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</si>
  <si>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</si>
  <si>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</si>
  <si>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</si>
  <si>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</si>
  <si>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</si>
  <si>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</si>
  <si>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</si>
  <si>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</si>
  <si>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</si>
  <si>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</si>
  <si>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</si>
  <si>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</si>
  <si>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</si>
  <si>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</si>
  <si>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</si>
  <si>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</si>
  <si>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</si>
  <si>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</si>
  <si>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</si>
  <si>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</si>
  <si>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</si>
  <si>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</si>
  <si>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</si>
  <si>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</si>
  <si>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</si>
  <si>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</si>
  <si>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</si>
  <si>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</si>
  <si>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</si>
  <si>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</si>
  <si>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</si>
  <si>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</si>
  <si>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</si>
  <si>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</si>
  <si>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</si>
  <si>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</si>
  <si>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</si>
  <si>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</si>
  <si>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</si>
  <si>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</si>
  <si>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</si>
  <si>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</si>
  <si>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</si>
  <si>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</si>
  <si>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</si>
  <si>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</si>
  <si>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</si>
  <si>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</si>
  <si>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</si>
  <si>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</si>
  <si>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</si>
  <si>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</si>
  <si>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</si>
  <si>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</si>
  <si>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</si>
  <si>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</si>
  <si>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</si>
  <si>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</si>
  <si>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</si>
  <si>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</si>
  <si>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</si>
  <si>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</si>
  <si>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</si>
  <si>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</si>
  <si>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</si>
  <si>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</si>
  <si>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</si>
  <si>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</si>
  <si>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</si>
  <si>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</si>
  <si>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</si>
  <si>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</si>
  <si>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</si>
  <si>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</si>
  <si>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</si>
  <si>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</si>
  <si>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</si>
  <si>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</si>
  <si>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</si>
  <si>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</si>
  <si>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</si>
  <si>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</si>
  <si>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</si>
  <si>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</si>
  <si>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</si>
  <si>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</si>
  <si>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</si>
  <si>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</si>
  <si>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</si>
  <si>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</si>
  <si>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</si>
  <si>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</si>
  <si>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</si>
  <si>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</si>
  <si>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</si>
  <si>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</si>
  <si>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</si>
  <si>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</si>
  <si>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</si>
  <si>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</si>
  <si>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</si>
  <si>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</si>
  <si>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</si>
  <si>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</si>
  <si>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</si>
  <si>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</si>
  <si>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</si>
  <si>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</si>
  <si>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</si>
  <si>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</si>
  <si>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</si>
  <si>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</si>
  <si>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</si>
  <si>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</si>
  <si>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</si>
  <si>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</si>
  <si>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</si>
  <si>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</si>
  <si>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</si>
  <si>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</si>
  <si>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</si>
  <si>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</si>
  <si>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</si>
  <si>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</si>
  <si>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</si>
  <si>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</si>
  <si>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</si>
  <si>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</si>
  <si>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</si>
  <si>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</si>
  <si>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</si>
  <si>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</si>
  <si>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</si>
  <si>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</si>
  <si>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</si>
  <si>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</si>
  <si>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</si>
  <si>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</si>
  <si>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</si>
  <si>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</si>
  <si>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</si>
  <si>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</si>
  <si>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</si>
  <si>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</si>
  <si>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</si>
  <si>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</si>
  <si>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</si>
  <si>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</si>
  <si>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</si>
  <si>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</si>
  <si>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</si>
  <si>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</si>
  <si>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</si>
  <si>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</si>
  <si>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</si>
  <si>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</si>
  <si>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</si>
  <si>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</si>
  <si>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</si>
  <si>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</si>
  <si>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</si>
  <si>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</si>
  <si>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</si>
  <si>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</si>
  <si>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</si>
  <si>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</si>
  <si>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</si>
  <si>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</si>
  <si>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</si>
  <si>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</si>
  <si>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</si>
  <si>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</si>
  <si>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</si>
  <si>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</si>
  <si>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</si>
  <si>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</si>
  <si>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</si>
  <si>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</si>
  <si>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</si>
  <si>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</si>
  <si>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</si>
  <si>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</si>
  <si>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</si>
  <si>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</si>
  <si>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</si>
  <si>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</si>
  <si>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</si>
  <si>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</si>
  <si>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</si>
  <si>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</si>
  <si>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</si>
  <si>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</si>
  <si>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</si>
  <si>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</si>
  <si>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</si>
  <si>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</si>
  <si>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</si>
  <si>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</si>
  <si>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</si>
  <si>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</si>
  <si>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</si>
  <si>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</si>
  <si>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</si>
  <si>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</si>
  <si>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</si>
  <si>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</si>
  <si>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</si>
  <si>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</si>
  <si>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</si>
  <si>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</si>
  <si>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</si>
  <si>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</si>
  <si>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</si>
  <si>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</si>
  <si>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</si>
  <si>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</si>
  <si>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</si>
  <si>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</si>
  <si>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</si>
  <si>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</si>
  <si>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</si>
  <si>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</si>
  <si>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</si>
  <si>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</si>
  <si>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</si>
  <si>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</si>
  <si>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</si>
  <si>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</si>
  <si>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</si>
  <si>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</si>
  <si>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</si>
  <si>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</si>
  <si>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</si>
  <si>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</si>
  <si>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</si>
  <si>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</si>
  <si>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</si>
  <si>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</si>
  <si>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</si>
  <si>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</si>
  <si>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</si>
  <si>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</si>
  <si>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</si>
  <si>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</si>
  <si>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</si>
  <si>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</si>
  <si>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</si>
  <si>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</si>
  <si>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</si>
  <si>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</si>
  <si>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</si>
  <si>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</si>
  <si>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</si>
  <si>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</si>
  <si>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</si>
  <si>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</si>
  <si>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</si>
  <si>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</si>
  <si>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</si>
  <si>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</si>
  <si>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</si>
  <si>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</si>
  <si>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</si>
  <si>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</si>
  <si>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</si>
  <si>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</si>
  <si>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</si>
  <si>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</si>
  <si>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</si>
  <si>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</si>
  <si>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</si>
  <si>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</si>
  <si>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</si>
  <si>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</si>
  <si>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</si>
  <si>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</si>
  <si>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</si>
  <si>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</si>
  <si>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</si>
  <si>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</si>
  <si>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</si>
  <si>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</si>
  <si>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</si>
  <si>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</si>
  <si>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</si>
  <si>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</si>
  <si>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</si>
  <si>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</si>
  <si>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</si>
  <si>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</si>
  <si>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</si>
  <si>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</si>
  <si>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</si>
  <si>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</si>
  <si>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</si>
  <si>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</si>
  <si>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</si>
  <si>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</si>
  <si>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</si>
  <si>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</si>
  <si>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</si>
  <si>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</si>
  <si>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</si>
  <si>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</si>
  <si>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</si>
  <si>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</si>
  <si>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</si>
  <si>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</si>
  <si>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</si>
  <si>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</si>
  <si>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</si>
  <si>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</si>
  <si>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</si>
  <si>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</si>
  <si>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</si>
  <si>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</si>
  <si>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</si>
  <si>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</si>
  <si>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</si>
  <si>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</si>
  <si>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</si>
  <si>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</si>
  <si>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</si>
  <si>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</si>
  <si>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</si>
  <si>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</si>
  <si>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</si>
  <si>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</si>
  <si>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</si>
  <si>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</si>
  <si>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</si>
  <si>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</si>
  <si>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</si>
  <si>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</si>
  <si>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</si>
  <si>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</si>
  <si>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</si>
  <si>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</si>
  <si>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</si>
  <si>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</si>
  <si>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</si>
  <si>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</si>
  <si>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</si>
  <si>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</si>
  <si>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</si>
  <si>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</si>
  <si>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</si>
  <si>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</si>
  <si>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</si>
  <si>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</si>
  <si>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</si>
  <si>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</si>
  <si>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</si>
  <si>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</si>
  <si>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</si>
  <si>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</si>
  <si>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</si>
  <si>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</si>
  <si>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</si>
  <si>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</si>
  <si>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</si>
  <si>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</si>
  <si>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</si>
  <si>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</si>
  <si>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</si>
  <si>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</si>
  <si>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</si>
  <si>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</si>
  <si>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</si>
  <si>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</si>
  <si>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</si>
  <si>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</si>
  <si>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</si>
  <si>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</si>
  <si>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</si>
  <si>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</si>
  <si>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</si>
  <si>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</si>
  <si>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</si>
  <si>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</si>
  <si>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</si>
  <si>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</si>
  <si>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</si>
  <si>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</si>
  <si>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</si>
  <si>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</si>
  <si>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</si>
  <si>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</si>
  <si>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</si>
  <si>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</si>
  <si>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</si>
  <si>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</si>
  <si>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</si>
  <si>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</si>
  <si>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</si>
  <si>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</si>
  <si>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</si>
  <si>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</si>
  <si>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</si>
  <si>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</si>
  <si>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</si>
  <si>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</si>
  <si>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</si>
  <si>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</si>
  <si>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</si>
  <si>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</si>
  <si>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</si>
  <si>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</si>
  <si>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</si>
  <si>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</si>
  <si>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</si>
  <si>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</si>
  <si>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</si>
  <si>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</si>
  <si>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</si>
  <si>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</si>
  <si>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</si>
  <si>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</si>
  <si>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</si>
  <si>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</si>
  <si>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</si>
  <si>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</si>
  <si>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</si>
  <si>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</si>
  <si>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</si>
  <si>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</si>
  <si>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</si>
  <si>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</si>
  <si>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</si>
  <si>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</si>
  <si>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</si>
  <si>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</si>
  <si>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</si>
  <si>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</si>
  <si>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</si>
  <si>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</si>
  <si>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</si>
  <si>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</si>
  <si>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</si>
  <si>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</si>
  <si>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</si>
  <si>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</si>
  <si>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</si>
  <si>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</si>
  <si>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</si>
  <si>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</si>
  <si>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</si>
  <si>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</si>
  <si>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</si>
  <si>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</si>
  <si>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</si>
  <si>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</si>
  <si>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</si>
  <si>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</si>
  <si>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</si>
  <si>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</si>
  <si>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</si>
  <si>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</si>
  <si>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</si>
  <si>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</si>
  <si>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</si>
  <si>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</si>
  <si>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</si>
  <si>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</si>
  <si>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</si>
  <si>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</si>
  <si>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</si>
  <si>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</si>
  <si>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</si>
  <si>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</si>
  <si>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</si>
  <si>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</si>
  <si>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</si>
  <si>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</si>
  <si>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</si>
  <si>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</si>
  <si>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</si>
  <si>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</si>
  <si>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</si>
  <si>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</si>
  <si>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</si>
  <si>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</si>
  <si>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</si>
  <si>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</si>
  <si>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</si>
  <si>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</si>
  <si>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</si>
  <si>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</si>
  <si>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</si>
  <si>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</si>
  <si>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</si>
  <si>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</si>
  <si>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</si>
  <si>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</si>
  <si>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</si>
  <si>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</si>
  <si>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</si>
  <si>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</si>
  <si>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</si>
  <si>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</si>
  <si>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</si>
  <si>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</si>
  <si>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</si>
  <si>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</si>
  <si>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</si>
  <si>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</si>
  <si>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</si>
  <si>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</si>
  <si>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</si>
  <si>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</si>
  <si>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</si>
  <si>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</si>
  <si>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</si>
  <si>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</si>
  <si>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</si>
  <si>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</si>
  <si>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</si>
  <si>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</si>
  <si>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</si>
  <si>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</si>
  <si>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</si>
  <si>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</si>
  <si>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</si>
  <si>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</si>
  <si>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</si>
  <si>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</si>
  <si>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</si>
  <si>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</si>
  <si>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</si>
  <si>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</si>
  <si>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</si>
  <si>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</si>
  <si>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</si>
  <si>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</si>
  <si>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</si>
  <si>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</si>
  <si>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</si>
  <si>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</si>
  <si>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</si>
  <si>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</si>
  <si>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</si>
  <si>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</si>
  <si>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</si>
  <si>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</si>
  <si>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</si>
  <si>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</si>
  <si>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</si>
  <si>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</si>
  <si>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</si>
  <si>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</si>
  <si>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</si>
  <si>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</si>
  <si>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</si>
  <si>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</si>
  <si>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</si>
  <si>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</si>
  <si>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</si>
  <si>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</si>
  <si>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</si>
  <si>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</si>
  <si>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</si>
  <si>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</si>
  <si>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</si>
  <si>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</si>
  <si>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</si>
  <si>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</si>
  <si>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</si>
  <si>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</si>
  <si>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</si>
  <si>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</si>
  <si>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</si>
  <si>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</si>
  <si>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</si>
  <si>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</si>
  <si>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</si>
  <si>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</si>
  <si>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</si>
  <si>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</si>
  <si>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</si>
  <si>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</si>
  <si>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</si>
  <si>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</si>
  <si>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</si>
  <si>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</si>
  <si>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</si>
  <si>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</si>
  <si>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</si>
  <si>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</si>
  <si>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</si>
  <si>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</si>
  <si>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</si>
  <si>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</si>
  <si>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</si>
  <si>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</si>
  <si>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</si>
  <si>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</si>
  <si>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</si>
  <si>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</si>
  <si>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</si>
  <si>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</si>
  <si>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</si>
  <si>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</si>
  <si>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</si>
  <si>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</si>
  <si>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</si>
  <si>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</si>
  <si>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</si>
  <si>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</si>
  <si>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</si>
  <si>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</si>
  <si>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</si>
  <si>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</si>
  <si>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</si>
  <si>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</si>
  <si>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</si>
  <si>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</si>
  <si>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</si>
  <si>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</si>
  <si>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</si>
  <si>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</si>
  <si>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</si>
  <si>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</si>
  <si>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</si>
  <si>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</si>
  <si>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</si>
  <si>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</si>
  <si>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</si>
  <si>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</si>
  <si>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</si>
  <si>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</si>
  <si>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</si>
  <si>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</si>
  <si>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</si>
  <si>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</si>
  <si>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</si>
  <si>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</si>
  <si>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</si>
  <si>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</si>
  <si>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</si>
  <si>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</si>
  <si>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</si>
  <si>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</si>
  <si>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</si>
  <si>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</si>
  <si>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</si>
  <si>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</si>
  <si>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</si>
  <si>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</si>
  <si>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</si>
  <si>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</si>
  <si>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</si>
  <si>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</si>
  <si>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</si>
  <si>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</si>
  <si>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</si>
  <si>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</si>
  <si>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</si>
  <si>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</si>
  <si>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</si>
  <si>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</si>
  <si>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</si>
  <si>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</si>
  <si>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</si>
  <si>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</si>
  <si>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</si>
  <si>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</si>
  <si>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</si>
  <si>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</si>
  <si>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</si>
  <si>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</si>
  <si>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</si>
  <si>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</si>
  <si>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</si>
  <si>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</si>
  <si>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</si>
  <si>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</si>
  <si>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</si>
  <si>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</si>
  <si>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</si>
  <si>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</si>
  <si>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</si>
  <si>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</si>
  <si>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</si>
  <si>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</si>
  <si>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</si>
  <si>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</si>
  <si>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</si>
  <si>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</si>
  <si>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</si>
  <si>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</si>
  <si>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</si>
  <si>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</si>
  <si>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</si>
  <si>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</si>
  <si>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</si>
  <si>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</si>
  <si>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</si>
  <si>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</si>
  <si>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</si>
  <si>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</si>
  <si>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</si>
  <si>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</si>
  <si>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</si>
  <si>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</si>
  <si>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</si>
  <si>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</si>
  <si>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</si>
  <si>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</si>
  <si>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</si>
  <si>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</si>
  <si>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</si>
  <si>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</si>
  <si>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</si>
  <si>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</si>
  <si>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</si>
  <si>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</si>
  <si>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</si>
  <si>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</si>
  <si>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</si>
  <si>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</si>
  <si>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</si>
  <si>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</si>
  <si>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</si>
  <si>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</si>
  <si>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</si>
  <si>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</si>
  <si>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</si>
  <si>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</si>
  <si>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</si>
  <si>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</si>
  <si>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</si>
  <si>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</si>
  <si>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</si>
  <si>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</si>
  <si>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</si>
  <si>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</si>
  <si>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</si>
  <si>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</si>
  <si>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</si>
  <si>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</si>
  <si>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</si>
  <si>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</si>
  <si>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</si>
  <si>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</si>
  <si>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</si>
  <si>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</si>
  <si>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</si>
  <si>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</si>
  <si>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</si>
  <si>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</si>
  <si>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</si>
  <si>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</si>
  <si>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</si>
  <si>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GRANVILLE</t>
  </si>
  <si>
    <t>IL</t>
  </si>
  <si>
    <t>815-339-6630</t>
  </si>
  <si>
    <t>815-339-6643</t>
  </si>
  <si>
    <t>Total Federal Expenditures for 7/1/18-6/30/19</t>
  </si>
  <si>
    <t>066-004501</t>
  </si>
  <si>
    <t>KIM BIRD</t>
  </si>
  <si>
    <t>BUREAU</t>
  </si>
  <si>
    <t>314 S MCCOY ST</t>
  </si>
  <si>
    <t>800 W ERIE STREET</t>
  </si>
  <si>
    <t>SPRING VALLEY</t>
  </si>
  <si>
    <t>JBRANDT@HALLHIGHSCHOOL502.COM</t>
  </si>
  <si>
    <t>KIM@HOPKINSOFFICE.COM</t>
  </si>
  <si>
    <t>JESSE BRANDT</t>
  </si>
  <si>
    <t>815-664-2100</t>
  </si>
  <si>
    <t>815-664-2300</t>
  </si>
  <si>
    <t>REFUNDING BONDS</t>
  </si>
  <si>
    <t>WC BONDS</t>
  </si>
  <si>
    <t>GO BONDS</t>
  </si>
  <si>
    <t>9/28//17</t>
  </si>
  <si>
    <t>BUS LEASE</t>
  </si>
  <si>
    <t xml:space="preserve">LEASE </t>
  </si>
  <si>
    <t xml:space="preserve">BMP </t>
  </si>
  <si>
    <t xml:space="preserve">SPRING VALLEY ELEMENTARY </t>
  </si>
  <si>
    <t xml:space="preserve">LP HIGH SCHOOL </t>
  </si>
  <si>
    <t>PUTNAM COUNTY (WRESTLING), DEPUE (SOCCER)</t>
  </si>
  <si>
    <t xml:space="preserve">OPERATIONS &amp; MAINTENANCE - OPERATIONS &amp; MAINTENNACE PLANT SERVICES - PURCHASED SERVICES </t>
  </si>
  <si>
    <t>20-2540-300</t>
  </si>
  <si>
    <t>REPUBLIC SERVICES</t>
  </si>
  <si>
    <t>PRINCETON REDI-STORAGE</t>
  </si>
  <si>
    <t>AT&amp;T MOBILITY</t>
  </si>
  <si>
    <t>MTCO</t>
  </si>
  <si>
    <t>FRONTIER</t>
  </si>
  <si>
    <t>10-1890; EDUCATION - TEXTBOOK INCOME OTHER ; OTHER INCOME $16,265</t>
  </si>
  <si>
    <t>10-1999; EDUCATION - OTHER LOCAL REVENUE; OTHER INCOME $1,341</t>
  </si>
  <si>
    <t>10-3999; EDUCATION - OTHER RESTRICTED REVENUE FROM STATE SOURCES; OTHER LIBRARY $2,591</t>
  </si>
  <si>
    <t>10-4190-3; EDUCATION - OTHER PAYMENTS TO IN-STATE GOVT UNTIS- PURCHASED SERVICES; PAYMENTS TO OTHER GOVTS $1,101</t>
  </si>
  <si>
    <t>30-5400-6; DEBT SERVICES - OTHER - OTHER OBJECTS; BANK FEES $1,500</t>
  </si>
  <si>
    <t>KENDRICK PEST CONTROL</t>
  </si>
  <si>
    <t>HALL HSD 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</si>
</sst>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0</xdr:row>
          <xdr:rowOff>142875</xdr:rowOff>
        </xdr:from>
        <xdr:to>
          <xdr:col>1</xdr:col>
          <xdr:colOff>2343150</xdr:colOff>
          <xdr:row>5</xdr:row>
          <xdr:rowOff>19050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3"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6" t="s">
        <v>405</v>
      </c>
      <c r="J1" s="2017"/>
      <c r="K1" s="2017"/>
      <c r="L1" s="2017"/>
      <c r="M1" s="2017"/>
      <c r="N1" s="2017"/>
      <c r="O1" s="2017"/>
      <c r="P1" s="2017"/>
      <c r="Q1" s="2017"/>
      <c r="R1" s="2017"/>
      <c r="S1" s="2017"/>
    </row>
    <row r="2" spans="1:28" ht="12" customHeight="1" x14ac:dyDescent="0.2">
      <c r="A2" s="47" t="s">
        <v>1992</v>
      </c>
      <c r="D2" s="48"/>
      <c r="I2" s="2018" t="s">
        <v>979</v>
      </c>
      <c r="J2" s="2017"/>
      <c r="K2" s="2017"/>
      <c r="L2" s="2017"/>
      <c r="M2" s="2017"/>
      <c r="N2" s="2017"/>
      <c r="O2" s="2017"/>
      <c r="P2" s="2017"/>
      <c r="Q2" s="2017"/>
      <c r="R2" s="2017"/>
      <c r="S2" s="2017"/>
    </row>
    <row r="3" spans="1:28" ht="12" customHeight="1" x14ac:dyDescent="0.2">
      <c r="A3" s="155" t="s">
        <v>1944</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2063</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28006502017</v>
      </c>
      <c r="B13" s="1987"/>
      <c r="C13" s="1987"/>
      <c r="D13" s="1987"/>
      <c r="E13" s="1987"/>
      <c r="F13" s="1987"/>
      <c r="G13" s="1987"/>
      <c r="H13" s="1988"/>
      <c r="I13" s="31"/>
      <c r="J13" s="30"/>
      <c r="K13" s="28"/>
      <c r="L13" s="30"/>
      <c r="M13" s="30"/>
      <c r="N13" s="30"/>
      <c r="O13" s="30"/>
      <c r="P13" s="30"/>
      <c r="Q13" s="30"/>
      <c r="R13" s="30"/>
      <c r="S13" s="30"/>
      <c r="T13" s="1991" t="s">
        <v>2065</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2073</v>
      </c>
      <c r="B15" s="1989"/>
      <c r="C15" s="1989"/>
      <c r="D15" s="1989"/>
      <c r="E15" s="1989"/>
      <c r="F15" s="1989"/>
      <c r="G15" s="1989"/>
      <c r="H15" s="1990"/>
      <c r="T15" s="1952" t="s">
        <v>2072</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2105</v>
      </c>
      <c r="B17" s="2014"/>
      <c r="C17" s="2014"/>
      <c r="D17" s="2014"/>
      <c r="E17" s="2014"/>
      <c r="F17" s="2014"/>
      <c r="G17" s="2014"/>
      <c r="H17" s="2015"/>
      <c r="T17" s="2001" t="s">
        <v>2074</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2075</v>
      </c>
      <c r="B19" s="1985"/>
      <c r="C19" s="1985"/>
      <c r="D19" s="1985"/>
      <c r="E19" s="1985"/>
      <c r="F19" s="1985"/>
      <c r="G19" s="1985"/>
      <c r="H19" s="1983"/>
      <c r="I19" s="30"/>
      <c r="J19" s="99"/>
      <c r="K19" s="40"/>
      <c r="L19" s="38"/>
      <c r="M19" s="112" t="s">
        <v>315</v>
      </c>
      <c r="P19" s="27"/>
      <c r="Q19" s="27"/>
      <c r="R19" s="27"/>
      <c r="S19" s="31"/>
      <c r="T19" s="1984" t="s">
        <v>2066</v>
      </c>
      <c r="U19" s="1982"/>
      <c r="V19" s="1982"/>
      <c r="W19" s="1983"/>
      <c r="X19" s="1999" t="s">
        <v>2067</v>
      </c>
      <c r="Y19" s="2000"/>
      <c r="Z19" s="1997">
        <v>61326</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2076</v>
      </c>
      <c r="B21" s="1982"/>
      <c r="C21" s="1982"/>
      <c r="D21" s="1982"/>
      <c r="E21" s="1982"/>
      <c r="F21" s="1982"/>
      <c r="G21" s="1982"/>
      <c r="H21" s="1983"/>
      <c r="I21" s="2007" t="s">
        <v>678</v>
      </c>
      <c r="J21" s="1970"/>
      <c r="K21" s="1970"/>
      <c r="L21" s="1970"/>
      <c r="M21" s="1970"/>
      <c r="N21" s="1970"/>
      <c r="O21" s="1970"/>
      <c r="P21" s="1970"/>
      <c r="Q21" s="1970"/>
      <c r="R21" s="1970"/>
      <c r="S21" s="1971"/>
      <c r="T21" s="1949" t="s">
        <v>2068</v>
      </c>
      <c r="U21" s="1950"/>
      <c r="V21" s="1950"/>
      <c r="W21" s="1950"/>
      <c r="X21" s="1963" t="s">
        <v>2069</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t="s">
        <v>2077</v>
      </c>
      <c r="B23" s="2005"/>
      <c r="C23" s="2005"/>
      <c r="D23" s="2005"/>
      <c r="E23" s="2005"/>
      <c r="F23" s="2005"/>
      <c r="G23" s="2005"/>
      <c r="H23" s="2006"/>
      <c r="T23" s="1944" t="s">
        <v>2071</v>
      </c>
      <c r="U23" s="1945"/>
      <c r="V23" s="1945"/>
      <c r="W23" s="1945"/>
      <c r="X23" s="1960">
        <v>44530</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61362</v>
      </c>
      <c r="B25" s="1982"/>
      <c r="C25" s="1982"/>
      <c r="D25" s="1982"/>
      <c r="E25" s="1982"/>
      <c r="F25" s="1982"/>
      <c r="G25" s="1982"/>
      <c r="H25" s="1983"/>
      <c r="I25" s="113"/>
      <c r="J25" s="2048"/>
      <c r="K25" s="2048"/>
      <c r="L25" s="2048"/>
      <c r="M25" s="2048"/>
      <c r="N25" s="2048"/>
      <c r="O25" s="2048"/>
      <c r="P25" s="2048"/>
      <c r="Q25" s="2048"/>
      <c r="R25" s="2048"/>
      <c r="S25" s="2049"/>
      <c r="T25" s="1941" t="s">
        <v>2078</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2079</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2077</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2080</v>
      </c>
      <c r="B42" s="2031"/>
      <c r="C42" s="2032"/>
      <c r="D42" s="2045" t="s">
        <v>2081</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110" zoomScaleNormal="110" workbookViewId="0">
      <selection activeCell="O88" sqref="O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2065</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F41" sqref="F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125445420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1.61E-2</v>
      </c>
      <c r="E10" s="356" t="s">
        <v>1005</v>
      </c>
      <c r="F10" s="355">
        <v>2.5000000000000001E-3</v>
      </c>
      <c r="G10" s="356" t="s">
        <v>1005</v>
      </c>
      <c r="H10" s="355">
        <v>1.1999999999999999E-3</v>
      </c>
      <c r="I10" s="356" t="s">
        <v>1006</v>
      </c>
      <c r="J10" s="1732">
        <f>ROUND(D10+F10+H10,5)</f>
        <v>1.9800000000000002E-2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5205123</v>
      </c>
      <c r="E16" s="356"/>
      <c r="F16" s="1733">
        <f>SUM('Acct Summary 7-8'!C17,'Acct Summary 7-8'!D17,'Acct Summary 7-8'!F17)</f>
        <v>4571882</v>
      </c>
      <c r="G16" s="356"/>
      <c r="H16" s="1733">
        <f>SUM(D16-F16)</f>
        <v>633241</v>
      </c>
      <c r="I16" s="222"/>
      <c r="J16" s="1733">
        <f>SUM('Acct Summary 7-8'!C81,'Acct Summary 7-8'!D81,'Acct Summary 7-8'!F81,'Acct Summary 7-8'!I81)</f>
        <v>3725035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35">
        <f>IF(B31="X",(J7*0.069),IF(B32="X",(J7*0.138),"Enter x in a.or b."))</f>
        <v>8655733.9800000004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43759257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HALL HSD 502</v>
      </c>
      <c r="E7" s="391"/>
      <c r="G7" s="252"/>
      <c r="H7" s="387"/>
      <c r="I7" s="387"/>
      <c r="J7" s="387"/>
      <c r="K7" s="387"/>
      <c r="L7" s="329"/>
      <c r="M7" s="329"/>
      <c r="N7" s="329"/>
      <c r="O7" s="329"/>
      <c r="P7" s="329"/>
    </row>
    <row r="8" spans="1:18" ht="12.75" x14ac:dyDescent="0.2">
      <c r="A8" s="329"/>
      <c r="B8" s="329"/>
      <c r="C8" s="389" t="s">
        <v>1125</v>
      </c>
      <c r="D8" s="392">
        <f>COVER!A13</f>
        <v>28006502017</v>
      </c>
      <c r="E8" s="393"/>
      <c r="G8" s="329"/>
      <c r="H8" s="329"/>
      <c r="I8" s="329"/>
      <c r="J8" s="329"/>
      <c r="K8" s="329"/>
      <c r="L8" s="329"/>
      <c r="M8" s="329"/>
      <c r="N8" s="329"/>
      <c r="O8" s="329"/>
      <c r="P8" s="329"/>
    </row>
    <row r="9" spans="1:18" ht="12.75" x14ac:dyDescent="0.2">
      <c r="A9" s="329"/>
      <c r="B9" s="329"/>
      <c r="C9" s="389" t="s">
        <v>713</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3725035</v>
      </c>
      <c r="I12" s="404"/>
      <c r="J12" s="404"/>
      <c r="K12" s="405">
        <f>TRUNC((H12/H13*100000),5)/100000</f>
        <v>0.71564783379999997</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5205123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4571882</v>
      </c>
      <c r="I17" s="404"/>
      <c r="J17" s="416"/>
      <c r="K17" s="405">
        <f>TRUNC((H17/H18*100000),5)/100000</f>
        <v>0.87834274040000004</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5205123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3756535</v>
      </c>
      <c r="I24" s="422"/>
      <c r="J24" s="422"/>
      <c r="K24" s="423">
        <f>TRUNC(((H24/H25*100000)/100000),2)</f>
        <v>295.79000000000002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12699.67222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2111246.4186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43759257</v>
      </c>
      <c r="I32" s="420"/>
      <c r="J32" s="420"/>
      <c r="K32" s="423">
        <f>TRUNC(100-((((H32/H33*100))*100)/100),2)</f>
        <v>-405.55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8655733.9800000004</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f>974444+10128+500+127100</f>
        <v>1112172</v>
      </c>
      <c r="D4" s="466">
        <f>546182+127100</f>
        <v>673282</v>
      </c>
      <c r="E4" s="466">
        <v>59335</v>
      </c>
      <c r="F4" s="466">
        <v>70312</v>
      </c>
      <c r="G4" s="466">
        <v>111875</v>
      </c>
      <c r="H4" s="466"/>
      <c r="I4" s="466">
        <f>144424+1756345</f>
        <v>1900769</v>
      </c>
      <c r="J4" s="467">
        <f>81992</f>
        <v>81992</v>
      </c>
      <c r="K4" s="466"/>
      <c r="L4" s="466">
        <v>407871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v>31500</v>
      </c>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1112172</v>
      </c>
      <c r="D13" s="1737">
        <f t="shared" ref="D13:L13" si="0">SUM(D4:D12)</f>
        <v>673282</v>
      </c>
      <c r="E13" s="1737">
        <f t="shared" si="0"/>
        <v>59335</v>
      </c>
      <c r="F13" s="1737">
        <f t="shared" si="0"/>
        <v>70312</v>
      </c>
      <c r="G13" s="1737">
        <f t="shared" si="0"/>
        <v>111875</v>
      </c>
      <c r="H13" s="1737">
        <f t="shared" si="0"/>
        <v>0</v>
      </c>
      <c r="I13" s="1737">
        <f t="shared" si="0"/>
        <v>1900769</v>
      </c>
      <c r="J13" s="1737">
        <f t="shared" si="0"/>
        <v>113492</v>
      </c>
      <c r="K13" s="1737">
        <f t="shared" si="0"/>
        <v>0</v>
      </c>
      <c r="L13" s="1737">
        <f t="shared" si="0"/>
        <v>407871</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51157</v>
      </c>
      <c r="N16" s="484"/>
    </row>
    <row r="17" spans="1:14" s="485" customFormat="1" ht="12.75" customHeight="1" x14ac:dyDescent="0.2">
      <c r="A17" s="482" t="s">
        <v>1403</v>
      </c>
      <c r="B17" s="483">
        <v>230</v>
      </c>
      <c r="C17" s="477"/>
      <c r="D17" s="477"/>
      <c r="E17" s="477"/>
      <c r="F17" s="477"/>
      <c r="G17" s="477"/>
      <c r="H17" s="477"/>
      <c r="I17" s="477"/>
      <c r="J17" s="477"/>
      <c r="K17" s="477"/>
      <c r="L17" s="477"/>
      <c r="M17" s="467">
        <v>31985115</v>
      </c>
      <c r="N17" s="484"/>
    </row>
    <row r="18" spans="1:14" s="485" customFormat="1" ht="12.75" customHeight="1" x14ac:dyDescent="0.2">
      <c r="A18" s="482" t="s">
        <v>1404</v>
      </c>
      <c r="B18" s="483">
        <v>240</v>
      </c>
      <c r="C18" s="477"/>
      <c r="D18" s="477"/>
      <c r="E18" s="477"/>
      <c r="F18" s="477"/>
      <c r="G18" s="477"/>
      <c r="H18" s="477"/>
      <c r="I18" s="477"/>
      <c r="J18" s="477"/>
      <c r="K18" s="477"/>
      <c r="L18" s="477"/>
      <c r="M18" s="467">
        <v>173052</v>
      </c>
      <c r="N18" s="484"/>
    </row>
    <row r="19" spans="1:14" s="485" customFormat="1" ht="12.75" customHeight="1" x14ac:dyDescent="0.2">
      <c r="A19" s="482" t="s">
        <v>1405</v>
      </c>
      <c r="B19" s="483">
        <v>250</v>
      </c>
      <c r="C19" s="477"/>
      <c r="D19" s="477"/>
      <c r="E19" s="477"/>
      <c r="F19" s="477"/>
      <c r="G19" s="477"/>
      <c r="H19" s="477"/>
      <c r="I19" s="477"/>
      <c r="J19" s="477"/>
      <c r="K19" s="477"/>
      <c r="L19" s="477"/>
      <c r="M19" s="467">
        <v>760048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59335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43699922</v>
      </c>
    </row>
    <row r="23" spans="1:14" ht="13.5" customHeight="1" thickBot="1" x14ac:dyDescent="0.25">
      <c r="A23" s="1736" t="s">
        <v>643</v>
      </c>
      <c r="B23" s="1741"/>
      <c r="C23" s="468"/>
      <c r="D23" s="468"/>
      <c r="E23" s="468"/>
      <c r="F23" s="468"/>
      <c r="G23" s="468"/>
      <c r="H23" s="468"/>
      <c r="I23" s="468"/>
      <c r="J23" s="468"/>
      <c r="K23" s="468"/>
      <c r="L23" s="468"/>
      <c r="M23" s="1688">
        <f>SUM(M15:M22)</f>
        <v>32969372</v>
      </c>
      <c r="N23" s="1688">
        <f>SUM(N21:N22)</f>
        <v>43759257</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v>31500</v>
      </c>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407871</v>
      </c>
      <c r="M33" s="468"/>
      <c r="N33" s="469"/>
    </row>
    <row r="34" spans="1:14" ht="13.5" customHeight="1" thickBot="1" x14ac:dyDescent="0.25">
      <c r="A34" s="1738" t="s">
        <v>654</v>
      </c>
      <c r="B34" s="1739"/>
      <c r="C34" s="1740">
        <f>SUM(C25:C33)</f>
        <v>31500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407871</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43759257</v>
      </c>
    </row>
    <row r="37" spans="1:14" ht="13.5" thickBot="1" x14ac:dyDescent="0.25">
      <c r="A37" s="1736" t="s">
        <v>653</v>
      </c>
      <c r="B37" s="1741"/>
      <c r="C37" s="477"/>
      <c r="D37" s="477"/>
      <c r="E37" s="477"/>
      <c r="F37" s="477"/>
      <c r="G37" s="477"/>
      <c r="H37" s="477"/>
      <c r="I37" s="477"/>
      <c r="J37" s="477"/>
      <c r="K37" s="477"/>
      <c r="L37" s="480"/>
      <c r="M37" s="468"/>
      <c r="N37" s="1688">
        <f>SUM(N36:N36)</f>
        <v>43759257</v>
      </c>
    </row>
    <row r="38" spans="1:14" s="329" customFormat="1" ht="13.5" customHeight="1" thickTop="1" x14ac:dyDescent="0.2">
      <c r="A38" s="496" t="s">
        <v>420</v>
      </c>
      <c r="B38" s="483">
        <v>714</v>
      </c>
      <c r="C38" s="466">
        <v>74377</v>
      </c>
      <c r="D38" s="466"/>
      <c r="E38" s="466"/>
      <c r="F38" s="466"/>
      <c r="G38" s="466">
        <v>21844</v>
      </c>
      <c r="H38" s="466"/>
      <c r="I38" s="466"/>
      <c r="J38" s="467"/>
      <c r="K38" s="466"/>
      <c r="L38" s="481"/>
      <c r="M38" s="497"/>
      <c r="N38" s="497"/>
    </row>
    <row r="39" spans="1:14" s="329" customFormat="1" ht="13.5" customHeight="1" x14ac:dyDescent="0.2">
      <c r="A39" s="496" t="s">
        <v>342</v>
      </c>
      <c r="B39" s="483">
        <v>730</v>
      </c>
      <c r="C39" s="466">
        <f>1080672-74377</f>
        <v>1006295</v>
      </c>
      <c r="D39" s="466">
        <v>673282</v>
      </c>
      <c r="E39" s="466">
        <v>59335</v>
      </c>
      <c r="F39" s="466">
        <v>70312</v>
      </c>
      <c r="G39" s="466">
        <f>111875-21844</f>
        <v>90031</v>
      </c>
      <c r="H39" s="466"/>
      <c r="I39" s="466">
        <v>1900769</v>
      </c>
      <c r="J39" s="467">
        <v>113492</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32969372</v>
      </c>
      <c r="N40" s="497"/>
    </row>
    <row r="41" spans="1:14" ht="13.5" customHeight="1" thickBot="1" x14ac:dyDescent="0.25">
      <c r="A41" s="1736" t="s">
        <v>655</v>
      </c>
      <c r="B41" s="1706"/>
      <c r="C41" s="1688">
        <f>(SUM(C34,C37,C38,C39))</f>
        <v>1112172</v>
      </c>
      <c r="D41" s="1688">
        <f t="shared" ref="D41:L41" si="2">SUM(D34,D37,D38:D39)</f>
        <v>673282</v>
      </c>
      <c r="E41" s="1688">
        <f t="shared" si="2"/>
        <v>59335</v>
      </c>
      <c r="F41" s="1688">
        <f t="shared" si="2"/>
        <v>70312</v>
      </c>
      <c r="G41" s="1688">
        <f t="shared" si="2"/>
        <v>111875</v>
      </c>
      <c r="H41" s="1688">
        <f t="shared" si="2"/>
        <v>0</v>
      </c>
      <c r="I41" s="1688">
        <f t="shared" si="2"/>
        <v>1900769</v>
      </c>
      <c r="J41" s="1688">
        <f t="shared" si="2"/>
        <v>113492</v>
      </c>
      <c r="K41" s="1688">
        <f t="shared" si="2"/>
        <v>0</v>
      </c>
      <c r="L41" s="1688">
        <f t="shared" si="2"/>
        <v>407871</v>
      </c>
      <c r="M41" s="1688">
        <f>SUM(M40)</f>
        <v>32969372</v>
      </c>
      <c r="N41" s="1688">
        <f>SUM(N37)</f>
        <v>43759257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pane="bottomLeft" activeCell="A39" sqref="A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2602819</v>
      </c>
      <c r="D4" s="1742">
        <f>'Revenues 9-14'!D109</f>
        <v>306977</v>
      </c>
      <c r="E4" s="1742">
        <f>'Revenues 9-14'!E109</f>
        <v>2555042</v>
      </c>
      <c r="F4" s="1742">
        <f>'Revenues 9-14'!F109</f>
        <v>144905</v>
      </c>
      <c r="G4" s="1742">
        <f>'Revenues 9-14'!G109</f>
        <v>168218</v>
      </c>
      <c r="H4" s="1742">
        <f>'Revenues 9-14'!H109</f>
        <v>0</v>
      </c>
      <c r="I4" s="1742">
        <f>'Revenues 9-14'!I109</f>
        <v>91021</v>
      </c>
      <c r="J4" s="1742">
        <f>'Revenues 9-14'!J109</f>
        <v>387618</v>
      </c>
      <c r="K4" s="1742">
        <f>'Revenues 9-14'!K109</f>
        <v>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1293653</v>
      </c>
      <c r="D6" s="1743">
        <f>'Revenues 9-14'!D170</f>
        <v>399712</v>
      </c>
      <c r="E6" s="1743">
        <f>'Revenues 9-14'!E170</f>
        <v>0</v>
      </c>
      <c r="F6" s="1743">
        <f>'Revenues 9-14'!F170</f>
        <v>41956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324080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4220552</v>
      </c>
      <c r="D8" s="1688">
        <f t="shared" ref="D8:K8" si="0">SUM(D4:D7)</f>
        <v>706689</v>
      </c>
      <c r="E8" s="1688">
        <f t="shared" si="0"/>
        <v>2555042</v>
      </c>
      <c r="F8" s="1688">
        <f t="shared" si="0"/>
        <v>186861</v>
      </c>
      <c r="G8" s="1688">
        <f t="shared" si="0"/>
        <v>168218</v>
      </c>
      <c r="H8" s="1688">
        <f t="shared" si="0"/>
        <v>0</v>
      </c>
      <c r="I8" s="1688">
        <f t="shared" si="0"/>
        <v>91021</v>
      </c>
      <c r="J8" s="1688">
        <f t="shared" si="0"/>
        <v>387618</v>
      </c>
      <c r="K8" s="1688">
        <f t="shared" si="0"/>
        <v>1</v>
      </c>
      <c r="L8" s="347"/>
    </row>
    <row r="9" spans="1:13" ht="15.75" thickTop="1" x14ac:dyDescent="0.2">
      <c r="A9" s="514" t="s">
        <v>1653</v>
      </c>
      <c r="B9" s="515">
        <v>3998</v>
      </c>
      <c r="C9" s="481">
        <f>1648652+32116</f>
        <v>1680768</v>
      </c>
      <c r="D9" s="516"/>
      <c r="E9" s="481"/>
      <c r="F9" s="481"/>
      <c r="G9" s="517"/>
      <c r="H9" s="481"/>
      <c r="I9" s="509" t="s">
        <v>1169</v>
      </c>
      <c r="J9" s="478"/>
      <c r="K9" s="481"/>
      <c r="L9" s="347"/>
    </row>
    <row r="10" spans="1:13" s="519" customFormat="1" ht="13.5" thickBot="1" x14ac:dyDescent="0.25">
      <c r="A10" s="1736" t="s">
        <v>1173</v>
      </c>
      <c r="B10" s="1709"/>
      <c r="C10" s="1688">
        <f>SUM(C8:C9)</f>
        <v>5901320</v>
      </c>
      <c r="D10" s="1688">
        <f t="shared" ref="D10:K10" si="1">SUM(D8:D9)</f>
        <v>706689</v>
      </c>
      <c r="E10" s="1688">
        <f t="shared" si="1"/>
        <v>2555042</v>
      </c>
      <c r="F10" s="1688">
        <f t="shared" si="1"/>
        <v>186861</v>
      </c>
      <c r="G10" s="1688">
        <f t="shared" si="1"/>
        <v>168218</v>
      </c>
      <c r="H10" s="1688">
        <f t="shared" si="1"/>
        <v>0</v>
      </c>
      <c r="I10" s="1688">
        <f t="shared" si="1"/>
        <v>91021</v>
      </c>
      <c r="J10" s="1688">
        <f t="shared" si="1"/>
        <v>387618</v>
      </c>
      <c r="K10" s="1688">
        <f t="shared" si="1"/>
        <v>1</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2790051</v>
      </c>
      <c r="D12" s="520" t="s">
        <v>1169</v>
      </c>
      <c r="E12" s="468" t="s">
        <v>1169</v>
      </c>
      <c r="F12" s="468" t="s">
        <v>1169</v>
      </c>
      <c r="G12" s="1742">
        <f>'Expenditures 15-22'!K229</f>
        <v>51905</v>
      </c>
      <c r="H12" s="521"/>
      <c r="I12" s="468" t="s">
        <v>1169</v>
      </c>
      <c r="J12" s="468" t="s">
        <v>1169</v>
      </c>
      <c r="K12" s="521" t="s">
        <v>1169</v>
      </c>
      <c r="L12" s="347"/>
    </row>
    <row r="13" spans="1:13" ht="15.75" customHeight="1" x14ac:dyDescent="0.2">
      <c r="A13" s="1576" t="s">
        <v>457</v>
      </c>
      <c r="B13" s="1578">
        <v>2000</v>
      </c>
      <c r="C13" s="1743">
        <f>'Expenditures 15-22'!K74</f>
        <v>994486</v>
      </c>
      <c r="D13" s="1743">
        <f>'Expenditures 15-22'!K129</f>
        <v>475974</v>
      </c>
      <c r="E13" s="469" t="s">
        <v>1169</v>
      </c>
      <c r="F13" s="1743">
        <f>'Expenditures 15-22'!K184</f>
        <v>157786</v>
      </c>
      <c r="G13" s="1743">
        <f>'Expenditures 15-22'!K279</f>
        <v>88495</v>
      </c>
      <c r="H13" s="1743">
        <f>'Expenditures 15-22'!K303</f>
        <v>0</v>
      </c>
      <c r="I13" s="468" t="s">
        <v>1169</v>
      </c>
      <c r="J13" s="1743">
        <f>'Expenditures 15-22'!K330</f>
        <v>335562</v>
      </c>
      <c r="K13" s="1747">
        <f>'Expenditures 15-22'!K352</f>
        <v>97</v>
      </c>
      <c r="L13" s="347"/>
    </row>
    <row r="14" spans="1:13" ht="15.75" customHeight="1" x14ac:dyDescent="0.2">
      <c r="A14" s="1576" t="s">
        <v>449</v>
      </c>
      <c r="B14" s="1578">
        <v>3000</v>
      </c>
      <c r="C14" s="1743">
        <f>'Expenditures 15-22'!K75</f>
        <v>7831</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130572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2617715</v>
      </c>
      <c r="F16" s="1743">
        <f>'Expenditures 15-22'!K208</f>
        <v>15182</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3922940</v>
      </c>
      <c r="D17" s="1688">
        <f t="shared" si="2"/>
        <v>475974</v>
      </c>
      <c r="E17" s="1688">
        <f t="shared" si="2"/>
        <v>2617715</v>
      </c>
      <c r="F17" s="1688">
        <f t="shared" si="2"/>
        <v>172968</v>
      </c>
      <c r="G17" s="1688">
        <f t="shared" si="2"/>
        <v>140400</v>
      </c>
      <c r="H17" s="1688">
        <f t="shared" si="2"/>
        <v>0</v>
      </c>
      <c r="I17" s="468"/>
      <c r="J17" s="1688">
        <f>SUM(J12:J16)</f>
        <v>335562</v>
      </c>
      <c r="K17" s="1688">
        <f>SUM(K12:K16)</f>
        <v>97</v>
      </c>
      <c r="L17" s="347"/>
    </row>
    <row r="18" spans="1:12" ht="15" customHeight="1" thickTop="1" x14ac:dyDescent="0.2">
      <c r="A18" s="1744" t="s">
        <v>1654</v>
      </c>
      <c r="B18" s="1745">
        <v>4180</v>
      </c>
      <c r="C18" s="1742">
        <f t="shared" ref="C18:H18" si="3">C9</f>
        <v>1680768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5603708</v>
      </c>
      <c r="D19" s="1688">
        <f t="shared" si="4"/>
        <v>475974</v>
      </c>
      <c r="E19" s="1688">
        <f t="shared" si="4"/>
        <v>2617715</v>
      </c>
      <c r="F19" s="1688">
        <f t="shared" si="4"/>
        <v>172968</v>
      </c>
      <c r="G19" s="1688">
        <f t="shared" si="4"/>
        <v>140400</v>
      </c>
      <c r="H19" s="1688">
        <f t="shared" si="4"/>
        <v>0</v>
      </c>
      <c r="I19" s="468"/>
      <c r="J19" s="1688">
        <f>SUM(J17:J18)</f>
        <v>335562</v>
      </c>
      <c r="K19" s="1688">
        <f>SUM(K17:K18)</f>
        <v>97</v>
      </c>
      <c r="L19" s="347"/>
    </row>
    <row r="20" spans="1:12" ht="16.5" thickTop="1" thickBot="1" x14ac:dyDescent="0.25">
      <c r="A20" s="2126" t="s">
        <v>1655</v>
      </c>
      <c r="B20" s="2127"/>
      <c r="C20" s="1746">
        <f>C8-C17</f>
        <v>297612</v>
      </c>
      <c r="D20" s="1746">
        <f t="shared" ref="D20:K20" si="5">D8-D17</f>
        <v>230715</v>
      </c>
      <c r="E20" s="1746">
        <f t="shared" si="5"/>
        <v>-62673</v>
      </c>
      <c r="F20" s="1746">
        <f t="shared" si="5"/>
        <v>13893</v>
      </c>
      <c r="G20" s="1746">
        <f t="shared" si="5"/>
        <v>27818</v>
      </c>
      <c r="H20" s="1746">
        <f t="shared" si="5"/>
        <v>0</v>
      </c>
      <c r="I20" s="1746">
        <f t="shared" si="5"/>
        <v>91021</v>
      </c>
      <c r="J20" s="1746">
        <f t="shared" si="5"/>
        <v>52056</v>
      </c>
      <c r="K20" s="1746">
        <f t="shared" si="5"/>
        <v>-96</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v>125000</v>
      </c>
      <c r="D24" s="477"/>
      <c r="E24" s="477"/>
      <c r="F24" s="477"/>
      <c r="G24" s="477"/>
      <c r="H24" s="477"/>
      <c r="I24" s="477"/>
      <c r="J24" s="477"/>
      <c r="K24" s="477"/>
      <c r="L24" s="524"/>
    </row>
    <row r="25" spans="1:12" s="485" customFormat="1" ht="13.5" customHeight="1" x14ac:dyDescent="0.2">
      <c r="A25" s="1489" t="s">
        <v>1657</v>
      </c>
      <c r="B25" s="525">
        <v>7110</v>
      </c>
      <c r="C25" s="467"/>
      <c r="D25" s="467">
        <v>125000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1000000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125000</v>
      </c>
      <c r="D44" s="1703">
        <f t="shared" ref="D44:K44" si="6">SUM(D24:D43)</f>
        <v>125000</v>
      </c>
      <c r="E44" s="1703">
        <f t="shared" si="6"/>
        <v>0</v>
      </c>
      <c r="F44" s="1703">
        <f t="shared" si="6"/>
        <v>0</v>
      </c>
      <c r="G44" s="1703">
        <f t="shared" si="6"/>
        <v>0</v>
      </c>
      <c r="H44" s="1703">
        <f t="shared" si="6"/>
        <v>0</v>
      </c>
      <c r="I44" s="1703">
        <f t="shared" si="6"/>
        <v>1000000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250000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f>2785+26000</f>
        <v>28785</v>
      </c>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278785</v>
      </c>
      <c r="J76" s="1703">
        <f t="shared" si="7"/>
        <v>0</v>
      </c>
      <c r="K76" s="1703">
        <f t="shared" si="7"/>
        <v>0</v>
      </c>
      <c r="L76" s="524"/>
    </row>
    <row r="77" spans="1:12" ht="14.25" thickTop="1" thickBot="1" x14ac:dyDescent="0.25">
      <c r="A77" s="2118" t="s">
        <v>1177</v>
      </c>
      <c r="B77" s="2119"/>
      <c r="C77" s="1703">
        <f t="shared" ref="C77:K77" si="8">C44-C76</f>
        <v>125000</v>
      </c>
      <c r="D77" s="1703">
        <f t="shared" si="8"/>
        <v>125000</v>
      </c>
      <c r="E77" s="1703">
        <f t="shared" si="8"/>
        <v>0</v>
      </c>
      <c r="F77" s="1703">
        <f t="shared" si="8"/>
        <v>0</v>
      </c>
      <c r="G77" s="1703">
        <f t="shared" si="8"/>
        <v>0</v>
      </c>
      <c r="H77" s="1703">
        <f t="shared" si="8"/>
        <v>0</v>
      </c>
      <c r="I77" s="1703">
        <f t="shared" si="8"/>
        <v>721215</v>
      </c>
      <c r="J77" s="1703">
        <f t="shared" si="8"/>
        <v>0</v>
      </c>
      <c r="K77" s="1703">
        <f t="shared" si="8"/>
        <v>0</v>
      </c>
      <c r="L77" s="347"/>
    </row>
    <row r="78" spans="1:12" ht="21.75" customHeight="1" thickTop="1" thickBot="1" x14ac:dyDescent="0.25">
      <c r="A78" s="2122" t="s">
        <v>597</v>
      </c>
      <c r="B78" s="2123"/>
      <c r="C78" s="1702">
        <f t="shared" ref="C78:K78" si="9">C20+C77</f>
        <v>422612</v>
      </c>
      <c r="D78" s="1702">
        <f t="shared" si="9"/>
        <v>355715</v>
      </c>
      <c r="E78" s="1702">
        <f t="shared" si="9"/>
        <v>-62673</v>
      </c>
      <c r="F78" s="1702">
        <f t="shared" si="9"/>
        <v>13893</v>
      </c>
      <c r="G78" s="1702">
        <f t="shared" si="9"/>
        <v>27818</v>
      </c>
      <c r="H78" s="1702">
        <f t="shared" si="9"/>
        <v>0</v>
      </c>
      <c r="I78" s="1702">
        <f t="shared" si="9"/>
        <v>812236</v>
      </c>
      <c r="J78" s="1702">
        <f t="shared" si="9"/>
        <v>52056</v>
      </c>
      <c r="K78" s="1702">
        <f t="shared" si="9"/>
        <v>-96</v>
      </c>
      <c r="L78" s="533"/>
    </row>
    <row r="79" spans="1:12" ht="13.5" thickTop="1" x14ac:dyDescent="0.2">
      <c r="A79" s="1494" t="s">
        <v>1948</v>
      </c>
      <c r="B79" s="534"/>
      <c r="C79" s="478">
        <v>658060</v>
      </c>
      <c r="D79" s="535">
        <v>317567</v>
      </c>
      <c r="E79" s="535">
        <v>122008</v>
      </c>
      <c r="F79" s="535">
        <v>56419</v>
      </c>
      <c r="G79" s="535">
        <v>84057</v>
      </c>
      <c r="H79" s="535"/>
      <c r="I79" s="535">
        <v>1088533</v>
      </c>
      <c r="J79" s="535">
        <v>61436</v>
      </c>
      <c r="K79" s="535">
        <v>96</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1949</v>
      </c>
      <c r="B81" s="2121"/>
      <c r="C81" s="1688">
        <f>(SUM(C78:C80))</f>
        <v>1080672</v>
      </c>
      <c r="D81" s="1688">
        <f>SUM(D78:D80)</f>
        <v>673282</v>
      </c>
      <c r="E81" s="1688">
        <f t="shared" ref="E81:K81" si="10">SUM(E78:E80)</f>
        <v>59335</v>
      </c>
      <c r="F81" s="1688">
        <f t="shared" si="10"/>
        <v>70312</v>
      </c>
      <c r="G81" s="1688">
        <f t="shared" si="10"/>
        <v>111875</v>
      </c>
      <c r="H81" s="1688">
        <f t="shared" si="10"/>
        <v>0</v>
      </c>
      <c r="I81" s="1688">
        <f t="shared" si="10"/>
        <v>1900769</v>
      </c>
      <c r="J81" s="1688">
        <f t="shared" si="10"/>
        <v>113492</v>
      </c>
      <c r="K81" s="1688">
        <f t="shared" si="10"/>
        <v>0</v>
      </c>
      <c r="L81" s="347"/>
    </row>
    <row r="82" spans="1:12" ht="0.75" customHeight="1" thickTop="1" thickBot="1" x14ac:dyDescent="0.25">
      <c r="A82" s="536" t="s">
        <v>343</v>
      </c>
      <c r="B82" s="537"/>
      <c r="C82" s="538">
        <f>(C81-C79)</f>
        <v>422612</v>
      </c>
      <c r="D82" s="538">
        <f t="shared" ref="D82:K82" si="11">(D81-D79)</f>
        <v>355715</v>
      </c>
      <c r="E82" s="538">
        <f t="shared" si="11"/>
        <v>-62673</v>
      </c>
      <c r="F82" s="538">
        <f t="shared" si="11"/>
        <v>13893</v>
      </c>
      <c r="G82" s="538">
        <f t="shared" si="11"/>
        <v>27818</v>
      </c>
      <c r="H82" s="538">
        <f t="shared" si="11"/>
        <v>0</v>
      </c>
      <c r="I82" s="538">
        <f t="shared" si="11"/>
        <v>812236</v>
      </c>
      <c r="J82" s="538">
        <f t="shared" si="11"/>
        <v>52056</v>
      </c>
      <c r="K82" s="538">
        <f t="shared" si="11"/>
        <v>-96</v>
      </c>
    </row>
    <row r="83" spans="1:12" ht="14.25" hidden="1" thickTop="1" thickBot="1" x14ac:dyDescent="0.25">
      <c r="A83" s="539" t="s">
        <v>344</v>
      </c>
      <c r="B83" s="464"/>
      <c r="C83" s="540">
        <f>C82/C81</f>
        <v>0.39106407864736015</v>
      </c>
      <c r="D83" s="540">
        <f t="shared" ref="D83:K83" si="12">D82/D81</f>
        <v>0.52832988257520619</v>
      </c>
      <c r="E83" s="540">
        <f t="shared" si="12"/>
        <v>-1.0562568467177889</v>
      </c>
      <c r="F83" s="540">
        <f t="shared" si="12"/>
        <v>0.19759073842302879</v>
      </c>
      <c r="G83" s="540">
        <f t="shared" si="12"/>
        <v>0.24865251396648044</v>
      </c>
      <c r="H83" s="540" t="e">
        <f t="shared" si="12"/>
        <v>#DIV/0!</v>
      </c>
      <c r="I83" s="540">
        <f t="shared" si="12"/>
        <v>0.42731967956127231</v>
      </c>
      <c r="J83" s="540">
        <f t="shared" si="12"/>
        <v>0.45867550135692381</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2" activePane="bottomLeft" state="frozen"/>
      <selection pane="bottomLeft" activeCell="C77" sqref="C7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1940012</v>
      </c>
      <c r="D5" s="481">
        <v>301244</v>
      </c>
      <c r="E5" s="466">
        <v>2552651</v>
      </c>
      <c r="F5" s="548">
        <v>144597</v>
      </c>
      <c r="G5" s="466">
        <v>79432</v>
      </c>
      <c r="H5" s="466"/>
      <c r="I5" s="466">
        <v>60249</v>
      </c>
      <c r="J5" s="467">
        <v>387208</v>
      </c>
      <c r="K5" s="466"/>
    </row>
    <row r="6" spans="1:12" ht="15" x14ac:dyDescent="0.2">
      <c r="A6" s="463" t="s">
        <v>1662</v>
      </c>
      <c r="B6" s="470">
        <v>1130</v>
      </c>
      <c r="C6" s="466">
        <v>60249</v>
      </c>
      <c r="D6" s="466"/>
      <c r="E6" s="475"/>
      <c r="F6" s="475"/>
      <c r="G6" s="468"/>
      <c r="H6" s="468"/>
      <c r="I6" s="468"/>
      <c r="J6" s="468"/>
      <c r="K6" s="468"/>
    </row>
    <row r="7" spans="1:12" x14ac:dyDescent="0.2">
      <c r="A7" s="463" t="s">
        <v>110</v>
      </c>
      <c r="B7" s="549">
        <v>1140</v>
      </c>
      <c r="C7" s="466">
        <v>24100</v>
      </c>
      <c r="D7" s="466"/>
      <c r="E7" s="468"/>
      <c r="F7" s="467"/>
      <c r="G7" s="467"/>
      <c r="H7" s="467"/>
      <c r="I7" s="468"/>
      <c r="J7" s="468"/>
      <c r="K7" s="468"/>
    </row>
    <row r="8" spans="1:12" x14ac:dyDescent="0.2">
      <c r="A8" s="463" t="s">
        <v>413</v>
      </c>
      <c r="B8" s="470">
        <v>1150</v>
      </c>
      <c r="C8" s="475"/>
      <c r="D8" s="475"/>
      <c r="E8" s="477"/>
      <c r="F8" s="477"/>
      <c r="G8" s="481">
        <v>84409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2024361</v>
      </c>
      <c r="D12" s="1707">
        <f t="shared" si="0"/>
        <v>301244</v>
      </c>
      <c r="E12" s="1707">
        <f t="shared" si="0"/>
        <v>2552651</v>
      </c>
      <c r="F12" s="1707">
        <f t="shared" si="0"/>
        <v>144597</v>
      </c>
      <c r="G12" s="1707">
        <f t="shared" si="0"/>
        <v>163841</v>
      </c>
      <c r="H12" s="1707">
        <f t="shared" si="0"/>
        <v>0</v>
      </c>
      <c r="I12" s="1707">
        <f t="shared" si="0"/>
        <v>60249</v>
      </c>
      <c r="J12" s="1707">
        <f t="shared" si="0"/>
        <v>387208</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131230</v>
      </c>
      <c r="D16" s="466"/>
      <c r="E16" s="466"/>
      <c r="F16" s="466"/>
      <c r="G16" s="466">
        <v>4000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131230</v>
      </c>
      <c r="D18" s="1710">
        <f t="shared" ref="D18:K18" si="1">SUM(D14:D17)</f>
        <v>0</v>
      </c>
      <c r="E18" s="1710">
        <f t="shared" si="1"/>
        <v>0</v>
      </c>
      <c r="F18" s="1710">
        <f t="shared" si="1"/>
        <v>0</v>
      </c>
      <c r="G18" s="1710">
        <f t="shared" si="1"/>
        <v>4000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5766</v>
      </c>
      <c r="D65" s="466">
        <v>3598</v>
      </c>
      <c r="E65" s="466">
        <v>2391</v>
      </c>
      <c r="F65" s="467">
        <v>308</v>
      </c>
      <c r="G65" s="466">
        <v>377</v>
      </c>
      <c r="H65" s="466"/>
      <c r="I65" s="466">
        <v>30772</v>
      </c>
      <c r="J65" s="467">
        <v>410</v>
      </c>
      <c r="K65" s="466">
        <v>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5766</v>
      </c>
      <c r="D67" s="1688">
        <f t="shared" ref="D67:K67" si="2">SUM(D65:D66)</f>
        <v>3598</v>
      </c>
      <c r="E67" s="1688">
        <f t="shared" si="2"/>
        <v>2391</v>
      </c>
      <c r="F67" s="1688">
        <f t="shared" si="2"/>
        <v>308</v>
      </c>
      <c r="G67" s="1688">
        <f t="shared" si="2"/>
        <v>377</v>
      </c>
      <c r="H67" s="1688">
        <f t="shared" si="2"/>
        <v>0</v>
      </c>
      <c r="I67" s="1688">
        <f t="shared" si="2"/>
        <v>30772</v>
      </c>
      <c r="J67" s="1688">
        <f t="shared" si="2"/>
        <v>410</v>
      </c>
      <c r="K67" s="1688">
        <f t="shared" si="2"/>
        <v>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116475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116475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40764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34804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75568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33574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16265</v>
      </c>
      <c r="D92" s="468"/>
      <c r="E92" s="468"/>
      <c r="F92" s="468"/>
      <c r="G92" s="468"/>
      <c r="H92" s="468"/>
      <c r="I92" s="468"/>
      <c r="J92" s="468"/>
      <c r="K92" s="468"/>
    </row>
    <row r="93" spans="1:11" ht="12.75" customHeight="1" thickBot="1" x14ac:dyDescent="0.25">
      <c r="A93" s="1708" t="s">
        <v>243</v>
      </c>
      <c r="B93" s="1709"/>
      <c r="C93" s="1688">
        <f>SUM(C84:C92)</f>
        <v>49839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2135</v>
      </c>
      <c r="E95" s="521"/>
      <c r="F95" s="521"/>
      <c r="G95" s="521"/>
      <c r="H95" s="521"/>
      <c r="I95" s="521"/>
      <c r="J95" s="521"/>
      <c r="K95" s="521"/>
    </row>
    <row r="96" spans="1:11" ht="12.75" customHeight="1" x14ac:dyDescent="0.2">
      <c r="A96" s="463" t="s">
        <v>391</v>
      </c>
      <c r="B96" s="470">
        <v>1920</v>
      </c>
      <c r="C96" s="551">
        <v>5633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160885</v>
      </c>
      <c r="D100" s="489"/>
      <c r="E100" s="489"/>
      <c r="F100" s="489"/>
      <c r="G100" s="489"/>
      <c r="H100" s="489"/>
      <c r="I100" s="467"/>
      <c r="J100" s="489"/>
      <c r="K100" s="467"/>
    </row>
    <row r="101" spans="1:12" ht="12.75" customHeight="1" x14ac:dyDescent="0.2">
      <c r="A101" s="463" t="s">
        <v>246</v>
      </c>
      <c r="B101" s="470">
        <v>1970</v>
      </c>
      <c r="C101" s="489">
        <v>30035</v>
      </c>
      <c r="D101" s="526"/>
      <c r="E101" s="480"/>
      <c r="F101" s="526"/>
      <c r="G101" s="475"/>
      <c r="H101" s="526"/>
      <c r="I101" s="468"/>
      <c r="J101" s="475"/>
      <c r="K101" s="475"/>
    </row>
    <row r="102" spans="1:12" ht="12.75" customHeight="1" x14ac:dyDescent="0.2">
      <c r="A102" s="463" t="s">
        <v>247</v>
      </c>
      <c r="B102" s="470">
        <v>1980</v>
      </c>
      <c r="C102" s="489">
        <v>1686</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1341</v>
      </c>
      <c r="D107" s="466"/>
      <c r="E107" s="466"/>
      <c r="F107" s="466"/>
      <c r="G107" s="466"/>
      <c r="H107" s="466"/>
      <c r="I107" s="466"/>
      <c r="J107" s="467"/>
      <c r="K107" s="466"/>
    </row>
    <row r="108" spans="1:12" ht="12.75" customHeight="1" thickBot="1" x14ac:dyDescent="0.25">
      <c r="A108" s="1708" t="s">
        <v>487</v>
      </c>
      <c r="B108" s="1712"/>
      <c r="C108" s="1707">
        <f>SUM(C95:C107)</f>
        <v>199580</v>
      </c>
      <c r="D108" s="1707">
        <f t="shared" ref="D108:K108" si="3">SUM(D95:D107)</f>
        <v>2135</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2602819</v>
      </c>
      <c r="D109" s="1715">
        <f t="shared" si="4"/>
        <v>306977</v>
      </c>
      <c r="E109" s="1715">
        <f t="shared" si="4"/>
        <v>2555042</v>
      </c>
      <c r="F109" s="1715">
        <f t="shared" si="4"/>
        <v>144905</v>
      </c>
      <c r="G109" s="1715">
        <f t="shared" si="4"/>
        <v>168218</v>
      </c>
      <c r="H109" s="1715">
        <f t="shared" si="4"/>
        <v>0</v>
      </c>
      <c r="I109" s="1715">
        <f t="shared" si="4"/>
        <v>91021</v>
      </c>
      <c r="J109" s="1715">
        <f t="shared" si="4"/>
        <v>387618</v>
      </c>
      <c r="K109" s="1702">
        <f t="shared" si="4"/>
        <v>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1249231</v>
      </c>
      <c r="D117" s="481">
        <v>399712</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1249231</v>
      </c>
      <c r="D122" s="1707">
        <f t="shared" si="5"/>
        <v>399712</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1990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1990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13314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13314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2063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24464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10726</v>
      </c>
      <c r="G152" s="467"/>
      <c r="H152" s="468"/>
      <c r="I152" s="468"/>
      <c r="J152" s="468"/>
      <c r="K152" s="468"/>
    </row>
    <row r="153" spans="1:11" ht="12.75" customHeight="1" x14ac:dyDescent="0.2">
      <c r="A153" s="463" t="s">
        <v>1057</v>
      </c>
      <c r="B153" s="562">
        <v>3510</v>
      </c>
      <c r="C153" s="551"/>
      <c r="D153" s="466"/>
      <c r="E153" s="561"/>
      <c r="F153" s="466">
        <v>31230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41956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2591</v>
      </c>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44422</v>
      </c>
      <c r="D169" s="1722">
        <f t="shared" si="6"/>
        <v>0</v>
      </c>
      <c r="E169" s="1722">
        <f t="shared" si="6"/>
        <v>0</v>
      </c>
      <c r="F169" s="1722">
        <f t="shared" si="6"/>
        <v>41956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1293653</v>
      </c>
      <c r="D170" s="1715">
        <f t="shared" si="7"/>
        <v>399712</v>
      </c>
      <c r="E170" s="1715">
        <f t="shared" si="7"/>
        <v>0</v>
      </c>
      <c r="F170" s="1715">
        <f t="shared" si="7"/>
        <v>41956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85424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15018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100442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112081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112081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v>14775</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14775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3468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3468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14470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7846</v>
      </c>
      <c r="D263" s="576"/>
      <c r="E263" s="468"/>
      <c r="F263" s="576"/>
      <c r="G263" s="576"/>
      <c r="H263" s="468"/>
      <c r="I263" s="468"/>
      <c r="J263" s="468"/>
      <c r="K263" s="468"/>
    </row>
    <row r="264" spans="1:11" ht="12.75" customHeight="1" thickTop="1" thickBot="1" x14ac:dyDescent="0.25">
      <c r="A264" s="463" t="s">
        <v>377</v>
      </c>
      <c r="B264" s="470">
        <v>4992</v>
      </c>
      <c r="C264" s="575">
        <v>70998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324080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324080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4220552</v>
      </c>
      <c r="D268" s="1715">
        <f t="shared" si="12"/>
        <v>706689</v>
      </c>
      <c r="E268" s="1715">
        <f t="shared" si="12"/>
        <v>2555042</v>
      </c>
      <c r="F268" s="1715">
        <f t="shared" si="12"/>
        <v>186861</v>
      </c>
      <c r="G268" s="1715">
        <f t="shared" si="12"/>
        <v>168218</v>
      </c>
      <c r="H268" s="1715">
        <f t="shared" si="12"/>
        <v>0</v>
      </c>
      <c r="I268" s="1715">
        <f t="shared" si="12"/>
        <v>91021</v>
      </c>
      <c r="J268" s="1715">
        <f t="shared" si="12"/>
        <v>387618</v>
      </c>
      <c r="K268" s="1702">
        <f t="shared" si="12"/>
        <v>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1137651</v>
      </c>
      <c r="D5" s="466">
        <v>370494</v>
      </c>
      <c r="E5" s="466">
        <v>25585</v>
      </c>
      <c r="F5" s="466">
        <v>28363</v>
      </c>
      <c r="G5" s="466"/>
      <c r="H5" s="466"/>
      <c r="I5" s="467"/>
      <c r="J5" s="467"/>
      <c r="K5" s="1671">
        <f>SUM(C5:J5)</f>
        <v>1562093</v>
      </c>
      <c r="L5" s="466">
        <v>1570625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343918</v>
      </c>
      <c r="D8" s="466">
        <v>136891</v>
      </c>
      <c r="E8" s="466">
        <v>1590</v>
      </c>
      <c r="F8" s="466">
        <v>1000</v>
      </c>
      <c r="G8" s="466"/>
      <c r="H8" s="466"/>
      <c r="I8" s="467"/>
      <c r="J8" s="467"/>
      <c r="K8" s="1671">
        <f t="shared" si="0"/>
        <v>483399</v>
      </c>
      <c r="L8" s="466">
        <v>518071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46993</v>
      </c>
      <c r="D10" s="466">
        <v>9270</v>
      </c>
      <c r="E10" s="466"/>
      <c r="F10" s="466">
        <v>36302</v>
      </c>
      <c r="G10" s="466"/>
      <c r="H10" s="466"/>
      <c r="I10" s="467"/>
      <c r="J10" s="467"/>
      <c r="K10" s="1671">
        <f t="shared" si="0"/>
        <v>92565</v>
      </c>
      <c r="L10" s="466">
        <v>77670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222968</v>
      </c>
      <c r="D13" s="466">
        <v>52265</v>
      </c>
      <c r="E13" s="466"/>
      <c r="F13" s="466">
        <v>7895</v>
      </c>
      <c r="G13" s="466"/>
      <c r="H13" s="466"/>
      <c r="I13" s="467"/>
      <c r="J13" s="467"/>
      <c r="K13" s="1671">
        <f t="shared" si="0"/>
        <v>283128</v>
      </c>
      <c r="L13" s="466">
        <v>295140</v>
      </c>
    </row>
    <row r="14" spans="1:14" x14ac:dyDescent="0.2">
      <c r="A14" s="1504" t="s">
        <v>963</v>
      </c>
      <c r="B14" s="614">
        <v>1500</v>
      </c>
      <c r="C14" s="466">
        <v>178456</v>
      </c>
      <c r="D14" s="466">
        <v>25364</v>
      </c>
      <c r="E14" s="466">
        <v>28920</v>
      </c>
      <c r="F14" s="466">
        <v>8222</v>
      </c>
      <c r="G14" s="466"/>
      <c r="H14" s="466">
        <v>19199</v>
      </c>
      <c r="I14" s="467"/>
      <c r="J14" s="467"/>
      <c r="K14" s="1671">
        <f t="shared" si="0"/>
        <v>260161</v>
      </c>
      <c r="L14" s="466">
        <v>265919</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73119</v>
      </c>
      <c r="D17" s="467">
        <v>24078</v>
      </c>
      <c r="E17" s="467">
        <v>478</v>
      </c>
      <c r="F17" s="467">
        <v>1547</v>
      </c>
      <c r="G17" s="467"/>
      <c r="H17" s="467"/>
      <c r="I17" s="467"/>
      <c r="J17" s="467"/>
      <c r="K17" s="1671">
        <f t="shared" si="0"/>
        <v>99222</v>
      </c>
      <c r="L17" s="466">
        <v>101705</v>
      </c>
    </row>
    <row r="18" spans="1:12" x14ac:dyDescent="0.2">
      <c r="A18" s="1504" t="s">
        <v>1087</v>
      </c>
      <c r="B18" s="614">
        <v>1800</v>
      </c>
      <c r="C18" s="466"/>
      <c r="D18" s="466"/>
      <c r="E18" s="466">
        <v>192</v>
      </c>
      <c r="F18" s="466"/>
      <c r="G18" s="466"/>
      <c r="H18" s="466"/>
      <c r="I18" s="467"/>
      <c r="J18" s="467"/>
      <c r="K18" s="1671">
        <f t="shared" si="0"/>
        <v>192</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9291</v>
      </c>
      <c r="I22" s="616"/>
      <c r="J22" s="477"/>
      <c r="K22" s="1671">
        <f t="shared" si="0"/>
        <v>9291</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2003105</v>
      </c>
      <c r="D33" s="1670">
        <f t="shared" ref="D33:L33" si="1">SUM(D5:D32)</f>
        <v>618362</v>
      </c>
      <c r="E33" s="1670">
        <f t="shared" si="1"/>
        <v>56765</v>
      </c>
      <c r="F33" s="1670">
        <f t="shared" si="1"/>
        <v>83329</v>
      </c>
      <c r="G33" s="1670">
        <f t="shared" si="1"/>
        <v>0</v>
      </c>
      <c r="H33" s="1670">
        <f t="shared" si="1"/>
        <v>28490</v>
      </c>
      <c r="I33" s="1670">
        <f t="shared" si="1"/>
        <v>0</v>
      </c>
      <c r="J33" s="1670">
        <f t="shared" si="1"/>
        <v>0</v>
      </c>
      <c r="K33" s="1670">
        <f t="shared" si="1"/>
        <v>2790051</v>
      </c>
      <c r="L33" s="1670">
        <f t="shared" si="1"/>
        <v>2829130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163092</v>
      </c>
      <c r="D37" s="466">
        <v>45280</v>
      </c>
      <c r="E37" s="466"/>
      <c r="F37" s="466">
        <v>1895</v>
      </c>
      <c r="G37" s="466"/>
      <c r="H37" s="466"/>
      <c r="I37" s="467"/>
      <c r="J37" s="467"/>
      <c r="K37" s="1671">
        <f t="shared" si="2"/>
        <v>210267</v>
      </c>
      <c r="L37" s="466">
        <v>217351</v>
      </c>
    </row>
    <row r="38" spans="1:14" x14ac:dyDescent="0.2">
      <c r="A38" s="1504" t="s">
        <v>198</v>
      </c>
      <c r="B38" s="614">
        <v>2130</v>
      </c>
      <c r="C38" s="466">
        <v>22662</v>
      </c>
      <c r="D38" s="466">
        <v>18</v>
      </c>
      <c r="E38" s="466">
        <v>112</v>
      </c>
      <c r="F38" s="466">
        <v>864</v>
      </c>
      <c r="G38" s="466"/>
      <c r="H38" s="466"/>
      <c r="I38" s="467"/>
      <c r="J38" s="467"/>
      <c r="K38" s="1671">
        <f t="shared" si="2"/>
        <v>23656</v>
      </c>
      <c r="L38" s="466">
        <v>23932</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5681</v>
      </c>
      <c r="F40" s="466"/>
      <c r="G40" s="466"/>
      <c r="H40" s="466"/>
      <c r="I40" s="467"/>
      <c r="J40" s="467"/>
      <c r="K40" s="1671">
        <f t="shared" si="2"/>
        <v>5681</v>
      </c>
      <c r="L40" s="466">
        <v>15500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185754</v>
      </c>
      <c r="D42" s="1670">
        <f t="shared" ref="D42:L42" si="3">SUM(D36:D41)</f>
        <v>45298</v>
      </c>
      <c r="E42" s="1670">
        <f t="shared" si="3"/>
        <v>5793</v>
      </c>
      <c r="F42" s="1670">
        <f t="shared" si="3"/>
        <v>2759</v>
      </c>
      <c r="G42" s="1670">
        <f t="shared" si="3"/>
        <v>0</v>
      </c>
      <c r="H42" s="1670">
        <f t="shared" si="3"/>
        <v>0</v>
      </c>
      <c r="I42" s="1670">
        <f t="shared" si="3"/>
        <v>0</v>
      </c>
      <c r="J42" s="1670">
        <f t="shared" si="3"/>
        <v>0</v>
      </c>
      <c r="K42" s="1670">
        <f t="shared" si="3"/>
        <v>239604</v>
      </c>
      <c r="L42" s="1670">
        <f t="shared" si="3"/>
        <v>256783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13416</v>
      </c>
      <c r="F44" s="481">
        <v>4161</v>
      </c>
      <c r="G44" s="481"/>
      <c r="H44" s="481"/>
      <c r="I44" s="467"/>
      <c r="J44" s="467"/>
      <c r="K44" s="1672">
        <f>SUM(C44:J44)</f>
        <v>17577</v>
      </c>
      <c r="L44" s="481">
        <v>28501</v>
      </c>
    </row>
    <row r="45" spans="1:14" x14ac:dyDescent="0.2">
      <c r="A45" s="1504" t="s">
        <v>815</v>
      </c>
      <c r="B45" s="614">
        <v>2220</v>
      </c>
      <c r="C45" s="466">
        <v>45704</v>
      </c>
      <c r="D45" s="466">
        <v>8495</v>
      </c>
      <c r="E45" s="466">
        <v>14622</v>
      </c>
      <c r="F45" s="466">
        <v>34786</v>
      </c>
      <c r="G45" s="466"/>
      <c r="H45" s="466"/>
      <c r="I45" s="467"/>
      <c r="J45" s="467"/>
      <c r="K45" s="1672">
        <f>SUM(C45:J45)</f>
        <v>103607</v>
      </c>
      <c r="L45" s="466">
        <v>112585</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45704</v>
      </c>
      <c r="D47" s="1670">
        <f t="shared" ref="D47:K47" si="4">SUM(D44:D46)</f>
        <v>8495</v>
      </c>
      <c r="E47" s="1670">
        <f t="shared" si="4"/>
        <v>28038</v>
      </c>
      <c r="F47" s="1670">
        <f t="shared" si="4"/>
        <v>38947</v>
      </c>
      <c r="G47" s="1670">
        <f t="shared" si="4"/>
        <v>0</v>
      </c>
      <c r="H47" s="1670">
        <f t="shared" si="4"/>
        <v>0</v>
      </c>
      <c r="I47" s="1670">
        <f t="shared" si="4"/>
        <v>0</v>
      </c>
      <c r="J47" s="1670">
        <f t="shared" si="4"/>
        <v>0</v>
      </c>
      <c r="K47" s="1670">
        <f t="shared" si="4"/>
        <v>121184</v>
      </c>
      <c r="L47" s="1670">
        <f>SUM(L44:L46)</f>
        <v>141086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f>621+2372</f>
        <v>2993</v>
      </c>
      <c r="D49" s="481"/>
      <c r="E49" s="481">
        <f>11975+10500+5521</f>
        <v>27996</v>
      </c>
      <c r="F49" s="481">
        <v>167</v>
      </c>
      <c r="G49" s="481"/>
      <c r="H49" s="481">
        <v>5252</v>
      </c>
      <c r="I49" s="467"/>
      <c r="J49" s="467"/>
      <c r="K49" s="1672">
        <f>SUM(C49:J49)</f>
        <v>36408</v>
      </c>
      <c r="L49" s="481">
        <v>43702</v>
      </c>
    </row>
    <row r="50" spans="1:14" x14ac:dyDescent="0.2">
      <c r="A50" s="1504" t="s">
        <v>818</v>
      </c>
      <c r="B50" s="614">
        <v>2320</v>
      </c>
      <c r="C50" s="466">
        <f>60975+18783</f>
        <v>79758</v>
      </c>
      <c r="D50" s="466">
        <v>38603</v>
      </c>
      <c r="E50" s="466">
        <v>151</v>
      </c>
      <c r="F50" s="466">
        <v>128</v>
      </c>
      <c r="G50" s="466"/>
      <c r="H50" s="466">
        <v>75</v>
      </c>
      <c r="I50" s="467"/>
      <c r="J50" s="467"/>
      <c r="K50" s="1672">
        <f>SUM(C50:J50)</f>
        <v>118715</v>
      </c>
      <c r="L50" s="466">
        <v>90347</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10000</v>
      </c>
      <c r="F52" s="474"/>
      <c r="G52" s="474"/>
      <c r="H52" s="474"/>
      <c r="I52" s="474"/>
      <c r="J52" s="474"/>
      <c r="K52" s="1672">
        <f>SUM(C52:J52)</f>
        <v>10000</v>
      </c>
      <c r="L52" s="474"/>
    </row>
    <row r="53" spans="1:14" ht="12.75" customHeight="1" thickBot="1" x14ac:dyDescent="0.25">
      <c r="A53" s="1668" t="s">
        <v>717</v>
      </c>
      <c r="B53" s="1669" t="s">
        <v>33</v>
      </c>
      <c r="C53" s="1670">
        <f>SUM(C49:C52)</f>
        <v>82751</v>
      </c>
      <c r="D53" s="1670">
        <f t="shared" ref="D53:L53" si="5">SUM(D49:D52)</f>
        <v>38603</v>
      </c>
      <c r="E53" s="1670">
        <f t="shared" si="5"/>
        <v>38147</v>
      </c>
      <c r="F53" s="1670">
        <f t="shared" si="5"/>
        <v>295</v>
      </c>
      <c r="G53" s="1670">
        <f t="shared" si="5"/>
        <v>0</v>
      </c>
      <c r="H53" s="1670">
        <f t="shared" si="5"/>
        <v>5327</v>
      </c>
      <c r="I53" s="1670">
        <f t="shared" si="5"/>
        <v>0</v>
      </c>
      <c r="J53" s="1670">
        <f t="shared" si="5"/>
        <v>0</v>
      </c>
      <c r="K53" s="1670">
        <f t="shared" si="5"/>
        <v>165123</v>
      </c>
      <c r="L53" s="1670">
        <f t="shared" si="5"/>
        <v>134049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125537+44787</f>
        <v>170324</v>
      </c>
      <c r="D55" s="481">
        <v>72314</v>
      </c>
      <c r="E55" s="481">
        <v>309</v>
      </c>
      <c r="F55" s="481"/>
      <c r="G55" s="481"/>
      <c r="H55" s="481">
        <f>2778+610</f>
        <v>3388</v>
      </c>
      <c r="I55" s="467"/>
      <c r="J55" s="467"/>
      <c r="K55" s="1672">
        <f>SUM(C55:J55)</f>
        <v>246335</v>
      </c>
      <c r="L55" s="481">
        <v>246901</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170324</v>
      </c>
      <c r="D57" s="1674">
        <f t="shared" ref="D57:K57" si="6">SUM(D55:D56)</f>
        <v>72314</v>
      </c>
      <c r="E57" s="1674">
        <f t="shared" si="6"/>
        <v>309</v>
      </c>
      <c r="F57" s="1674">
        <f t="shared" si="6"/>
        <v>0</v>
      </c>
      <c r="G57" s="1674">
        <f t="shared" si="6"/>
        <v>0</v>
      </c>
      <c r="H57" s="1674">
        <f t="shared" si="6"/>
        <v>3388</v>
      </c>
      <c r="I57" s="1674">
        <f t="shared" si="6"/>
        <v>0</v>
      </c>
      <c r="J57" s="1674">
        <f t="shared" si="6"/>
        <v>0</v>
      </c>
      <c r="K57" s="1674">
        <f t="shared" si="6"/>
        <v>246335</v>
      </c>
      <c r="L57" s="1670">
        <f>SUM(L55:L56)</f>
        <v>246901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33750</v>
      </c>
      <c r="D60" s="466">
        <v>8502</v>
      </c>
      <c r="E60" s="466">
        <v>8871</v>
      </c>
      <c r="F60" s="466">
        <v>495</v>
      </c>
      <c r="G60" s="466"/>
      <c r="H60" s="466"/>
      <c r="I60" s="467"/>
      <c r="J60" s="467"/>
      <c r="K60" s="1672">
        <f t="shared" si="7"/>
        <v>51618</v>
      </c>
      <c r="L60" s="466">
        <v>48131</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50927</v>
      </c>
      <c r="D63" s="466">
        <v>16009</v>
      </c>
      <c r="E63" s="466">
        <v>438</v>
      </c>
      <c r="F63" s="466">
        <v>101786</v>
      </c>
      <c r="G63" s="466"/>
      <c r="H63" s="466"/>
      <c r="I63" s="467"/>
      <c r="J63" s="467"/>
      <c r="K63" s="1672">
        <f t="shared" si="7"/>
        <v>169160</v>
      </c>
      <c r="L63" s="466">
        <v>186597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84677</v>
      </c>
      <c r="D65" s="1670">
        <f t="shared" ref="D65:L65" si="8">SUM(D59:D64)</f>
        <v>24511</v>
      </c>
      <c r="E65" s="1670">
        <f t="shared" si="8"/>
        <v>9309</v>
      </c>
      <c r="F65" s="1670">
        <f t="shared" si="8"/>
        <v>102281</v>
      </c>
      <c r="G65" s="1670">
        <f t="shared" si="8"/>
        <v>0</v>
      </c>
      <c r="H65" s="1670">
        <f t="shared" si="8"/>
        <v>0</v>
      </c>
      <c r="I65" s="1670">
        <f t="shared" si="8"/>
        <v>0</v>
      </c>
      <c r="J65" s="1670">
        <f t="shared" si="8"/>
        <v>0</v>
      </c>
      <c r="K65" s="1670">
        <f t="shared" si="8"/>
        <v>220778</v>
      </c>
      <c r="L65" s="1670">
        <f t="shared" si="8"/>
        <v>234728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1462</v>
      </c>
      <c r="F69" s="466"/>
      <c r="G69" s="466"/>
      <c r="H69" s="466"/>
      <c r="I69" s="467"/>
      <c r="J69" s="467"/>
      <c r="K69" s="1672">
        <f>SUM(C69:J69)</f>
        <v>1462</v>
      </c>
      <c r="L69" s="466">
        <v>1200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1462</v>
      </c>
      <c r="F72" s="1670">
        <f t="shared" si="9"/>
        <v>0</v>
      </c>
      <c r="G72" s="1670">
        <f t="shared" si="9"/>
        <v>0</v>
      </c>
      <c r="H72" s="1670">
        <f t="shared" si="9"/>
        <v>0</v>
      </c>
      <c r="I72" s="1670">
        <f t="shared" si="9"/>
        <v>0</v>
      </c>
      <c r="J72" s="1670">
        <f t="shared" si="9"/>
        <v>0</v>
      </c>
      <c r="K72" s="1670">
        <f t="shared" si="9"/>
        <v>1462</v>
      </c>
      <c r="L72" s="1670">
        <f>SUM(L67:L71)</f>
        <v>1200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250</v>
      </c>
      <c r="M73" s="609"/>
      <c r="N73" s="609"/>
    </row>
    <row r="74" spans="1:14" ht="12.75" customHeight="1" thickTop="1" thickBot="1" x14ac:dyDescent="0.25">
      <c r="A74" s="1668" t="s">
        <v>811</v>
      </c>
      <c r="B74" s="1676">
        <v>2000</v>
      </c>
      <c r="C74" s="1677">
        <f>SUM(C42,C47,C53,C57,C65,C72,C73)</f>
        <v>569210</v>
      </c>
      <c r="D74" s="1677">
        <f t="shared" ref="D74:K74" si="10">SUM(D42,D47,D53,D57,D65,D72,D73)</f>
        <v>189221</v>
      </c>
      <c r="E74" s="1677">
        <f t="shared" si="10"/>
        <v>83058</v>
      </c>
      <c r="F74" s="1677">
        <f t="shared" si="10"/>
        <v>144282</v>
      </c>
      <c r="G74" s="1677">
        <f t="shared" si="10"/>
        <v>0</v>
      </c>
      <c r="H74" s="1677">
        <f t="shared" si="10"/>
        <v>8715</v>
      </c>
      <c r="I74" s="1677">
        <f t="shared" si="10"/>
        <v>0</v>
      </c>
      <c r="J74" s="1677">
        <f t="shared" si="10"/>
        <v>0</v>
      </c>
      <c r="K74" s="1677">
        <f t="shared" si="10"/>
        <v>994486</v>
      </c>
      <c r="L74" s="1677">
        <f>SUM(L42,L47,L53,L57,L65,L72,L73)</f>
        <v>1014997</v>
      </c>
    </row>
    <row r="75" spans="1:14" s="259" customFormat="1" ht="15.75" customHeight="1" thickTop="1" thickBot="1" x14ac:dyDescent="0.25">
      <c r="A75" s="1610" t="s">
        <v>47</v>
      </c>
      <c r="B75" s="1611" t="s">
        <v>575</v>
      </c>
      <c r="C75" s="573">
        <v>1016</v>
      </c>
      <c r="D75" s="573">
        <v>1738</v>
      </c>
      <c r="E75" s="573">
        <v>5077</v>
      </c>
      <c r="F75" s="573"/>
      <c r="G75" s="573"/>
      <c r="H75" s="573"/>
      <c r="I75" s="531"/>
      <c r="J75" s="531"/>
      <c r="K75" s="1670">
        <f>SUM(C75:J75)</f>
        <v>7831</v>
      </c>
      <c r="L75" s="576">
        <v>11559</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2865</v>
      </c>
      <c r="F78" s="616"/>
      <c r="G78" s="616"/>
      <c r="H78" s="634"/>
      <c r="I78" s="477"/>
      <c r="J78" s="477"/>
      <c r="K78" s="1671">
        <f t="shared" ref="K78:K83" si="11">SUM(C78:J78)</f>
        <v>2865</v>
      </c>
      <c r="L78" s="481">
        <v>10000</v>
      </c>
    </row>
    <row r="79" spans="1:14" x14ac:dyDescent="0.2">
      <c r="A79" s="1504" t="s">
        <v>304</v>
      </c>
      <c r="B79" s="614">
        <v>4120</v>
      </c>
      <c r="C79" s="616"/>
      <c r="D79" s="616"/>
      <c r="E79" s="466">
        <v>55290</v>
      </c>
      <c r="F79" s="616"/>
      <c r="G79" s="616"/>
      <c r="H79" s="466"/>
      <c r="I79" s="477"/>
      <c r="J79" s="477"/>
      <c r="K79" s="1671">
        <f t="shared" si="11"/>
        <v>55290</v>
      </c>
      <c r="L79" s="466">
        <v>55000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1530</v>
      </c>
      <c r="F81" s="616"/>
      <c r="G81" s="616"/>
      <c r="H81" s="466"/>
      <c r="I81" s="477"/>
      <c r="J81" s="477"/>
      <c r="K81" s="1671">
        <f t="shared" si="11"/>
        <v>1530</v>
      </c>
      <c r="L81" s="466">
        <v>1500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1101</v>
      </c>
      <c r="F83" s="616"/>
      <c r="G83" s="616"/>
      <c r="H83" s="466"/>
      <c r="I83" s="477"/>
      <c r="J83" s="477"/>
      <c r="K83" s="1671">
        <f t="shared" si="11"/>
        <v>1101</v>
      </c>
      <c r="L83" s="466">
        <v>11000</v>
      </c>
    </row>
    <row r="84" spans="1:12" ht="13.5" thickBot="1" x14ac:dyDescent="0.25">
      <c r="A84" s="1668" t="s">
        <v>1485</v>
      </c>
      <c r="B84" s="1678">
        <v>4100</v>
      </c>
      <c r="C84" s="616"/>
      <c r="D84" s="616"/>
      <c r="E84" s="1670">
        <f>SUM(E78:E83)</f>
        <v>60786</v>
      </c>
      <c r="F84" s="616"/>
      <c r="G84" s="616"/>
      <c r="H84" s="1670">
        <f>SUM(H78:H83)</f>
        <v>0</v>
      </c>
      <c r="I84" s="477"/>
      <c r="J84" s="477"/>
      <c r="K84" s="1670">
        <f>SUM(K78:K83)</f>
        <v>60786</v>
      </c>
      <c r="L84" s="1670">
        <f>SUM(L78:L83)</f>
        <v>77500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48375</v>
      </c>
      <c r="I88" s="477"/>
      <c r="J88" s="477"/>
      <c r="K88" s="1677">
        <f t="shared" si="12"/>
        <v>48375</v>
      </c>
      <c r="L88" s="530">
        <v>55000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v>21411</v>
      </c>
      <c r="I91" s="477"/>
      <c r="J91" s="477"/>
      <c r="K91" s="1677">
        <f t="shared" si="12"/>
        <v>21411</v>
      </c>
      <c r="L91" s="530">
        <v>21412</v>
      </c>
    </row>
    <row r="92" spans="1:12" ht="14.25" thickTop="1" thickBot="1" x14ac:dyDescent="0.25">
      <c r="A92" s="1680" t="s">
        <v>1560</v>
      </c>
      <c r="B92" s="1678">
        <v>4200</v>
      </c>
      <c r="C92" s="616"/>
      <c r="D92" s="616"/>
      <c r="E92" s="638"/>
      <c r="F92" s="616"/>
      <c r="G92" s="616"/>
      <c r="H92" s="1670">
        <f>SUM(H85:H91)</f>
        <v>69786</v>
      </c>
      <c r="I92" s="477"/>
      <c r="J92" s="477"/>
      <c r="K92" s="1677">
        <f t="shared" si="12"/>
        <v>69786</v>
      </c>
      <c r="L92" s="1670">
        <f>SUM(L85:L91)</f>
        <v>76412</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60786</v>
      </c>
      <c r="F102" s="616"/>
      <c r="G102" s="616"/>
      <c r="H102" s="1677">
        <f>SUM(H84,H92,H100,H101)</f>
        <v>69786</v>
      </c>
      <c r="I102" s="477"/>
      <c r="J102" s="477"/>
      <c r="K102" s="1677">
        <f>SUM(K84,K92,K100,K101)</f>
        <v>130572</v>
      </c>
      <c r="L102" s="1677">
        <f>SUM(L84,L92,L100,L101)</f>
        <v>153912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2573331</v>
      </c>
      <c r="D114" s="1670">
        <f t="shared" ref="D114:K114" si="13">SUM(D33,D74,D75,D102,D112,D113)</f>
        <v>809321</v>
      </c>
      <c r="E114" s="1670">
        <f t="shared" si="13"/>
        <v>205686</v>
      </c>
      <c r="F114" s="1670">
        <f t="shared" si="13"/>
        <v>227611</v>
      </c>
      <c r="G114" s="1670">
        <f t="shared" si="13"/>
        <v>0</v>
      </c>
      <c r="H114" s="1670">
        <f>SUM(H33,H74,H75,H102,H112,H113)</f>
        <v>106991</v>
      </c>
      <c r="I114" s="1670">
        <f t="shared" si="13"/>
        <v>0</v>
      </c>
      <c r="J114" s="1670">
        <f t="shared" si="13"/>
        <v>0</v>
      </c>
      <c r="K114" s="1670">
        <f t="shared" si="13"/>
        <v>3922940</v>
      </c>
      <c r="L114" s="1670">
        <f>SUM(L33,L74,L75,L102,L112,L113)</f>
        <v>4009598</v>
      </c>
    </row>
    <row r="115" spans="1:14" ht="13.5" thickTop="1" x14ac:dyDescent="0.2">
      <c r="A115" s="2181" t="s">
        <v>996</v>
      </c>
      <c r="B115" s="2182"/>
      <c r="C115" s="618"/>
      <c r="D115" s="618"/>
      <c r="E115" s="618"/>
      <c r="F115" s="618"/>
      <c r="G115" s="618"/>
      <c r="H115" s="618"/>
      <c r="I115" s="618"/>
      <c r="J115" s="618"/>
      <c r="K115" s="1684">
        <f>'Revenues 9-14'!C268-'Expenditures 15-22'!K114</f>
        <v>297612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219809</v>
      </c>
      <c r="D124" s="466">
        <v>55331</v>
      </c>
      <c r="E124" s="466">
        <v>57133</v>
      </c>
      <c r="F124" s="466">
        <f>29695+1994+24107+76580+6875</f>
        <v>139251</v>
      </c>
      <c r="G124" s="466">
        <v>4220</v>
      </c>
      <c r="H124" s="466">
        <v>230</v>
      </c>
      <c r="I124" s="467"/>
      <c r="J124" s="467"/>
      <c r="K124" s="1670">
        <f>SUM(C124:J124)</f>
        <v>475974</v>
      </c>
      <c r="L124" s="466">
        <v>678059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219809</v>
      </c>
      <c r="D127" s="1670">
        <f t="shared" ref="D127:L127" si="14">SUM(D122:D126)</f>
        <v>55331</v>
      </c>
      <c r="E127" s="1670">
        <f t="shared" si="14"/>
        <v>57133</v>
      </c>
      <c r="F127" s="1670">
        <f t="shared" si="14"/>
        <v>139251</v>
      </c>
      <c r="G127" s="1670">
        <f t="shared" si="14"/>
        <v>4220</v>
      </c>
      <c r="H127" s="1670">
        <f t="shared" si="14"/>
        <v>230</v>
      </c>
      <c r="I127" s="1670">
        <f t="shared" si="14"/>
        <v>0</v>
      </c>
      <c r="J127" s="1670">
        <f t="shared" si="14"/>
        <v>0</v>
      </c>
      <c r="K127" s="1670">
        <f t="shared" si="14"/>
        <v>475974</v>
      </c>
      <c r="L127" s="1670">
        <f t="shared" si="14"/>
        <v>678059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219809</v>
      </c>
      <c r="D129" s="1677">
        <f t="shared" ref="D129:L129" si="15">SUM(D120,D127,D128)</f>
        <v>55331</v>
      </c>
      <c r="E129" s="1677">
        <f t="shared" si="15"/>
        <v>57133</v>
      </c>
      <c r="F129" s="1677">
        <f t="shared" si="15"/>
        <v>139251</v>
      </c>
      <c r="G129" s="1677">
        <f t="shared" si="15"/>
        <v>4220</v>
      </c>
      <c r="H129" s="1677">
        <f t="shared" si="15"/>
        <v>230</v>
      </c>
      <c r="I129" s="1677">
        <f t="shared" si="15"/>
        <v>0</v>
      </c>
      <c r="J129" s="1677">
        <f t="shared" si="15"/>
        <v>0</v>
      </c>
      <c r="K129" s="1677">
        <f t="shared" si="15"/>
        <v>475974</v>
      </c>
      <c r="L129" s="1677">
        <f t="shared" si="15"/>
        <v>678059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3"/>
      <c r="C151" s="1670">
        <f>SUM(C129,C130,C139,C149,C150)</f>
        <v>219809</v>
      </c>
      <c r="D151" s="1670">
        <f t="shared" ref="D151:K151" si="16">SUM(D129,D130,D139,D149,D150)</f>
        <v>55331</v>
      </c>
      <c r="E151" s="1670">
        <f t="shared" si="16"/>
        <v>57133</v>
      </c>
      <c r="F151" s="1670">
        <f t="shared" si="16"/>
        <v>139251</v>
      </c>
      <c r="G151" s="1670">
        <f t="shared" si="16"/>
        <v>4220</v>
      </c>
      <c r="H151" s="1670">
        <f t="shared" si="16"/>
        <v>230</v>
      </c>
      <c r="I151" s="1670">
        <f t="shared" si="16"/>
        <v>0</v>
      </c>
      <c r="J151" s="1670">
        <f t="shared" si="16"/>
        <v>0</v>
      </c>
      <c r="K151" s="1670">
        <f t="shared" si="16"/>
        <v>475974</v>
      </c>
      <c r="L151" s="1670">
        <f>SUM(L129,L130,L139,L149,L150)</f>
        <v>678059</v>
      </c>
    </row>
    <row r="152" spans="1:14" ht="12.75" customHeight="1" thickTop="1" x14ac:dyDescent="0.2">
      <c r="A152" s="2174" t="s">
        <v>1178</v>
      </c>
      <c r="B152" s="2175"/>
      <c r="C152" s="618"/>
      <c r="D152" s="618"/>
      <c r="E152" s="618"/>
      <c r="F152" s="618"/>
      <c r="G152" s="618"/>
      <c r="H152" s="618"/>
      <c r="I152" s="618"/>
      <c r="J152" s="616"/>
      <c r="K152" s="1684">
        <f>'Revenues 9-14'!D268-'Expenditures 15-22'!K151</f>
        <v>230715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200915+1613925+6375</f>
        <v>1821215</v>
      </c>
      <c r="I169" s="616"/>
      <c r="J169" s="616"/>
      <c r="K169" s="1671">
        <f>SUM(C169:H169)</f>
        <v>1821215</v>
      </c>
      <c r="L169" s="656">
        <v>1821215</v>
      </c>
    </row>
    <row r="170" spans="1:14" ht="33.75" customHeight="1" x14ac:dyDescent="0.2">
      <c r="A170" s="669" t="s">
        <v>1670</v>
      </c>
      <c r="B170" s="671" t="s">
        <v>31</v>
      </c>
      <c r="C170" s="616"/>
      <c r="D170" s="616"/>
      <c r="E170" s="616"/>
      <c r="F170" s="616"/>
      <c r="G170" s="616"/>
      <c r="H170" s="569">
        <f>20000+265000+510000</f>
        <v>795000</v>
      </c>
      <c r="I170" s="616"/>
      <c r="J170" s="616"/>
      <c r="K170" s="1671">
        <f>SUM(C170:J170)</f>
        <v>795000</v>
      </c>
      <c r="L170" s="569">
        <v>795000</v>
      </c>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2617715</v>
      </c>
      <c r="I172" s="638"/>
      <c r="J172" s="616"/>
      <c r="K172" s="1677">
        <f>SUM(K168,K169,K170,K171)</f>
        <v>2617715</v>
      </c>
      <c r="L172" s="1677">
        <f>SUM(L168,L169,L170,L171)</f>
        <v>2617715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2617715</v>
      </c>
      <c r="I174" s="638"/>
      <c r="J174" s="616"/>
      <c r="K174" s="1677">
        <f>SUM(K160,K172,K173)</f>
        <v>2617715</v>
      </c>
      <c r="L174" s="1677">
        <f>SUM(L160,L172,L173)</f>
        <v>2617715</v>
      </c>
    </row>
    <row r="175" spans="1:14" ht="13.5" thickTop="1" x14ac:dyDescent="0.2">
      <c r="A175" s="2181" t="s">
        <v>996</v>
      </c>
      <c r="B175" s="2182"/>
      <c r="C175" s="616"/>
      <c r="D175" s="616"/>
      <c r="E175" s="616"/>
      <c r="F175" s="616"/>
      <c r="G175" s="616"/>
      <c r="H175" s="618"/>
      <c r="I175" s="616"/>
      <c r="J175" s="616"/>
      <c r="K175" s="1684">
        <f>'Revenues 9-14'!E268-'Expenditures 15-22'!K174</f>
        <v>-62673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2025</v>
      </c>
      <c r="D182" s="466">
        <v>774</v>
      </c>
      <c r="E182" s="466">
        <f>60102+44664+215+9302+36358</f>
        <v>150641</v>
      </c>
      <c r="F182" s="466">
        <v>4346</v>
      </c>
      <c r="G182" s="466"/>
      <c r="H182" s="466"/>
      <c r="I182" s="467"/>
      <c r="J182" s="467"/>
      <c r="K182" s="1671">
        <f>SUM(C182:J182)</f>
        <v>157786</v>
      </c>
      <c r="L182" s="466">
        <v>152800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2025</v>
      </c>
      <c r="D184" s="1677">
        <f t="shared" ref="D184:J184" si="17">SUM(D180,D182,D183)</f>
        <v>774</v>
      </c>
      <c r="E184" s="1677">
        <f t="shared" si="17"/>
        <v>150641</v>
      </c>
      <c r="F184" s="1677">
        <f t="shared" si="17"/>
        <v>4346</v>
      </c>
      <c r="G184" s="1677">
        <f t="shared" si="17"/>
        <v>0</v>
      </c>
      <c r="H184" s="1677">
        <f t="shared" si="17"/>
        <v>0</v>
      </c>
      <c r="I184" s="1677">
        <f t="shared" si="17"/>
        <v>0</v>
      </c>
      <c r="J184" s="1677">
        <f t="shared" si="17"/>
        <v>0</v>
      </c>
      <c r="K184" s="1677">
        <f>SUM(K180,K182,K183)</f>
        <v>157786</v>
      </c>
      <c r="L184" s="1677">
        <f>SUM(L180, L182:L183)</f>
        <v>152800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2395</v>
      </c>
      <c r="I205" s="616"/>
      <c r="J205" s="616"/>
      <c r="K205" s="1685">
        <f>SUM(H205)</f>
        <v>2395</v>
      </c>
      <c r="L205" s="535">
        <v>2026</v>
      </c>
    </row>
    <row r="206" spans="1:14" ht="30" customHeight="1" x14ac:dyDescent="0.2">
      <c r="A206" s="681" t="s">
        <v>1671</v>
      </c>
      <c r="B206" s="672" t="s">
        <v>31</v>
      </c>
      <c r="C206" s="616"/>
      <c r="D206" s="616"/>
      <c r="E206" s="616"/>
      <c r="F206" s="616"/>
      <c r="G206" s="616"/>
      <c r="H206" s="466">
        <v>12787</v>
      </c>
      <c r="I206" s="616"/>
      <c r="J206" s="616"/>
      <c r="K206" s="1671">
        <f>SUM(H206)</f>
        <v>12787</v>
      </c>
      <c r="L206" s="466">
        <v>13156</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15182</v>
      </c>
      <c r="I208" s="616"/>
      <c r="J208" s="616"/>
      <c r="K208" s="1677">
        <f>SUM(K204,K205,K206,K207)</f>
        <v>15182</v>
      </c>
      <c r="L208" s="1677">
        <f>SUM(L204,L205,L206,L207)</f>
        <v>15182</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2025</v>
      </c>
      <c r="D210" s="1670">
        <f>SUM(D184,D185)</f>
        <v>774</v>
      </c>
      <c r="E210" s="1670">
        <f>SUM(E184,E185,E196)</f>
        <v>150641</v>
      </c>
      <c r="F210" s="1670">
        <f>SUM(F184,F185)</f>
        <v>4346</v>
      </c>
      <c r="G210" s="1670">
        <f>SUM(G184,G185)</f>
        <v>0</v>
      </c>
      <c r="H210" s="1670">
        <f>SUM(H184,H185,H196,H208,H209)</f>
        <v>15182</v>
      </c>
      <c r="I210" s="1670">
        <f>SUM(I184,I185)</f>
        <v>0</v>
      </c>
      <c r="J210" s="1670">
        <f>SUM(J184,J185)</f>
        <v>0</v>
      </c>
      <c r="K210" s="1671">
        <f>SUM(K184,K185,K196,K208,K209)</f>
        <v>172968</v>
      </c>
      <c r="L210" s="1670">
        <f>SUM(L184,L185,L196,L208,L209)</f>
        <v>167982</v>
      </c>
    </row>
    <row r="211" spans="1:14" ht="13.5" thickTop="1" x14ac:dyDescent="0.2">
      <c r="A211" s="2181" t="s">
        <v>996</v>
      </c>
      <c r="B211" s="2182"/>
      <c r="C211" s="618"/>
      <c r="D211" s="618"/>
      <c r="E211" s="618"/>
      <c r="F211" s="618"/>
      <c r="G211" s="618"/>
      <c r="H211" s="618"/>
      <c r="I211" s="616"/>
      <c r="J211" s="616"/>
      <c r="K211" s="1684">
        <f>'Revenues 9-14'!F268-'Expenditures 15-22'!K210</f>
        <v>13893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3061+18680</f>
        <v>21741</v>
      </c>
      <c r="E215" s="616"/>
      <c r="F215" s="616"/>
      <c r="G215" s="616"/>
      <c r="H215" s="616"/>
      <c r="I215" s="616"/>
      <c r="J215" s="616"/>
      <c r="K215" s="1671">
        <f>D215</f>
        <v>21741</v>
      </c>
      <c r="L215" s="466">
        <v>22713</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6700+10103</f>
        <v>16803</v>
      </c>
      <c r="E217" s="616"/>
      <c r="F217" s="616"/>
      <c r="G217" s="616"/>
      <c r="H217" s="616"/>
      <c r="I217" s="616"/>
      <c r="J217" s="616"/>
      <c r="K217" s="1671">
        <f t="shared" si="19"/>
        <v>16803</v>
      </c>
      <c r="L217" s="466">
        <v>20045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f>127+705</f>
        <v>832</v>
      </c>
      <c r="E219" s="616"/>
      <c r="F219" s="616"/>
      <c r="G219" s="616"/>
      <c r="H219" s="616"/>
      <c r="I219" s="616"/>
      <c r="J219" s="616"/>
      <c r="K219" s="1671">
        <f t="shared" si="19"/>
        <v>832</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3032</v>
      </c>
      <c r="E222" s="616"/>
      <c r="F222" s="616"/>
      <c r="G222" s="616"/>
      <c r="H222" s="616"/>
      <c r="I222" s="616"/>
      <c r="J222" s="616"/>
      <c r="K222" s="1671">
        <f t="shared" si="19"/>
        <v>3032</v>
      </c>
      <c r="L222" s="466">
        <v>3341</v>
      </c>
    </row>
    <row r="223" spans="1:14" x14ac:dyDescent="0.2">
      <c r="A223" s="1504" t="s">
        <v>963</v>
      </c>
      <c r="B223" s="614">
        <v>1500</v>
      </c>
      <c r="C223" s="616"/>
      <c r="D223" s="466">
        <f>1414+7161</f>
        <v>8575</v>
      </c>
      <c r="E223" s="616"/>
      <c r="F223" s="616"/>
      <c r="G223" s="616"/>
      <c r="H223" s="616"/>
      <c r="I223" s="616"/>
      <c r="J223" s="616"/>
      <c r="K223" s="1671">
        <f t="shared" si="19"/>
        <v>8575</v>
      </c>
      <c r="L223" s="466">
        <v>8350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922</v>
      </c>
      <c r="E226" s="616"/>
      <c r="F226" s="616"/>
      <c r="G226" s="616"/>
      <c r="H226" s="616"/>
      <c r="I226" s="616"/>
      <c r="J226" s="616"/>
      <c r="K226" s="1671">
        <f t="shared" si="19"/>
        <v>922</v>
      </c>
      <c r="L226" s="466">
        <v>1077</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51905</v>
      </c>
      <c r="E229" s="616"/>
      <c r="F229" s="616"/>
      <c r="G229" s="616"/>
      <c r="H229" s="616"/>
      <c r="I229" s="616"/>
      <c r="J229" s="616"/>
      <c r="K229" s="1670">
        <f>SUM(K215:K228)</f>
        <v>51905</v>
      </c>
      <c r="L229" s="1670">
        <f>SUM(L215:L228)</f>
        <v>55526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f>2780+4466</f>
        <v>7246</v>
      </c>
      <c r="E233" s="616"/>
      <c r="F233" s="616"/>
      <c r="G233" s="616"/>
      <c r="H233" s="616"/>
      <c r="I233" s="616"/>
      <c r="J233" s="616"/>
      <c r="K233" s="1671">
        <f t="shared" si="20"/>
        <v>7246</v>
      </c>
      <c r="L233" s="466">
        <v>7201</v>
      </c>
    </row>
    <row r="234" spans="1:12" x14ac:dyDescent="0.2">
      <c r="A234" s="1504" t="s">
        <v>198</v>
      </c>
      <c r="B234" s="614">
        <v>2130</v>
      </c>
      <c r="C234" s="616"/>
      <c r="D234" s="466">
        <f>3566+3481</f>
        <v>7047</v>
      </c>
      <c r="E234" s="616"/>
      <c r="F234" s="616"/>
      <c r="G234" s="616"/>
      <c r="H234" s="616"/>
      <c r="I234" s="616"/>
      <c r="J234" s="616"/>
      <c r="K234" s="1671">
        <f t="shared" si="20"/>
        <v>7047</v>
      </c>
      <c r="L234" s="466">
        <v>7075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14293</v>
      </c>
      <c r="E238" s="616"/>
      <c r="F238" s="616"/>
      <c r="G238" s="616"/>
      <c r="H238" s="616"/>
      <c r="I238" s="616"/>
      <c r="J238" s="616"/>
      <c r="K238" s="1670">
        <f>SUM(K232:K237)</f>
        <v>14293</v>
      </c>
      <c r="L238" s="1670">
        <f>SUM(L232:L237)</f>
        <v>14276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f>3583+3496</f>
        <v>7079</v>
      </c>
      <c r="E241" s="616"/>
      <c r="F241" s="616"/>
      <c r="G241" s="616"/>
      <c r="H241" s="616"/>
      <c r="I241" s="616"/>
      <c r="J241" s="616"/>
      <c r="K241" s="1672">
        <f>D241</f>
        <v>7079</v>
      </c>
      <c r="L241" s="466">
        <v>7080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7079</v>
      </c>
      <c r="E243" s="616"/>
      <c r="F243" s="616"/>
      <c r="G243" s="616"/>
      <c r="H243" s="616"/>
      <c r="I243" s="616"/>
      <c r="J243" s="616"/>
      <c r="K243" s="1670">
        <f>SUM(K240:K242)</f>
        <v>7079</v>
      </c>
      <c r="L243" s="1670">
        <f>SUM(L240:L242)</f>
        <v>7080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49+48+182</f>
        <v>279</v>
      </c>
      <c r="E245" s="616"/>
      <c r="F245" s="616"/>
      <c r="G245" s="616"/>
      <c r="H245" s="616"/>
      <c r="I245" s="616"/>
      <c r="J245" s="616"/>
      <c r="K245" s="1672">
        <f>D245</f>
        <v>279</v>
      </c>
      <c r="L245" s="481">
        <v>280</v>
      </c>
    </row>
    <row r="246" spans="1:12" x14ac:dyDescent="0.2">
      <c r="A246" s="1504" t="s">
        <v>818</v>
      </c>
      <c r="B246" s="614">
        <v>2320</v>
      </c>
      <c r="C246" s="616"/>
      <c r="D246" s="466">
        <f>1492+2930</f>
        <v>4422</v>
      </c>
      <c r="E246" s="616"/>
      <c r="F246" s="616"/>
      <c r="G246" s="616"/>
      <c r="H246" s="616"/>
      <c r="I246" s="616"/>
      <c r="J246" s="616"/>
      <c r="K246" s="1672">
        <f t="shared" ref="K246:K256" si="21">D246</f>
        <v>4422</v>
      </c>
      <c r="L246" s="466">
        <v>3976</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4701</v>
      </c>
      <c r="E257" s="616"/>
      <c r="F257" s="616"/>
      <c r="G257" s="616"/>
      <c r="H257" s="616"/>
      <c r="I257" s="616"/>
      <c r="J257" s="616"/>
      <c r="K257" s="1670">
        <f>SUM(K245:K256)</f>
        <v>4701</v>
      </c>
      <c r="L257" s="1670">
        <f>SUM(L245:L256)</f>
        <v>4256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3891+6131</f>
        <v>10022</v>
      </c>
      <c r="E259" s="616"/>
      <c r="F259" s="616"/>
      <c r="G259" s="616"/>
      <c r="H259" s="616"/>
      <c r="I259" s="616"/>
      <c r="J259" s="616"/>
      <c r="K259" s="1672">
        <f>D259</f>
        <v>10022</v>
      </c>
      <c r="L259" s="481">
        <v>9567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10022</v>
      </c>
      <c r="E261" s="616"/>
      <c r="F261" s="616"/>
      <c r="G261" s="616"/>
      <c r="H261" s="616"/>
      <c r="I261" s="616"/>
      <c r="J261" s="616"/>
      <c r="K261" s="1670">
        <f>SUM(K259:K260)</f>
        <v>10022</v>
      </c>
      <c r="L261" s="1670">
        <f>SUM(L259:L260)</f>
        <v>9567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3528+3430</f>
        <v>6958</v>
      </c>
      <c r="E264" s="616"/>
      <c r="F264" s="616"/>
      <c r="G264" s="616"/>
      <c r="H264" s="616"/>
      <c r="I264" s="616"/>
      <c r="J264" s="616"/>
      <c r="K264" s="1672">
        <f t="shared" ref="K264:K269" si="22">D264</f>
        <v>6958</v>
      </c>
      <c r="L264" s="466">
        <v>6971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18793+18341</f>
        <v>37134</v>
      </c>
      <c r="E266" s="616"/>
      <c r="F266" s="616"/>
      <c r="G266" s="616"/>
      <c r="H266" s="616"/>
      <c r="I266" s="616"/>
      <c r="J266" s="616"/>
      <c r="K266" s="1672">
        <f t="shared" si="22"/>
        <v>37134</v>
      </c>
      <c r="L266" s="466">
        <v>38199</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f>3914+4394</f>
        <v>8308</v>
      </c>
      <c r="E268" s="616"/>
      <c r="F268" s="616"/>
      <c r="G268" s="616"/>
      <c r="H268" s="616"/>
      <c r="I268" s="616"/>
      <c r="J268" s="616"/>
      <c r="K268" s="1672">
        <f t="shared" si="22"/>
        <v>8308</v>
      </c>
      <c r="L268" s="466">
        <v>9549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52400</v>
      </c>
      <c r="E270" s="616"/>
      <c r="F270" s="616"/>
      <c r="G270" s="616"/>
      <c r="H270" s="616"/>
      <c r="I270" s="616"/>
      <c r="J270" s="616"/>
      <c r="K270" s="1670">
        <f>SUM(K263:K269)</f>
        <v>52400</v>
      </c>
      <c r="L270" s="1670">
        <f>SUM(L263:L269)</f>
        <v>54719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88495</v>
      </c>
      <c r="E279" s="616"/>
      <c r="F279" s="616"/>
      <c r="G279" s="616"/>
      <c r="H279" s="616"/>
      <c r="I279" s="616"/>
      <c r="J279" s="616"/>
      <c r="K279" s="1677">
        <f>SUM(K238,K243,K257,K261,K270,K277,K278)</f>
        <v>88495</v>
      </c>
      <c r="L279" s="1677">
        <f>SUM(L238,L243,L257,L261,L270,L277,L278)</f>
        <v>89898</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140400</v>
      </c>
      <c r="E295" s="616"/>
      <c r="F295" s="616"/>
      <c r="G295" s="616"/>
      <c r="H295" s="1670">
        <f>H293</f>
        <v>0</v>
      </c>
      <c r="I295" s="616"/>
      <c r="J295" s="616"/>
      <c r="K295" s="1670">
        <f>SUM(K229,K279,K280,K285,K293,K294)</f>
        <v>140400</v>
      </c>
      <c r="L295" s="1670">
        <f>SUM(L229,L279,L280,L285,L293,L294)</f>
        <v>145424</v>
      </c>
    </row>
    <row r="296" spans="1:14" ht="13.5" thickTop="1" x14ac:dyDescent="0.2">
      <c r="A296" s="2181" t="s">
        <v>996</v>
      </c>
      <c r="B296" s="2182"/>
      <c r="C296" s="616"/>
      <c r="D296" s="618"/>
      <c r="E296" s="616"/>
      <c r="F296" s="616"/>
      <c r="G296" s="616"/>
      <c r="H296" s="687"/>
      <c r="I296" s="616"/>
      <c r="J296" s="616"/>
      <c r="K296" s="1684">
        <f>'Revenues 9-14'!G268-'Expenditures 15-22'!K295</f>
        <v>27818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28404</v>
      </c>
      <c r="F320" s="467"/>
      <c r="G320" s="467"/>
      <c r="H320" s="467"/>
      <c r="I320" s="467"/>
      <c r="J320" s="467"/>
      <c r="K320" s="1671">
        <f t="shared" ref="K320:K327" si="24">SUM(C320:J320)</f>
        <v>28404</v>
      </c>
      <c r="L320" s="467">
        <v>17413</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15000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38019</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245929</v>
      </c>
      <c r="D325" s="467"/>
      <c r="E325" s="467">
        <v>17219</v>
      </c>
      <c r="F325" s="467"/>
      <c r="G325" s="467"/>
      <c r="H325" s="467"/>
      <c r="I325" s="467"/>
      <c r="J325" s="467"/>
      <c r="K325" s="1671">
        <f t="shared" si="24"/>
        <v>263148</v>
      </c>
      <c r="L325" s="467">
        <v>298630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5991</v>
      </c>
      <c r="F327" s="467"/>
      <c r="G327" s="467"/>
      <c r="H327" s="467"/>
      <c r="I327" s="467"/>
      <c r="J327" s="467"/>
      <c r="K327" s="1671">
        <f t="shared" si="24"/>
        <v>5991</v>
      </c>
      <c r="L327" s="467">
        <v>15000</v>
      </c>
      <c r="M327" s="665"/>
      <c r="N327" s="665"/>
    </row>
    <row r="328" spans="1:14" s="674" customFormat="1" x14ac:dyDescent="0.2">
      <c r="A328" s="1520" t="s">
        <v>472</v>
      </c>
      <c r="B328" s="690" t="s">
        <v>1132</v>
      </c>
      <c r="C328" s="474"/>
      <c r="D328" s="474"/>
      <c r="E328" s="474">
        <v>38019</v>
      </c>
      <c r="F328" s="474"/>
      <c r="G328" s="474"/>
      <c r="H328" s="474"/>
      <c r="I328" s="474"/>
      <c r="J328" s="474"/>
      <c r="K328" s="1699">
        <f>SUM(C328:J328)</f>
        <v>38019</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245929</v>
      </c>
      <c r="D330" s="1670">
        <f t="shared" ref="D330:J330" si="25">SUM(D319:D329)</f>
        <v>0</v>
      </c>
      <c r="E330" s="1670">
        <f t="shared" si="25"/>
        <v>89633</v>
      </c>
      <c r="F330" s="1670">
        <f t="shared" si="25"/>
        <v>0</v>
      </c>
      <c r="G330" s="1670">
        <f t="shared" si="25"/>
        <v>0</v>
      </c>
      <c r="H330" s="1670">
        <f t="shared" si="25"/>
        <v>0</v>
      </c>
      <c r="I330" s="1670">
        <f t="shared" si="25"/>
        <v>0</v>
      </c>
      <c r="J330" s="1670">
        <f t="shared" si="25"/>
        <v>0</v>
      </c>
      <c r="K330" s="1670">
        <f>SUM(K319:K329)</f>
        <v>335562</v>
      </c>
      <c r="L330" s="1670">
        <f>SUM(L319:L329)</f>
        <v>384062</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245929</v>
      </c>
      <c r="D342" s="1670">
        <f>SUM(D330)</f>
        <v>0</v>
      </c>
      <c r="E342" s="1670">
        <f>SUM(E330)</f>
        <v>89633</v>
      </c>
      <c r="F342" s="1670">
        <f>SUM(F330)</f>
        <v>0</v>
      </c>
      <c r="G342" s="1670">
        <f>SUM(G330)</f>
        <v>0</v>
      </c>
      <c r="H342" s="1670">
        <f>SUM(H330,H334,H340)</f>
        <v>0</v>
      </c>
      <c r="I342" s="1670">
        <f>SUM(I330)</f>
        <v>0</v>
      </c>
      <c r="J342" s="1670">
        <f>SUM(J330)</f>
        <v>0</v>
      </c>
      <c r="K342" s="1670">
        <f>SUM(K330,K334,K340)</f>
        <v>335562</v>
      </c>
      <c r="L342" s="1677">
        <f>SUM(L330,L340,L341)</f>
        <v>384062</v>
      </c>
    </row>
    <row r="343" spans="1:14" ht="12.75" customHeight="1" thickTop="1" x14ac:dyDescent="0.2">
      <c r="A343" s="2167" t="s">
        <v>996</v>
      </c>
      <c r="B343" s="2168"/>
      <c r="C343" s="616"/>
      <c r="D343" s="616"/>
      <c r="E343" s="616"/>
      <c r="F343" s="616"/>
      <c r="G343" s="616"/>
      <c r="H343" s="616"/>
      <c r="I343" s="616"/>
      <c r="J343" s="616"/>
      <c r="K343" s="1684">
        <f>'Revenues 9-14'!J268-'Expenditures 15-22'!K342</f>
        <v>52056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97</v>
      </c>
      <c r="F349" s="466"/>
      <c r="G349" s="466"/>
      <c r="H349" s="466"/>
      <c r="I349" s="467"/>
      <c r="J349" s="467"/>
      <c r="K349" s="1671">
        <f>SUM(C349:J349)</f>
        <v>97</v>
      </c>
      <c r="L349" s="466"/>
    </row>
    <row r="350" spans="1:14" ht="12.75" customHeight="1" thickBot="1" x14ac:dyDescent="0.25">
      <c r="A350" s="1668" t="s">
        <v>719</v>
      </c>
      <c r="B350" s="1669" t="s">
        <v>35</v>
      </c>
      <c r="C350" s="1670">
        <f>SUM(C348:C349)</f>
        <v>0</v>
      </c>
      <c r="D350" s="1670">
        <f t="shared" ref="D350:L350" si="26">SUM(D348:D349)</f>
        <v>0</v>
      </c>
      <c r="E350" s="1670">
        <f t="shared" si="26"/>
        <v>97</v>
      </c>
      <c r="F350" s="1670">
        <f t="shared" si="26"/>
        <v>0</v>
      </c>
      <c r="G350" s="1670">
        <f t="shared" si="26"/>
        <v>0</v>
      </c>
      <c r="H350" s="1670">
        <f t="shared" si="26"/>
        <v>0</v>
      </c>
      <c r="I350" s="1670">
        <f t="shared" si="26"/>
        <v>0</v>
      </c>
      <c r="J350" s="1670">
        <f t="shared" si="26"/>
        <v>0</v>
      </c>
      <c r="K350" s="1670">
        <f t="shared" si="26"/>
        <v>97</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97</v>
      </c>
      <c r="F352" s="1670">
        <f t="shared" si="27"/>
        <v>0</v>
      </c>
      <c r="G352" s="1670">
        <f t="shared" si="27"/>
        <v>0</v>
      </c>
      <c r="H352" s="1670">
        <f t="shared" si="27"/>
        <v>0</v>
      </c>
      <c r="I352" s="1670">
        <f t="shared" si="27"/>
        <v>0</v>
      </c>
      <c r="J352" s="1670">
        <f t="shared" si="27"/>
        <v>0</v>
      </c>
      <c r="K352" s="1670">
        <f t="shared" si="27"/>
        <v>97</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97</v>
      </c>
      <c r="F367" s="1670">
        <f t="shared" si="28"/>
        <v>0</v>
      </c>
      <c r="G367" s="1670">
        <f t="shared" si="28"/>
        <v>0</v>
      </c>
      <c r="H367" s="1670">
        <f t="shared" si="28"/>
        <v>0</v>
      </c>
      <c r="I367" s="1670">
        <f t="shared" si="28"/>
        <v>0</v>
      </c>
      <c r="J367" s="1670">
        <f t="shared" si="28"/>
        <v>0</v>
      </c>
      <c r="K367" s="1670">
        <f t="shared" si="28"/>
        <v>97</v>
      </c>
      <c r="L367" s="1670">
        <f t="shared" si="28"/>
        <v>0</v>
      </c>
    </row>
    <row r="368" spans="1:14" ht="13.5" thickTop="1" x14ac:dyDescent="0.2">
      <c r="A368" s="2181" t="s">
        <v>996</v>
      </c>
      <c r="B368" s="2182"/>
      <c r="C368" s="654"/>
      <c r="D368" s="654"/>
      <c r="E368" s="626"/>
      <c r="F368" s="626"/>
      <c r="G368" s="626"/>
      <c r="H368" s="626"/>
      <c r="I368" s="626"/>
      <c r="J368" s="623"/>
      <c r="K368" s="1671">
        <f>'Revenues 9-14'!K268-'Expenditures 15-22'!K367</f>
        <v>-96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5" sqref="E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1155</v>
      </c>
      <c r="B4" s="1749">
        <f>'Revenues 9-14'!C5</f>
        <v>1940012</v>
      </c>
      <c r="C4" s="1524"/>
      <c r="D4" s="1752">
        <f>B4-C4</f>
        <v>1940012</v>
      </c>
      <c r="E4" s="1524">
        <v>2019671</v>
      </c>
      <c r="F4" s="1752">
        <f>E4-C4</f>
        <v>2019671</v>
      </c>
    </row>
    <row r="5" spans="1:6" ht="13.7" customHeight="1" x14ac:dyDescent="0.2">
      <c r="A5" s="715" t="s">
        <v>870</v>
      </c>
      <c r="B5" s="1750">
        <f>'Revenues 9-14'!D5</f>
        <v>301244</v>
      </c>
      <c r="C5" s="585"/>
      <c r="D5" s="1753">
        <f t="shared" ref="D5:D18" si="0">B5-C5</f>
        <v>301244</v>
      </c>
      <c r="E5" s="585">
        <v>313614</v>
      </c>
      <c r="F5" s="1753">
        <f>E5-C5</f>
        <v>313614</v>
      </c>
    </row>
    <row r="6" spans="1:6" ht="13.7" customHeight="1" x14ac:dyDescent="0.2">
      <c r="A6" s="715" t="s">
        <v>411</v>
      </c>
      <c r="B6" s="1750">
        <f>'Revenues 9-14'!E5</f>
        <v>2552651</v>
      </c>
      <c r="C6" s="585"/>
      <c r="D6" s="1753">
        <f t="shared" si="0"/>
        <v>2552651</v>
      </c>
      <c r="E6" s="585">
        <f>2121520+526444</f>
        <v>2647964</v>
      </c>
      <c r="F6" s="1753">
        <f t="shared" ref="F6:F18" si="1">E6-C6</f>
        <v>2647964</v>
      </c>
    </row>
    <row r="7" spans="1:6" ht="13.7" customHeight="1" x14ac:dyDescent="0.2">
      <c r="A7" s="715" t="s">
        <v>155</v>
      </c>
      <c r="B7" s="1750">
        <f>'Revenues 9-14'!F5</f>
        <v>144597</v>
      </c>
      <c r="C7" s="585"/>
      <c r="D7" s="1753">
        <f t="shared" si="0"/>
        <v>144597</v>
      </c>
      <c r="E7" s="585">
        <v>150535</v>
      </c>
      <c r="F7" s="1753">
        <f t="shared" si="1"/>
        <v>150535</v>
      </c>
    </row>
    <row r="8" spans="1:6" ht="13.7" customHeight="1" x14ac:dyDescent="0.2">
      <c r="A8" s="715" t="s">
        <v>1179</v>
      </c>
      <c r="B8" s="1750">
        <f>'Revenues 9-14'!G5</f>
        <v>79432</v>
      </c>
      <c r="C8" s="585"/>
      <c r="D8" s="1753">
        <f t="shared" si="0"/>
        <v>79432</v>
      </c>
      <c r="E8" s="585">
        <v>60001</v>
      </c>
      <c r="F8" s="1753">
        <f t="shared" si="1"/>
        <v>60001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60249</v>
      </c>
      <c r="C10" s="585"/>
      <c r="D10" s="1753">
        <f t="shared" si="0"/>
        <v>60249</v>
      </c>
      <c r="E10" s="585">
        <v>62723</v>
      </c>
      <c r="F10" s="1753">
        <f t="shared" si="1"/>
        <v>62723</v>
      </c>
    </row>
    <row r="11" spans="1:6" x14ac:dyDescent="0.2">
      <c r="A11" s="715" t="s">
        <v>409</v>
      </c>
      <c r="B11" s="1750">
        <f>'Revenues 9-14'!J5</f>
        <v>387208</v>
      </c>
      <c r="C11" s="585"/>
      <c r="D11" s="1753">
        <f t="shared" si="0"/>
        <v>387208</v>
      </c>
      <c r="E11" s="585">
        <v>390010</v>
      </c>
      <c r="F11" s="1753">
        <f t="shared" si="1"/>
        <v>390010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60249</v>
      </c>
      <c r="C13" s="585"/>
      <c r="D13" s="1753">
        <f t="shared" si="0"/>
        <v>60249</v>
      </c>
      <c r="E13" s="585">
        <v>62723</v>
      </c>
      <c r="F13" s="1753">
        <f t="shared" si="1"/>
        <v>62723</v>
      </c>
    </row>
    <row r="14" spans="1:6" ht="13.7" customHeight="1" x14ac:dyDescent="0.2">
      <c r="A14" s="715" t="s">
        <v>410</v>
      </c>
      <c r="B14" s="1750">
        <f>SUM('Revenues 9-14'!C7:D7,'Revenues 9-14'!F7:H7)</f>
        <v>24100</v>
      </c>
      <c r="C14" s="585"/>
      <c r="D14" s="1753">
        <f t="shared" si="0"/>
        <v>24100</v>
      </c>
      <c r="E14" s="585">
        <v>25089</v>
      </c>
      <c r="F14" s="1753">
        <f t="shared" si="1"/>
        <v>25089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84409</v>
      </c>
      <c r="C16" s="585"/>
      <c r="D16" s="1753">
        <f t="shared" si="0"/>
        <v>84409</v>
      </c>
      <c r="E16" s="585">
        <v>91011</v>
      </c>
      <c r="F16" s="1753">
        <f t="shared" si="1"/>
        <v>91011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5634151</v>
      </c>
      <c r="C19" s="1751">
        <f>SUM(C4:C18)</f>
        <v>0</v>
      </c>
      <c r="D19" s="1751">
        <f>SUM(D4:D18)</f>
        <v>5634151</v>
      </c>
      <c r="E19" s="1751">
        <f>SUM(E4:E18)</f>
        <v>5823341</v>
      </c>
      <c r="F19" s="1751">
        <f>SUM(F4:F18)</f>
        <v>5823341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2" colorId="8" zoomScale="110" zoomScaleNormal="110" workbookViewId="0">
      <selection activeCell="H49" sqref="H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4" t="s">
        <v>1955</v>
      </c>
      <c r="D2" s="723" t="s">
        <v>1956</v>
      </c>
      <c r="E2" s="723" t="s">
        <v>1957</v>
      </c>
      <c r="F2" s="1884" t="s">
        <v>1958</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2082</v>
      </c>
      <c r="B31" s="733">
        <v>41548</v>
      </c>
      <c r="C31" s="734">
        <v>3500000</v>
      </c>
      <c r="D31" s="735">
        <v>3</v>
      </c>
      <c r="E31" s="734">
        <v>3500000</v>
      </c>
      <c r="F31" s="734"/>
      <c r="G31" s="734"/>
      <c r="H31" s="734">
        <v>20000</v>
      </c>
      <c r="I31" s="1756">
        <f>((E31+F31)-H31)+G31</f>
        <v>3480000</v>
      </c>
      <c r="J31" s="734">
        <v>3480000</v>
      </c>
      <c r="K31" s="736"/>
    </row>
    <row r="32" spans="1:11" ht="12" customHeight="1" x14ac:dyDescent="0.2">
      <c r="A32" s="732" t="s">
        <v>2083</v>
      </c>
      <c r="B32" s="733">
        <v>42927</v>
      </c>
      <c r="C32" s="734">
        <v>1000000</v>
      </c>
      <c r="D32" s="735">
        <v>1</v>
      </c>
      <c r="E32" s="734">
        <v>510000</v>
      </c>
      <c r="F32" s="734"/>
      <c r="G32" s="734"/>
      <c r="H32" s="734">
        <v>510000</v>
      </c>
      <c r="I32" s="1756">
        <f>((E32+F32)-H32)+G32</f>
        <v>0</v>
      </c>
      <c r="J32" s="734"/>
      <c r="K32" s="736"/>
    </row>
    <row r="33" spans="1:11" ht="12" customHeight="1" x14ac:dyDescent="0.2">
      <c r="A33" s="732" t="s">
        <v>2084</v>
      </c>
      <c r="B33" s="733" t="s">
        <v>2085</v>
      </c>
      <c r="C33" s="734">
        <v>40440000</v>
      </c>
      <c r="D33" s="735">
        <v>3</v>
      </c>
      <c r="E33" s="734">
        <v>39475000</v>
      </c>
      <c r="F33" s="734"/>
      <c r="G33" s="734"/>
      <c r="H33" s="734">
        <v>265000</v>
      </c>
      <c r="I33" s="1756">
        <f t="shared" ref="I33:I48" si="1">((E33+F33)-H33)+G33</f>
        <v>39210000</v>
      </c>
      <c r="J33" s="734">
        <v>39150665</v>
      </c>
      <c r="K33" s="736"/>
    </row>
    <row r="34" spans="1:11" ht="12" customHeight="1" x14ac:dyDescent="0.2">
      <c r="A34" s="732" t="s">
        <v>2086</v>
      </c>
      <c r="B34" s="733">
        <v>42571</v>
      </c>
      <c r="C34" s="734">
        <v>52006</v>
      </c>
      <c r="D34" s="735">
        <v>7</v>
      </c>
      <c r="E34" s="734">
        <v>37245</v>
      </c>
      <c r="F34" s="734"/>
      <c r="G34" s="734"/>
      <c r="H34" s="734">
        <v>6969</v>
      </c>
      <c r="I34" s="1756">
        <f t="shared" si="1"/>
        <v>30276</v>
      </c>
      <c r="J34" s="734">
        <v>30276</v>
      </c>
      <c r="K34" s="737"/>
    </row>
    <row r="35" spans="1:11" ht="12" customHeight="1" x14ac:dyDescent="0.2">
      <c r="A35" s="732" t="s">
        <v>2086</v>
      </c>
      <c r="B35" s="733">
        <v>42927</v>
      </c>
      <c r="C35" s="738">
        <v>52006</v>
      </c>
      <c r="D35" s="735">
        <v>7</v>
      </c>
      <c r="E35" s="738">
        <v>44799</v>
      </c>
      <c r="F35" s="738"/>
      <c r="G35" s="738"/>
      <c r="H35" s="738">
        <v>5818</v>
      </c>
      <c r="I35" s="1756">
        <f t="shared" si="1"/>
        <v>38981</v>
      </c>
      <c r="J35" s="738">
        <v>38981</v>
      </c>
      <c r="K35" s="737"/>
    </row>
    <row r="36" spans="1:11" ht="12" customHeight="1" x14ac:dyDescent="0.2">
      <c r="A36" s="732" t="s">
        <v>2083</v>
      </c>
      <c r="B36" s="733">
        <v>43447</v>
      </c>
      <c r="C36" s="734">
        <v>1000000</v>
      </c>
      <c r="D36" s="735">
        <v>1</v>
      </c>
      <c r="E36" s="734"/>
      <c r="F36" s="734">
        <v>1000000</v>
      </c>
      <c r="G36" s="734"/>
      <c r="H36" s="734"/>
      <c r="I36" s="1756">
        <f t="shared" si="1"/>
        <v>1000000</v>
      </c>
      <c r="J36" s="734">
        <v>1000000</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46044012</v>
      </c>
      <c r="D49" s="745"/>
      <c r="E49" s="1756">
        <f t="shared" ref="E49:J49" si="2">SUM(E31:E48)</f>
        <v>43567044</v>
      </c>
      <c r="F49" s="1756">
        <f t="shared" si="2"/>
        <v>1000000</v>
      </c>
      <c r="G49" s="1756">
        <f t="shared" si="2"/>
        <v>0</v>
      </c>
      <c r="H49" s="1756">
        <f t="shared" si="2"/>
        <v>807787</v>
      </c>
      <c r="I49" s="1756">
        <f t="shared" si="2"/>
        <v>43759257</v>
      </c>
      <c r="J49" s="1756">
        <f t="shared" si="2"/>
        <v>43699922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t="s">
        <v>2087</v>
      </c>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1963</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24100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30035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24464</v>
      </c>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24100</v>
      </c>
      <c r="I12" s="1758">
        <f>SUM(I5:I11)</f>
        <v>0</v>
      </c>
      <c r="J12" s="1758">
        <f>SUM(J5:J11)</f>
        <v>0</v>
      </c>
      <c r="K12" s="1758">
        <f>SUM(K5:K11)</f>
        <v>54499</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24100</v>
      </c>
      <c r="I14" s="771"/>
      <c r="J14" s="773"/>
      <c r="K14" s="765">
        <v>54499</v>
      </c>
    </row>
    <row r="15" spans="1:11" x14ac:dyDescent="0.2">
      <c r="A15" s="2214" t="s">
        <v>4</v>
      </c>
      <c r="B15" s="2214"/>
      <c r="C15" s="2214"/>
      <c r="D15" s="2214"/>
      <c r="E15" s="2242"/>
      <c r="F15" s="789" t="s">
        <v>855</v>
      </c>
      <c r="G15" s="771"/>
      <c r="H15" s="764"/>
      <c r="I15" s="764"/>
      <c r="J15" s="765"/>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0</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24100</v>
      </c>
      <c r="I23" s="1758">
        <f>SUM(I14:I16,I21,I22)</f>
        <v>0</v>
      </c>
      <c r="J23" s="1758">
        <f>SUM(J14:J16,J21,J22)</f>
        <v>0</v>
      </c>
      <c r="K23" s="1758">
        <f>SUM(K14:K16,K21,K22)</f>
        <v>54499</v>
      </c>
    </row>
    <row r="24" spans="1:11" ht="14.25" thickTop="1" thickBot="1" x14ac:dyDescent="0.25">
      <c r="A24" s="2235" t="s">
        <v>1964</v>
      </c>
      <c r="B24" s="2234"/>
      <c r="C24" s="2234"/>
      <c r="D24" s="2234"/>
      <c r="E24" s="223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51157</v>
      </c>
      <c r="D5" s="841"/>
      <c r="E5" s="841"/>
      <c r="F5" s="1760">
        <f>(C5+D5)-E5</f>
        <v>51157</v>
      </c>
      <c r="G5" s="837"/>
      <c r="H5" s="842"/>
      <c r="I5" s="842"/>
      <c r="J5" s="842"/>
      <c r="K5" s="793"/>
      <c r="L5" s="1769">
        <f>F5-K5</f>
        <v>51157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31985115</v>
      </c>
      <c r="D8" s="844"/>
      <c r="E8" s="844"/>
      <c r="F8" s="1760">
        <f>(C8+D8)-E8</f>
        <v>31985115</v>
      </c>
      <c r="G8" s="843">
        <v>50</v>
      </c>
      <c r="H8" s="765">
        <v>1915832</v>
      </c>
      <c r="I8" s="765">
        <v>639702</v>
      </c>
      <c r="J8" s="765"/>
      <c r="K8" s="1769">
        <f>(H8+I8)-J8</f>
        <v>2555534</v>
      </c>
      <c r="L8" s="1769">
        <f>F8-K8</f>
        <v>29429581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173052</v>
      </c>
      <c r="D10" s="846"/>
      <c r="E10" s="846"/>
      <c r="F10" s="1764">
        <f>(C10+D10)-E10</f>
        <v>173052</v>
      </c>
      <c r="G10" s="843">
        <v>20</v>
      </c>
      <c r="H10" s="847">
        <v>40258</v>
      </c>
      <c r="I10" s="847">
        <v>8653</v>
      </c>
      <c r="J10" s="847"/>
      <c r="K10" s="1769">
        <f>(H10+I10)-J10</f>
        <v>48911</v>
      </c>
      <c r="L10" s="1769">
        <f>F10-K10</f>
        <v>124141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459198</v>
      </c>
      <c r="D12" s="844">
        <v>4220</v>
      </c>
      <c r="E12" s="844"/>
      <c r="F12" s="1760">
        <f>(C12+D12)-E12</f>
        <v>463418</v>
      </c>
      <c r="G12" s="843">
        <v>10</v>
      </c>
      <c r="H12" s="765">
        <v>233859</v>
      </c>
      <c r="I12" s="765">
        <v>46341</v>
      </c>
      <c r="J12" s="765"/>
      <c r="K12" s="1769">
        <f>(H12+I12)-J12</f>
        <v>280200</v>
      </c>
      <c r="L12" s="1769">
        <f>F12-K12</f>
        <v>183218</v>
      </c>
    </row>
    <row r="13" spans="1:14" ht="14.25" thickTop="1" thickBot="1" x14ac:dyDescent="0.25">
      <c r="A13" s="848" t="s">
        <v>1122</v>
      </c>
      <c r="B13" s="840">
        <v>252</v>
      </c>
      <c r="C13" s="844">
        <v>338597</v>
      </c>
      <c r="D13" s="844"/>
      <c r="E13" s="844">
        <v>41967</v>
      </c>
      <c r="F13" s="1760">
        <f>(C13+D13)-E13</f>
        <v>296630</v>
      </c>
      <c r="G13" s="843">
        <v>5</v>
      </c>
      <c r="H13" s="765">
        <v>251592</v>
      </c>
      <c r="I13" s="765">
        <v>24853</v>
      </c>
      <c r="J13" s="765">
        <v>33572</v>
      </c>
      <c r="K13" s="1769">
        <f>(H13+I13)-J13</f>
        <v>242873</v>
      </c>
      <c r="L13" s="1769">
        <f>F13-K13</f>
        <v>53757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33007119</v>
      </c>
      <c r="D16" s="1760">
        <f>SUM(D3,D5:D6,D8:D10,D12:D15)</f>
        <v>4220</v>
      </c>
      <c r="E16" s="1760">
        <f>SUM(E3,E5:E6,E8:E10,E12:E15)</f>
        <v>41967</v>
      </c>
      <c r="F16" s="1760">
        <f>SUM(F3,F5:F6,F8:F10,F12:F15)</f>
        <v>32969372</v>
      </c>
      <c r="G16" s="843"/>
      <c r="H16" s="1760">
        <f>SUM(H3,H6,H8:H10,H12:H14,)</f>
        <v>2441541</v>
      </c>
      <c r="I16" s="1760">
        <f>SUM(I3,I6,I8:I10,I12:I14,)</f>
        <v>719549</v>
      </c>
      <c r="J16" s="1760">
        <f>SUM(J3,J6,J8:J10,J12:J14,)</f>
        <v>33572</v>
      </c>
      <c r="K16" s="1760">
        <f>(H16+I16)-J16</f>
        <v>3127518</v>
      </c>
      <c r="L16" s="1760">
        <f>F16-K16</f>
        <v>29841854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719549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3922940</v>
      </c>
      <c r="G8" s="865"/>
    </row>
    <row r="9" spans="1:7" x14ac:dyDescent="0.2">
      <c r="A9" s="869" t="s">
        <v>460</v>
      </c>
      <c r="B9" s="870" t="s">
        <v>1876</v>
      </c>
      <c r="C9" s="871"/>
      <c r="D9" s="869" t="s">
        <v>501</v>
      </c>
      <c r="E9" s="868"/>
      <c r="F9" s="1909">
        <f>'Expenditures 15-22'!K151</f>
        <v>475974</v>
      </c>
      <c r="G9" s="872"/>
    </row>
    <row r="10" spans="1:7" x14ac:dyDescent="0.2">
      <c r="A10" s="869" t="s">
        <v>499</v>
      </c>
      <c r="B10" s="870" t="s">
        <v>1877</v>
      </c>
      <c r="C10" s="871"/>
      <c r="D10" s="869" t="s">
        <v>501</v>
      </c>
      <c r="E10" s="868"/>
      <c r="F10" s="1909">
        <f>'Expenditures 15-22'!K174</f>
        <v>2617715</v>
      </c>
      <c r="G10" s="872"/>
    </row>
    <row r="11" spans="1:7" x14ac:dyDescent="0.2">
      <c r="A11" s="869" t="s">
        <v>461</v>
      </c>
      <c r="B11" s="870" t="s">
        <v>1878</v>
      </c>
      <c r="C11" s="871"/>
      <c r="D11" s="869" t="s">
        <v>501</v>
      </c>
      <c r="E11" s="868"/>
      <c r="F11" s="1909">
        <f>'Expenditures 15-22'!K210</f>
        <v>172968</v>
      </c>
      <c r="G11" s="872"/>
    </row>
    <row r="12" spans="1:7" x14ac:dyDescent="0.2">
      <c r="A12" s="869" t="s">
        <v>462</v>
      </c>
      <c r="B12" s="870" t="s">
        <v>1879</v>
      </c>
      <c r="C12" s="871"/>
      <c r="D12" s="869" t="s">
        <v>501</v>
      </c>
      <c r="E12" s="868"/>
      <c r="F12" s="1909">
        <f>'Expenditures 15-22'!K295</f>
        <v>140400</v>
      </c>
      <c r="G12" s="872"/>
    </row>
    <row r="13" spans="1:7" x14ac:dyDescent="0.2">
      <c r="A13" s="869" t="s">
        <v>106</v>
      </c>
      <c r="B13" s="870" t="s">
        <v>1880</v>
      </c>
      <c r="C13" s="871"/>
      <c r="D13" s="869" t="s">
        <v>501</v>
      </c>
      <c r="E13" s="868"/>
      <c r="F13" s="1909">
        <f>'Expenditures 15-22'!K342</f>
        <v>335562</v>
      </c>
      <c r="G13" s="873"/>
    </row>
    <row r="14" spans="1:7" ht="12" customHeight="1" thickBot="1" x14ac:dyDescent="0.25">
      <c r="A14" s="1770"/>
      <c r="B14" s="1771"/>
      <c r="C14" s="1772"/>
      <c r="D14" s="1773" t="s">
        <v>501</v>
      </c>
      <c r="E14" s="1774" t="s">
        <v>958</v>
      </c>
      <c r="F14" s="1775">
        <f>SUM(F8:F13)</f>
        <v>7665559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9291</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7831</v>
      </c>
      <c r="G52" s="865"/>
    </row>
    <row r="53" spans="1:7" x14ac:dyDescent="0.2">
      <c r="A53" s="869" t="s">
        <v>459</v>
      </c>
      <c r="B53" s="869" t="s">
        <v>1475</v>
      </c>
      <c r="C53" s="889">
        <f>'Expenditures 15-22'!B102</f>
        <v>4000</v>
      </c>
      <c r="D53" s="888" t="str">
        <f>'Expenditures 15-22'!A102</f>
        <v>Total Payments to Other Govt Units</v>
      </c>
      <c r="E53" s="868"/>
      <c r="F53" s="1913">
        <f>'Expenditures 15-22'!K102</f>
        <v>130572</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4220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795000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12787</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959701</v>
      </c>
      <c r="G76" s="865"/>
    </row>
    <row r="77" spans="1:8" s="893" customFormat="1" ht="12" customHeight="1" thickTop="1" thickBot="1" x14ac:dyDescent="0.25">
      <c r="A77" s="1779"/>
      <c r="B77" s="1776"/>
      <c r="C77" s="1772"/>
      <c r="D77" s="1777" t="s">
        <v>1899</v>
      </c>
      <c r="E77" s="1774"/>
      <c r="F77" s="1780">
        <f>(F14-F76)</f>
        <v>6705858</v>
      </c>
      <c r="G77" s="869"/>
    </row>
    <row r="78" spans="1:8" s="893" customFormat="1" ht="12" customHeight="1" thickTop="1" x14ac:dyDescent="0.2">
      <c r="A78" s="1781"/>
      <c r="B78" s="1776"/>
      <c r="C78" s="1772"/>
      <c r="D78" s="1777" t="s">
        <v>2061</v>
      </c>
      <c r="E78" s="1774"/>
      <c r="F78" s="898">
        <v>408.77800000000002</v>
      </c>
      <c r="G78" s="899"/>
      <c r="H78" s="869"/>
    </row>
    <row r="79" spans="1:8" s="893" customFormat="1" ht="12" customHeight="1" thickBot="1" x14ac:dyDescent="0.25">
      <c r="A79" s="1782"/>
      <c r="B79" s="1776"/>
      <c r="C79" s="1772"/>
      <c r="D79" s="1777" t="s">
        <v>1900</v>
      </c>
      <c r="E79" s="1774" t="s">
        <v>958</v>
      </c>
      <c r="F79" s="1783">
        <f>IF(F78&gt;0,F77/F78," Complete Line 78")</f>
        <v>16404.645064069005</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116475</v>
      </c>
      <c r="G94" s="912"/>
    </row>
    <row r="95" spans="1:7" x14ac:dyDescent="0.2">
      <c r="A95" s="908" t="s">
        <v>140</v>
      </c>
      <c r="B95" s="908" t="s">
        <v>175</v>
      </c>
      <c r="C95" s="910">
        <v>1700</v>
      </c>
      <c r="D95" s="918" t="str">
        <f>'Revenues 9-14'!A82</f>
        <v>Total District/School Activity Income</v>
      </c>
      <c r="E95" s="906"/>
      <c r="F95" s="1789">
        <f>SUM('Revenues 9-14'!C82,'Revenues 9-14'!D82)</f>
        <v>75568</v>
      </c>
      <c r="G95" s="912"/>
    </row>
    <row r="96" spans="1:7" x14ac:dyDescent="0.2">
      <c r="A96" s="908" t="s">
        <v>459</v>
      </c>
      <c r="B96" s="908" t="s">
        <v>176</v>
      </c>
      <c r="C96" s="910">
        <f>'Revenues 9-14'!B84</f>
        <v>1811</v>
      </c>
      <c r="D96" s="911" t="str">
        <f>'Revenues 9-14'!A84</f>
        <v>Rentals - Regular Textbooks</v>
      </c>
      <c r="E96" s="906"/>
      <c r="F96" s="1789">
        <f>'Revenues 9-14'!C84</f>
        <v>33574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16265</v>
      </c>
      <c r="G100" s="912"/>
    </row>
    <row r="101" spans="1:7" x14ac:dyDescent="0.2">
      <c r="A101" s="908" t="s">
        <v>140</v>
      </c>
      <c r="B101" s="908" t="s">
        <v>181</v>
      </c>
      <c r="C101" s="910">
        <f>'Revenues 9-14'!B95</f>
        <v>1910</v>
      </c>
      <c r="D101" s="911" t="str">
        <f>'Revenues 9-14'!A95</f>
        <v>Rentals</v>
      </c>
      <c r="E101" s="906"/>
      <c r="F101" s="1789">
        <f>SUM('Revenues 9-14'!C95:D95)</f>
        <v>2135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1990</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13314</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2063</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24464</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41956</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2591</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100442</v>
      </c>
      <c r="G125" s="930"/>
    </row>
    <row r="126" spans="1:7" x14ac:dyDescent="0.2">
      <c r="A126" s="927" t="s">
        <v>668</v>
      </c>
      <c r="B126" s="927" t="s">
        <v>2023</v>
      </c>
      <c r="C126" s="932">
        <v>4300</v>
      </c>
      <c r="D126" s="933" t="str">
        <f>'Revenues 9-14'!A204</f>
        <v>Total Title I</v>
      </c>
      <c r="E126" s="906"/>
      <c r="F126" s="1789">
        <f>SUM('Revenues 9-14'!C204,'Revenues 9-14'!D204,'Revenues 9-14'!F204,'Revenues 9-14'!G204)</f>
        <v>112081</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14775</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3468</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14470</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7846</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70998</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158696</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813171</v>
      </c>
    </row>
    <row r="175" spans="1:7" ht="12" customHeight="1" x14ac:dyDescent="0.2">
      <c r="A175" s="1770"/>
      <c r="B175" s="1784"/>
      <c r="C175" s="1785"/>
      <c r="D175" s="1786" t="s">
        <v>2056</v>
      </c>
      <c r="E175" s="1787"/>
      <c r="F175" s="1789">
        <f>'PCTC-OEPP 27-28'!F77-F174</f>
        <v>5892687</v>
      </c>
    </row>
    <row r="176" spans="1:7" ht="12" customHeight="1" x14ac:dyDescent="0.2">
      <c r="A176" s="1770"/>
      <c r="B176" s="1784"/>
      <c r="C176" s="1785"/>
      <c r="D176" s="1786" t="s">
        <v>1817</v>
      </c>
      <c r="E176" s="1787"/>
      <c r="F176" s="1789">
        <f>'Cap Outlay Deprec 26'!I18</f>
        <v>719549</v>
      </c>
    </row>
    <row r="177" spans="1:7" ht="12" customHeight="1" x14ac:dyDescent="0.2">
      <c r="A177" s="1770"/>
      <c r="B177" s="1784"/>
      <c r="C177" s="1785"/>
      <c r="D177" s="1786" t="s">
        <v>2057</v>
      </c>
      <c r="E177" s="1787"/>
      <c r="F177" s="1789">
        <f>F175+F176</f>
        <v>6612236</v>
      </c>
    </row>
    <row r="178" spans="1:7" ht="12" customHeight="1" x14ac:dyDescent="0.2">
      <c r="A178" s="1770"/>
      <c r="B178" s="1790"/>
      <c r="C178" s="1785"/>
      <c r="D178" s="1786" t="str">
        <f>D78</f>
        <v>9 Month ADA from District Average Daily Attendance/Prior General State Aid Inquiry 2018-2019</v>
      </c>
      <c r="E178" s="1787"/>
      <c r="F178" s="1791">
        <f>'PCTC-OEPP 27-28'!F78</f>
        <v>408.77800000000002</v>
      </c>
      <c r="G178" s="930"/>
    </row>
    <row r="179" spans="1:7" ht="12" customHeight="1" thickBot="1" x14ac:dyDescent="0.25">
      <c r="A179" s="1770"/>
      <c r="B179" s="1790"/>
      <c r="C179" s="1785"/>
      <c r="D179" s="1786" t="s">
        <v>2058</v>
      </c>
      <c r="E179" s="1787" t="s">
        <v>1545</v>
      </c>
      <c r="F179" s="1792">
        <f>F177/F178</f>
        <v>16175.616104584884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38"/>
  <sheetViews>
    <sheetView showGridLines="0" topLeftCell="A13"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30" x14ac:dyDescent="0.25">
      <c r="A17" s="1937" t="s">
        <v>2092</v>
      </c>
      <c r="B17" s="1938" t="s">
        <v>2093</v>
      </c>
      <c r="C17" s="1940" t="s">
        <v>2104</v>
      </c>
      <c r="D17" s="1844">
        <v>720</v>
      </c>
      <c r="E17" s="1540">
        <f t="shared" ref="E17:E138" si="0">IF(D17&lt;=25000,D17,IF(D17&gt;25000,25000,0))</f>
        <v>720</v>
      </c>
      <c r="F17" s="1932">
        <f t="shared" ref="F17:F7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720</v>
      </c>
      <c r="G17" s="1793">
        <f>IF(F17=0,0,D17-F17)</f>
        <v>0</v>
      </c>
      <c r="H17" s="1647"/>
    </row>
    <row r="18" spans="1:8" ht="30" x14ac:dyDescent="0.25">
      <c r="A18" s="1937" t="s">
        <v>2092</v>
      </c>
      <c r="B18" s="1938" t="s">
        <v>2093</v>
      </c>
      <c r="C18" s="1939" t="s">
        <v>2094</v>
      </c>
      <c r="D18" s="1844">
        <v>8293</v>
      </c>
      <c r="E18" s="1540">
        <f t="shared" ref="E18:E137" si="2">IF(D18&lt;=25000,D18,IF(D18&gt;25000,25000,0))</f>
        <v>8293</v>
      </c>
      <c r="F18" s="1932">
        <f t="shared" si="1"/>
        <v>8293</v>
      </c>
      <c r="G18" s="1793">
        <f t="shared" ref="G18:G137" si="3">IF(F18=0,0,D18-F18)</f>
        <v>0</v>
      </c>
    </row>
    <row r="19" spans="1:8" ht="30" x14ac:dyDescent="0.25">
      <c r="A19" s="1937" t="s">
        <v>2092</v>
      </c>
      <c r="B19" s="1938" t="s">
        <v>2093</v>
      </c>
      <c r="C19" s="1939" t="s">
        <v>2095</v>
      </c>
      <c r="D19" s="1844">
        <v>900</v>
      </c>
      <c r="E19" s="1540">
        <f t="shared" si="2"/>
        <v>900</v>
      </c>
      <c r="F19" s="1932">
        <f t="shared" si="1"/>
        <v>900</v>
      </c>
      <c r="G19" s="1793">
        <f t="shared" si="3"/>
        <v>0</v>
      </c>
    </row>
    <row r="20" spans="1:8" ht="30" x14ac:dyDescent="0.25">
      <c r="A20" s="1937" t="s">
        <v>2092</v>
      </c>
      <c r="B20" s="1938" t="s">
        <v>2093</v>
      </c>
      <c r="C20" s="1939" t="s">
        <v>2096</v>
      </c>
      <c r="D20" s="1844">
        <v>1755</v>
      </c>
      <c r="E20" s="1540">
        <f t="shared" si="2"/>
        <v>1755</v>
      </c>
      <c r="F20" s="1932">
        <f t="shared" si="1"/>
        <v>1755</v>
      </c>
      <c r="G20" s="1793">
        <f t="shared" si="3"/>
        <v>0</v>
      </c>
    </row>
    <row r="21" spans="1:8" ht="30" x14ac:dyDescent="0.25">
      <c r="A21" s="1937" t="s">
        <v>2092</v>
      </c>
      <c r="B21" s="1938" t="s">
        <v>2093</v>
      </c>
      <c r="C21" s="1939" t="s">
        <v>2097</v>
      </c>
      <c r="D21" s="1844">
        <v>2534</v>
      </c>
      <c r="E21" s="1540">
        <f t="shared" si="2"/>
        <v>2534</v>
      </c>
      <c r="F21" s="1932">
        <f t="shared" si="1"/>
        <v>2534</v>
      </c>
      <c r="G21" s="1793">
        <f t="shared" si="3"/>
        <v>0</v>
      </c>
    </row>
    <row r="22" spans="1:8" ht="30" x14ac:dyDescent="0.25">
      <c r="A22" s="1937" t="s">
        <v>2092</v>
      </c>
      <c r="B22" s="1938" t="s">
        <v>2093</v>
      </c>
      <c r="C22" s="1939" t="s">
        <v>2098</v>
      </c>
      <c r="D22" s="1844">
        <v>3506</v>
      </c>
      <c r="E22" s="1540">
        <f t="shared" si="2"/>
        <v>3506</v>
      </c>
      <c r="F22" s="1932">
        <f t="shared" si="1"/>
        <v>3506</v>
      </c>
      <c r="G22" s="1793">
        <f t="shared" si="3"/>
        <v>0</v>
      </c>
    </row>
    <row r="23" spans="1:8" x14ac:dyDescent="0.25">
      <c r="A23" s="1653"/>
      <c r="B23" s="1934"/>
      <c r="C23" s="1654"/>
      <c r="D23" s="1844"/>
      <c r="E23" s="1540">
        <f t="shared" si="2"/>
        <v>0</v>
      </c>
      <c r="F23" s="1932">
        <f t="shared" si="1"/>
        <v>0</v>
      </c>
      <c r="G23" s="1793">
        <f t="shared" si="3"/>
        <v>0</v>
      </c>
    </row>
    <row r="24" spans="1:8" x14ac:dyDescent="0.25">
      <c r="A24" s="1653"/>
      <c r="B24" s="1934"/>
      <c r="C24" s="1654"/>
      <c r="D24" s="1844"/>
      <c r="E24" s="1540">
        <f t="shared" si="2"/>
        <v>0</v>
      </c>
      <c r="F24" s="1932">
        <f t="shared" si="1"/>
        <v>0</v>
      </c>
      <c r="G24" s="1793">
        <f t="shared" si="3"/>
        <v>0</v>
      </c>
    </row>
    <row r="25" spans="1:8" x14ac:dyDescent="0.25">
      <c r="A25" s="1653"/>
      <c r="B25" s="1934"/>
      <c r="C25" s="1654"/>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hidden="1" x14ac:dyDescent="0.25">
      <c r="A32" s="1653"/>
      <c r="B32" s="1934"/>
      <c r="C32" s="1654"/>
      <c r="D32" s="1844"/>
      <c r="E32" s="1540">
        <f t="shared" si="2"/>
        <v>0</v>
      </c>
      <c r="F32" s="1932">
        <f t="shared" si="1"/>
        <v>0</v>
      </c>
      <c r="G32" s="1793">
        <f t="shared" si="3"/>
        <v>0</v>
      </c>
    </row>
    <row r="33" spans="1:7" hidden="1" x14ac:dyDescent="0.25">
      <c r="A33" s="1653"/>
      <c r="B33" s="1934"/>
      <c r="C33" s="1654"/>
      <c r="D33" s="1844"/>
      <c r="E33" s="1540">
        <f t="shared" si="2"/>
        <v>0</v>
      </c>
      <c r="F33" s="1932">
        <f t="shared" si="1"/>
        <v>0</v>
      </c>
      <c r="G33" s="1793">
        <f t="shared" si="3"/>
        <v>0</v>
      </c>
    </row>
    <row r="34" spans="1:7" hidden="1" x14ac:dyDescent="0.25">
      <c r="A34" s="1653"/>
      <c r="B34" s="1934"/>
      <c r="C34" s="1654"/>
      <c r="D34" s="1844"/>
      <c r="E34" s="1540">
        <f t="shared" si="2"/>
        <v>0</v>
      </c>
      <c r="F34" s="1932">
        <f t="shared" si="1"/>
        <v>0</v>
      </c>
      <c r="G34" s="1793">
        <f t="shared" si="3"/>
        <v>0</v>
      </c>
    </row>
    <row r="35" spans="1:7" hidden="1" x14ac:dyDescent="0.25">
      <c r="A35" s="1653"/>
      <c r="B35" s="1935"/>
      <c r="C35" s="1654"/>
      <c r="D35" s="1844"/>
      <c r="E35" s="1540">
        <f t="shared" si="2"/>
        <v>0</v>
      </c>
      <c r="F35" s="1932">
        <f t="shared" si="1"/>
        <v>0</v>
      </c>
      <c r="G35" s="1793">
        <f t="shared" si="3"/>
        <v>0</v>
      </c>
    </row>
    <row r="36" spans="1:7" hidden="1" x14ac:dyDescent="0.25">
      <c r="A36" s="1653"/>
      <c r="B36" s="1935"/>
      <c r="C36" s="1654"/>
      <c r="D36" s="1844"/>
      <c r="E36" s="1540">
        <f t="shared" si="2"/>
        <v>0</v>
      </c>
      <c r="F36" s="1932">
        <f t="shared" si="1"/>
        <v>0</v>
      </c>
      <c r="G36" s="1793">
        <f t="shared" si="3"/>
        <v>0</v>
      </c>
    </row>
    <row r="37" spans="1:7" hidden="1" x14ac:dyDescent="0.25">
      <c r="A37" s="1653"/>
      <c r="B37" s="1935"/>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667"/>
      <c r="C43" s="1654"/>
      <c r="D43" s="1844"/>
      <c r="E43" s="1540">
        <f t="shared" si="2"/>
        <v>0</v>
      </c>
      <c r="F43" s="1932">
        <f t="shared" si="1"/>
        <v>0</v>
      </c>
      <c r="G43" s="1793">
        <f t="shared" si="3"/>
        <v>0</v>
      </c>
    </row>
    <row r="44" spans="1:7" hidden="1" x14ac:dyDescent="0.25">
      <c r="A44" s="1653"/>
      <c r="B44" s="1667"/>
      <c r="C44" s="1654"/>
      <c r="D44" s="1844"/>
      <c r="E44" s="1540">
        <f t="shared" si="2"/>
        <v>0</v>
      </c>
      <c r="F44" s="1932">
        <f t="shared" si="1"/>
        <v>0</v>
      </c>
      <c r="G44" s="1793">
        <f t="shared" si="3"/>
        <v>0</v>
      </c>
    </row>
    <row r="45" spans="1:7" hidden="1" x14ac:dyDescent="0.25">
      <c r="A45" s="1653"/>
      <c r="B45" s="1667"/>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5"/>
      <c r="B61" s="1667"/>
      <c r="C61" s="1656"/>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3"/>
      <c r="B64" s="1667"/>
      <c r="C64" s="1654"/>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ref="E70:E81" si="4">IF(D70&lt;=25000,D70,IF(D70&gt;25000,25000,0))</f>
        <v>0</v>
      </c>
      <c r="F70" s="1932">
        <f t="shared" si="1"/>
        <v>0</v>
      </c>
      <c r="G70" s="1793">
        <f t="shared" ref="G70:G81" si="5">IF(F70=0,0,D70-F70)</f>
        <v>0</v>
      </c>
    </row>
    <row r="71" spans="1:7" hidden="1" x14ac:dyDescent="0.25">
      <c r="A71" s="1653"/>
      <c r="B71" s="1667"/>
      <c r="C71" s="1654"/>
      <c r="D71" s="1844"/>
      <c r="E71" s="1540">
        <f t="shared" si="4"/>
        <v>0</v>
      </c>
      <c r="F71" s="1932">
        <f t="shared" si="1"/>
        <v>0</v>
      </c>
      <c r="G71" s="1793">
        <f t="shared" si="5"/>
        <v>0</v>
      </c>
    </row>
    <row r="72" spans="1:7" hidden="1" x14ac:dyDescent="0.25">
      <c r="A72" s="1653"/>
      <c r="B72" s="1667"/>
      <c r="C72" s="1654"/>
      <c r="D72" s="1844"/>
      <c r="E72" s="1540">
        <f t="shared" si="4"/>
        <v>0</v>
      </c>
      <c r="F72" s="1932">
        <f t="shared" si="1"/>
        <v>0</v>
      </c>
      <c r="G72" s="1793">
        <f t="shared" si="5"/>
        <v>0</v>
      </c>
    </row>
    <row r="73" spans="1:7" hidden="1" x14ac:dyDescent="0.25">
      <c r="A73" s="1653"/>
      <c r="B73" s="1667"/>
      <c r="C73" s="1654"/>
      <c r="D73" s="1844"/>
      <c r="E73" s="1540">
        <f t="shared" si="4"/>
        <v>0</v>
      </c>
      <c r="F73" s="1932">
        <f t="shared" si="1"/>
        <v>0</v>
      </c>
      <c r="G73" s="1793">
        <f t="shared" si="5"/>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ref="F78:F137" si="6">IF(OR(B78="10-1000-100",B78="10-1000-200",B78="10-1000-300",B78="10-1000-400",B78="10-1000-600",B78="10-1000-800",B78="50-1000-200",B78="10-2100-100",B78="10-2100-200",B78="10-2100-300",B78="10-2100-400",B78="10-2100-600",B78="10-2100-800",B78="20-2100-100",B78="20-2100-200",B78="20-2100-300",B78="20-2100-400",B78="20-2100-600",B78="20-2100-800",B78="40-2100-100",B78="40-2100-200",B78="40-2100-300",B78="40-2100-400",B78="40-2100-600",B78="40-2100-800",B78="50-2100-200",B78="10-2200-100",B78="10-2200-200",B78="10-2200-300",B78="10-2200-400",B78="10-2200-600",B78="10-2200-800",B78="50-2200-200",B78="10-2300-100",B78="10-2300-200",B78="10-2300-300",B78="10-2300-400",B78="10-2300-600",B78="10-2300-800",B78="50-2300-200",B78="80-2300-100",B78="80-2300-200",B78="80-2300-300",B78="80-2300-400",B78="80-2300-600",B78="80-2300-800",B78="10-2400-100",B78="10-2400-200",B78="10-2400-300",B78="10-2400-400",B78="10-2400-600",B78="10-2400-800",B78="50-2400-200",B78="10-2510-100",B78="10-2510-200",B78="10-2510-300",B78="10-2510-400",B78="10-2510-600",B78="10-2510-800",B78="20-2510-100",B78="20-2510-200",B78="20-2510-300",B78="20-2510-400",B78="20-2510-600",B78="20-2510-800",B78="50-2510-200",B78="10-2520-100",B78="10-2520-200",B78="10-2520-300",B78="10-2520-400",B78="10-2520-600",B78="10-2520-800",B78="50-2520-200",B78="10-2540-100",B78="10-2540-200",B78="10-2540-300",B78="10-2540-400",B78="10-2540-600",B78="10-2540-800",B78="20-2540-100",B78="20-2540-200",B78="20-2540-300",B78="20-2540-400",B78="20-2540-600",B78="20-2540-800",B78="50-2540-200",B78="10-2550-100",B78="10-2550-200",B78="10-2550-300",B78="10-2550-400",B78="10-2550-600",B78="10-2550-800",B78="20-2550-100",B78="20-2550-200",B78="20-2550-300",B78="20-2550-400",B78="20-2550-600",B78="20-2550-800",B78="40-2550-100",B78="40-2550-200",B78="40-2550-300",B78="40-2550-400",B78="40-2550-600",B78="40-2550-800",B78="50-2550-200",B78="10-2560-100",B78="10-2560-200",B78="10-2560-300",B78="10-2560-400",B78="10-2560-600",B78="10-2560-800",B78="50-2560-200",B78="10-2570-100",B78="10-2570-200",B78="10-2570-300",B78="10-2570-400",B78="10-2570-600",B78="10-2570-800",B78="50-2570-200",B78="10-2610-100",B78="10-2610-200",B78="10-2610-300",B78="10-2610-400",B78="10-2610-600",B78="10-2610-800",B78="50-2610-200",B78="10-2620-100",B78="10-2620-200",B78="10-2620-300",B78="10-2620-400",B78="10-2620-600",B78="10-2620-800",B78="50-2620-200",B78="10-2630-100",B78="10-2630-200",B78="10-2630-300",B78="10-2630-400",B78="10-2630-600",B78="10-2630-800",B78="50-2630-200",B78="10-2640-100",B78="10-2640-200",B78="10-2640-300",B78="10-2640-400",B78="10-2640-600",B78="10-2640-800",B78="50-2640-200",B78="10-2660-100",B78="10-2660-200",B78="10-2660-300",B78="10-2660-400",B78="10-2660-600",B78="10-2660-800",B78="50-2660-200",B78="10-2900-100",B78="10-2900-200",B78="10-2900-300",B78="10-2900-400",B78="10-2900-600",B78="10-2900-800",B78="20-2900-100",B78="20-2900-200",B78="20-2900-300",B78="20-2900-400",B78="20-2900-600",B78="20-2900-800",B78="40-2900-100",B78="40-2900-200",B78="40-2900-300",B78="40-2900-400",B78="40-2900-600",B78="40-2900-800",B78="50-2900-200",B78="10-3000-100",B78="10-3000-200",B78="10-3000-300",B78="10-3000-400",B78="10-3000-600",B78="10-3000-800",B78="20-3000-100",B78="20-3000-200",B78="20-3000-300",B78="20-3000-400",B78="20-3000-600",B78="20-3000-800",B78="40-3000-100",B78="40-3000-200",B78="40-3000-300",B78="40-3000-400",B78="40-3000-600",B78="40-3000-800",B78="50-3000-200"),E78,0)</f>
        <v>0</v>
      </c>
      <c r="G78" s="1793">
        <f t="shared" si="5"/>
        <v>0</v>
      </c>
    </row>
    <row r="79" spans="1:7" hidden="1" x14ac:dyDescent="0.25">
      <c r="A79" s="1653"/>
      <c r="B79" s="1667"/>
      <c r="C79" s="1654"/>
      <c r="D79" s="1844"/>
      <c r="E79" s="1540">
        <f t="shared" si="4"/>
        <v>0</v>
      </c>
      <c r="F79" s="1932">
        <f t="shared" si="6"/>
        <v>0</v>
      </c>
      <c r="G79" s="1793">
        <f t="shared" si="5"/>
        <v>0</v>
      </c>
    </row>
    <row r="80" spans="1:7" hidden="1" x14ac:dyDescent="0.25">
      <c r="A80" s="1653"/>
      <c r="B80" s="1667"/>
      <c r="C80" s="1654"/>
      <c r="D80" s="1844"/>
      <c r="E80" s="1540">
        <f t="shared" si="4"/>
        <v>0</v>
      </c>
      <c r="F80" s="1932">
        <f t="shared" si="6"/>
        <v>0</v>
      </c>
      <c r="G80" s="1793">
        <f t="shared" si="5"/>
        <v>0</v>
      </c>
    </row>
    <row r="81" spans="1:7" hidden="1" x14ac:dyDescent="0.25">
      <c r="A81" s="1653"/>
      <c r="B81" s="1667"/>
      <c r="C81" s="1654"/>
      <c r="D81" s="1844"/>
      <c r="E81" s="1540">
        <f t="shared" si="4"/>
        <v>0</v>
      </c>
      <c r="F81" s="1932">
        <f t="shared" si="6"/>
        <v>0</v>
      </c>
      <c r="G81" s="1793">
        <f t="shared" si="5"/>
        <v>0</v>
      </c>
    </row>
    <row r="82" spans="1:7" hidden="1" x14ac:dyDescent="0.25">
      <c r="A82" s="1653"/>
      <c r="B82" s="1667"/>
      <c r="C82" s="1654"/>
      <c r="D82" s="1844"/>
      <c r="E82" s="1540">
        <f t="shared" si="2"/>
        <v>0</v>
      </c>
      <c r="F82" s="1932">
        <f t="shared" si="6"/>
        <v>0</v>
      </c>
      <c r="G82" s="1793">
        <f t="shared" si="3"/>
        <v>0</v>
      </c>
    </row>
    <row r="83" spans="1:7" hidden="1" x14ac:dyDescent="0.25">
      <c r="A83" s="1653"/>
      <c r="B83" s="1667"/>
      <c r="C83" s="1654"/>
      <c r="D83" s="1844"/>
      <c r="E83" s="1540">
        <f t="shared" si="2"/>
        <v>0</v>
      </c>
      <c r="F83" s="1932">
        <f t="shared" si="6"/>
        <v>0</v>
      </c>
      <c r="G83" s="1793">
        <f t="shared" si="3"/>
        <v>0</v>
      </c>
    </row>
    <row r="84" spans="1:7" hidden="1" x14ac:dyDescent="0.25">
      <c r="A84" s="1653"/>
      <c r="B84" s="1667"/>
      <c r="C84" s="1654"/>
      <c r="D84" s="1844"/>
      <c r="E84" s="1540">
        <f t="shared" si="2"/>
        <v>0</v>
      </c>
      <c r="F84" s="1932">
        <f t="shared" si="6"/>
        <v>0</v>
      </c>
      <c r="G84" s="1793">
        <f t="shared" si="3"/>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ref="E90" si="7">IF(D90&lt;=25000,D90,IF(D90&gt;25000,25000,0))</f>
        <v>0</v>
      </c>
      <c r="F90" s="1932">
        <f t="shared" si="6"/>
        <v>0</v>
      </c>
      <c r="G90" s="1793">
        <f t="shared" ref="G90" si="8">IF(F90=0,0,D90-F90)</f>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ref="E92:E95" si="9">IF(D92&lt;=25000,D92,IF(D92&gt;25000,25000,0))</f>
        <v>0</v>
      </c>
      <c r="F92" s="1932">
        <f t="shared" si="6"/>
        <v>0</v>
      </c>
      <c r="G92" s="1793">
        <f t="shared" ref="G92:G95" si="10">IF(F92=0,0,D92-F92)</f>
        <v>0</v>
      </c>
    </row>
    <row r="93" spans="1:7" hidden="1" x14ac:dyDescent="0.25">
      <c r="A93" s="1653"/>
      <c r="B93" s="1667"/>
      <c r="C93" s="1654"/>
      <c r="D93" s="1844"/>
      <c r="E93" s="1540">
        <f t="shared" si="9"/>
        <v>0</v>
      </c>
      <c r="F93" s="1932">
        <f t="shared" si="6"/>
        <v>0</v>
      </c>
      <c r="G93" s="1793">
        <f t="shared" si="10"/>
        <v>0</v>
      </c>
    </row>
    <row r="94" spans="1:7" hidden="1" x14ac:dyDescent="0.25">
      <c r="A94" s="1653"/>
      <c r="B94" s="1667"/>
      <c r="C94" s="1654"/>
      <c r="D94" s="1844"/>
      <c r="E94" s="1540">
        <f t="shared" si="9"/>
        <v>0</v>
      </c>
      <c r="F94" s="1932">
        <f t="shared" si="6"/>
        <v>0</v>
      </c>
      <c r="G94" s="1793">
        <f t="shared" si="10"/>
        <v>0</v>
      </c>
    </row>
    <row r="95" spans="1:7" hidden="1" x14ac:dyDescent="0.25">
      <c r="A95" s="1653"/>
      <c r="B95" s="1667"/>
      <c r="C95" s="1654"/>
      <c r="D95" s="1844"/>
      <c r="E95" s="1540">
        <f t="shared" si="9"/>
        <v>0</v>
      </c>
      <c r="F95" s="1932">
        <f t="shared" si="6"/>
        <v>0</v>
      </c>
      <c r="G95" s="1793">
        <f t="shared" si="10"/>
        <v>0</v>
      </c>
    </row>
    <row r="96" spans="1:7" hidden="1" x14ac:dyDescent="0.25">
      <c r="A96" s="1653"/>
      <c r="B96" s="1667"/>
      <c r="C96" s="1654"/>
      <c r="D96" s="1844"/>
      <c r="E96" s="1540">
        <f t="shared" ref="E96" si="11">IF(D96&lt;=25000,D96,IF(D96&gt;25000,25000,0))</f>
        <v>0</v>
      </c>
      <c r="F96" s="1932">
        <f t="shared" si="6"/>
        <v>0</v>
      </c>
      <c r="G96" s="1793">
        <f t="shared" ref="G96" si="12">IF(F96=0,0,D96-F96)</f>
        <v>0</v>
      </c>
    </row>
    <row r="97" spans="1:7" hidden="1" x14ac:dyDescent="0.25">
      <c r="A97" s="1653"/>
      <c r="B97" s="1667"/>
      <c r="C97" s="1654"/>
      <c r="D97" s="1844"/>
      <c r="E97" s="1540">
        <f t="shared" ref="E97:E109" si="13">IF(D97&lt;=25000,D97,IF(D97&gt;25000,25000,0))</f>
        <v>0</v>
      </c>
      <c r="F97" s="1932">
        <f t="shared" si="6"/>
        <v>0</v>
      </c>
      <c r="G97" s="1793">
        <f t="shared" ref="G97:G109" si="14">IF(F97=0,0,D97-F97)</f>
        <v>0</v>
      </c>
    </row>
    <row r="98" spans="1:7" hidden="1" x14ac:dyDescent="0.25">
      <c r="A98" s="1653"/>
      <c r="B98" s="1667"/>
      <c r="C98" s="1654"/>
      <c r="D98" s="1844"/>
      <c r="E98" s="1540">
        <f t="shared" si="13"/>
        <v>0</v>
      </c>
      <c r="F98" s="1932">
        <f t="shared" si="6"/>
        <v>0</v>
      </c>
      <c r="G98" s="1793">
        <f t="shared" si="14"/>
        <v>0</v>
      </c>
    </row>
    <row r="99" spans="1:7" hidden="1" x14ac:dyDescent="0.25">
      <c r="A99" s="1653"/>
      <c r="B99" s="1667"/>
      <c r="C99" s="1654"/>
      <c r="D99" s="1844"/>
      <c r="E99" s="1540">
        <f t="shared" si="13"/>
        <v>0</v>
      </c>
      <c r="F99" s="1932">
        <f t="shared" si="6"/>
        <v>0</v>
      </c>
      <c r="G99" s="1793">
        <f t="shared" si="14"/>
        <v>0</v>
      </c>
    </row>
    <row r="100" spans="1:7" hidden="1" x14ac:dyDescent="0.25">
      <c r="A100" s="1653"/>
      <c r="B100" s="1667"/>
      <c r="C100" s="1654"/>
      <c r="D100" s="1844"/>
      <c r="E100" s="1540">
        <f t="shared" si="13"/>
        <v>0</v>
      </c>
      <c r="F100" s="1932">
        <f t="shared" si="6"/>
        <v>0</v>
      </c>
      <c r="G100" s="1793">
        <f t="shared" si="14"/>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ref="E110:E122" si="15">IF(D110&lt;=25000,D110,IF(D110&gt;25000,25000,0))</f>
        <v>0</v>
      </c>
      <c r="F110" s="1932">
        <f t="shared" si="6"/>
        <v>0</v>
      </c>
      <c r="G110" s="1793">
        <f t="shared" ref="G110:G122" si="16">IF(F110=0,0,D110-F110)</f>
        <v>0</v>
      </c>
    </row>
    <row r="111" spans="1:7" hidden="1" x14ac:dyDescent="0.25">
      <c r="A111" s="1653"/>
      <c r="B111" s="1667"/>
      <c r="C111" s="1654"/>
      <c r="D111" s="1844"/>
      <c r="E111" s="1540">
        <f t="shared" si="15"/>
        <v>0</v>
      </c>
      <c r="F111" s="1932">
        <f t="shared" si="6"/>
        <v>0</v>
      </c>
      <c r="G111" s="1793">
        <f t="shared" si="16"/>
        <v>0</v>
      </c>
    </row>
    <row r="112" spans="1:7" hidden="1" x14ac:dyDescent="0.25">
      <c r="A112" s="1653"/>
      <c r="B112" s="1667"/>
      <c r="C112" s="1654"/>
      <c r="D112" s="1844"/>
      <c r="E112" s="1540">
        <f t="shared" si="15"/>
        <v>0</v>
      </c>
      <c r="F112" s="1932">
        <f t="shared" si="6"/>
        <v>0</v>
      </c>
      <c r="G112" s="1793">
        <f t="shared" si="16"/>
        <v>0</v>
      </c>
    </row>
    <row r="113" spans="1:7" hidden="1" x14ac:dyDescent="0.25">
      <c r="A113" s="1653"/>
      <c r="B113" s="1667"/>
      <c r="C113" s="1654"/>
      <c r="D113" s="1844"/>
      <c r="E113" s="1540">
        <f t="shared" si="15"/>
        <v>0</v>
      </c>
      <c r="F113" s="1932">
        <f t="shared" si="6"/>
        <v>0</v>
      </c>
      <c r="G113" s="1793">
        <f t="shared" si="16"/>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ref="E123:E131" si="17">IF(D123&lt;=25000,D123,IF(D123&gt;25000,25000,0))</f>
        <v>0</v>
      </c>
      <c r="F123" s="1932">
        <f t="shared" si="6"/>
        <v>0</v>
      </c>
      <c r="G123" s="1793">
        <f t="shared" ref="G123:G131" si="18">IF(F123=0,0,D123-F123)</f>
        <v>0</v>
      </c>
    </row>
    <row r="124" spans="1:7" hidden="1" x14ac:dyDescent="0.25">
      <c r="A124" s="1653"/>
      <c r="B124" s="1667"/>
      <c r="C124" s="1654"/>
      <c r="D124" s="1844"/>
      <c r="E124" s="1540">
        <f t="shared" si="17"/>
        <v>0</v>
      </c>
      <c r="F124" s="1932">
        <f t="shared" si="6"/>
        <v>0</v>
      </c>
      <c r="G124" s="1793">
        <f t="shared" si="18"/>
        <v>0</v>
      </c>
    </row>
    <row r="125" spans="1:7" hidden="1" x14ac:dyDescent="0.25">
      <c r="A125" s="1653"/>
      <c r="B125" s="1667"/>
      <c r="C125" s="1654"/>
      <c r="D125" s="1844"/>
      <c r="E125" s="1540">
        <f t="shared" si="17"/>
        <v>0</v>
      </c>
      <c r="F125" s="1932">
        <f t="shared" si="6"/>
        <v>0</v>
      </c>
      <c r="G125" s="1793">
        <f t="shared" si="18"/>
        <v>0</v>
      </c>
    </row>
    <row r="126" spans="1:7" hidden="1" x14ac:dyDescent="0.25">
      <c r="A126" s="1653"/>
      <c r="B126" s="1667"/>
      <c r="C126" s="1654"/>
      <c r="D126" s="1844"/>
      <c r="E126" s="1540">
        <f t="shared" si="17"/>
        <v>0</v>
      </c>
      <c r="F126" s="1932">
        <f t="shared" si="6"/>
        <v>0</v>
      </c>
      <c r="G126" s="1793">
        <f t="shared" si="18"/>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837"/>
      <c r="C128" s="1654"/>
      <c r="D128" s="1844"/>
      <c r="E128" s="1540">
        <f t="shared" si="17"/>
        <v>0</v>
      </c>
      <c r="F128" s="1932">
        <f t="shared" si="6"/>
        <v>0</v>
      </c>
      <c r="G128" s="1793">
        <f t="shared" si="18"/>
        <v>0</v>
      </c>
    </row>
    <row r="129" spans="1:7" hidden="1" x14ac:dyDescent="0.25">
      <c r="A129" s="1653"/>
      <c r="B129" s="183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667"/>
      <c r="C131" s="1654"/>
      <c r="D131" s="1844"/>
      <c r="E131" s="1540">
        <f t="shared" si="17"/>
        <v>0</v>
      </c>
      <c r="F131" s="1932">
        <f t="shared" si="6"/>
        <v>0</v>
      </c>
      <c r="G131" s="1793">
        <f t="shared" si="18"/>
        <v>0</v>
      </c>
    </row>
    <row r="132" spans="1:7" hidden="1" x14ac:dyDescent="0.25">
      <c r="A132" s="1653"/>
      <c r="B132" s="1667"/>
      <c r="C132" s="1654"/>
      <c r="D132" s="1844"/>
      <c r="E132" s="1540">
        <f t="shared" ref="E132:E136" si="19">IF(D132&lt;=25000,D132,IF(D132&gt;25000,25000,0))</f>
        <v>0</v>
      </c>
      <c r="F132" s="1932">
        <f t="shared" si="6"/>
        <v>0</v>
      </c>
      <c r="G132" s="1793">
        <f t="shared" ref="G132:G136" si="20">IF(F132=0,0,D132-F132)</f>
        <v>0</v>
      </c>
    </row>
    <row r="133" spans="1:7" hidden="1" x14ac:dyDescent="0.25">
      <c r="A133" s="1653"/>
      <c r="B133" s="1667"/>
      <c r="C133" s="1654"/>
      <c r="D133" s="1844"/>
      <c r="E133" s="1540">
        <f t="shared" si="19"/>
        <v>0</v>
      </c>
      <c r="F133" s="1932">
        <f t="shared" si="6"/>
        <v>0</v>
      </c>
      <c r="G133" s="1793">
        <f t="shared" si="20"/>
        <v>0</v>
      </c>
    </row>
    <row r="134" spans="1:7" hidden="1" x14ac:dyDescent="0.25">
      <c r="A134" s="1653"/>
      <c r="B134" s="1667"/>
      <c r="C134" s="1654"/>
      <c r="D134" s="1844"/>
      <c r="E134" s="1540">
        <f t="shared" si="19"/>
        <v>0</v>
      </c>
      <c r="F134" s="1932">
        <f t="shared" si="6"/>
        <v>0</v>
      </c>
      <c r="G134" s="1793">
        <f t="shared" si="20"/>
        <v>0</v>
      </c>
    </row>
    <row r="135" spans="1:7" hidden="1" x14ac:dyDescent="0.25">
      <c r="A135" s="1653"/>
      <c r="B135" s="1667"/>
      <c r="C135" s="1654"/>
      <c r="D135" s="1844"/>
      <c r="E135" s="1540">
        <f t="shared" si="19"/>
        <v>0</v>
      </c>
      <c r="F135" s="1932">
        <f t="shared" si="6"/>
        <v>0</v>
      </c>
      <c r="G135" s="1793">
        <f t="shared" si="20"/>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6"/>
      <c r="C137" s="1654"/>
      <c r="D137" s="1844"/>
      <c r="E137" s="1540">
        <f t="shared" si="2"/>
        <v>0</v>
      </c>
      <c r="F137" s="1932">
        <f t="shared" si="6"/>
        <v>0</v>
      </c>
      <c r="G137" s="1793">
        <f t="shared" si="3"/>
        <v>0</v>
      </c>
    </row>
    <row r="138" spans="1:7" x14ac:dyDescent="0.25">
      <c r="A138" s="1796" t="s">
        <v>156</v>
      </c>
      <c r="B138" s="1797"/>
      <c r="C138" s="1798"/>
      <c r="D138" s="1794">
        <f>SUM(D17:D137)</f>
        <v>17708</v>
      </c>
      <c r="E138" s="1541">
        <f t="shared" si="0"/>
        <v>17708</v>
      </c>
      <c r="F138" s="1933">
        <f>SUM(F17:F137)</f>
        <v>17708</v>
      </c>
      <c r="G138" s="1795">
        <f>SUM(G17:G137)</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1976</v>
      </c>
      <c r="B11" s="2288"/>
      <c r="C11" s="2288"/>
      <c r="D11" s="2289"/>
      <c r="E11" s="977">
        <v>18105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2841956</v>
      </c>
      <c r="F19" s="1799"/>
      <c r="G19" s="1801">
        <f>'Expenditures 15-22'!K33-SUM('Expenditures 15-22'!G33,'Expenditures 15-22'!I33)+'Expenditures 15-22'!D229</f>
        <v>2841956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253897</v>
      </c>
      <c r="F21" s="1802"/>
      <c r="G21" s="1805">
        <f>'Expenditures 15-22'!K42-SUM('Expenditures 15-22'!G42,'Expenditures 15-22'!I42)+'Expenditures 15-22'!K120-SUM('Expenditures 15-22'!G120,'Expenditures 15-22'!I120)+'Expenditures 15-22'!K180-SUM('Expenditures 15-22'!G180,'Expenditures 15-22'!I180)+'Expenditures 15-22'!D238</f>
        <v>253897</v>
      </c>
      <c r="H21" s="987"/>
      <c r="I21" s="162"/>
    </row>
    <row r="22" spans="1:9" s="668" customFormat="1" ht="12" customHeight="1" x14ac:dyDescent="0.2">
      <c r="A22" s="994" t="s">
        <v>564</v>
      </c>
      <c r="B22" s="995"/>
      <c r="C22" s="993">
        <v>2200</v>
      </c>
      <c r="D22" s="1802"/>
      <c r="E22" s="1804">
        <f>'Expenditures 15-22'!K47-SUM('Expenditures 15-22'!G47,'Expenditures 15-22'!I47)+'Expenditures 15-22'!D243</f>
        <v>128263</v>
      </c>
      <c r="F22" s="1802"/>
      <c r="G22" s="1805">
        <f>'Expenditures 15-22'!K47-SUM('Expenditures 15-22'!G47,'Expenditures 15-22'!I47)+'Expenditures 15-22'!D243</f>
        <v>128263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505386</v>
      </c>
      <c r="F23" s="1802"/>
      <c r="G23" s="1804">
        <f>'Expenditures 15-22'!K53-SUM('Expenditures 15-22'!G53,'Expenditures 15-22'!I53)+'Expenditures 15-22'!D257+'Expenditures 15-22'!K330-SUM('Expenditures 15-22'!G330,'Expenditures 15-22'!I330)</f>
        <v>505386</v>
      </c>
      <c r="H23" s="987"/>
      <c r="I23" s="162"/>
    </row>
    <row r="24" spans="1:9" s="668" customFormat="1" ht="12" customHeight="1" x14ac:dyDescent="0.2">
      <c r="A24" s="994" t="s">
        <v>566</v>
      </c>
      <c r="B24" s="995"/>
      <c r="C24" s="993">
        <v>2400</v>
      </c>
      <c r="D24" s="1802"/>
      <c r="E24" s="1804">
        <f>'Expenditures 15-22'!K57-SUM('Expenditures 15-22'!G57,'Expenditures 15-22'!I57)+'Expenditures 15-22'!D261</f>
        <v>256357</v>
      </c>
      <c r="F24" s="1802"/>
      <c r="G24" s="1805">
        <f>'Expenditures 15-22'!K57-SUM('Expenditures 15-22'!G57,'Expenditures 15-22'!I57)+'Expenditures 15-22'!D261</f>
        <v>256357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58576</v>
      </c>
      <c r="E27" s="1804">
        <f>E8</f>
        <v>0</v>
      </c>
      <c r="F27" s="1804">
        <f>'Expenditures 15-22'!K60-SUM('Expenditures 15-22'!G60,'Expenditures 15-22'!I60)+'Expenditures 15-22'!D264-E8</f>
        <v>58576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508888</v>
      </c>
      <c r="F28" s="1806">
        <f>'Expenditures 15-22'!K61-SUM('Expenditures 15-22'!G61,'Expenditures 15-22'!I61)+'Expenditures 15-22'!K124-SUM('Expenditures 15-22'!G124,'Expenditures 15-22'!I124)+'Expenditures 15-22'!D266-E9</f>
        <v>508888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157786</v>
      </c>
      <c r="F29" s="1802"/>
      <c r="G29" s="1805">
        <f>'Expenditures 15-22'!K62-SUM('Expenditures 15-22'!G62,'Expenditures 15-22'!I62)+'Expenditures 15-22'!K125-SUM('Expenditures 15-22'!G125,'Expenditures 15-22'!I125)+'Expenditures 15-22'!K182-SUM('Expenditures 15-22'!G182,'Expenditures 15-22'!I182)+'Expenditures 15-22'!D267</f>
        <v>157786</v>
      </c>
      <c r="H29" s="985"/>
    </row>
    <row r="30" spans="1:9" ht="12" customHeight="1" x14ac:dyDescent="0.2">
      <c r="A30" s="994" t="s">
        <v>100</v>
      </c>
      <c r="B30" s="997"/>
      <c r="C30" s="993">
        <v>2560</v>
      </c>
      <c r="D30" s="1802"/>
      <c r="E30" s="1804">
        <f>'Expenditures 15-22'!K63-SUM('Expenditures 15-22'!G63,'Expenditures 15-22'!I63)+'Expenditures 15-22'!D268-E10</f>
        <v>177468</v>
      </c>
      <c r="F30" s="1802"/>
      <c r="G30" s="1804">
        <f>'Expenditures 15-22'!K63-SUM('Expenditures 15-22'!G63,'Expenditures 15-22'!I63)+'Expenditures 15-22'!D268-E10</f>
        <v>177468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1462</v>
      </c>
      <c r="F35" s="1802"/>
      <c r="G35" s="1804">
        <f>'Expenditures 15-22'!K69-SUM('Expenditures 15-22'!G69,'Expenditures 15-22'!I69)+'Expenditures 15-22'!D274</f>
        <v>1462</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7831</v>
      </c>
      <c r="F39" s="1802"/>
      <c r="G39" s="1804">
        <f>'Expenditures 15-22'!K75-SUM('Expenditures 15-22'!G75,'Expenditures 15-22'!I75)+'Expenditures 15-22'!K130-SUM('Expenditures 15-22'!G130,'Expenditures 15-22'!I130)+'Expenditures 15-22'!K185-SUM('Expenditures 15-22'!G185,'Expenditures 15-22'!I185)+'Expenditures 15-22'!D280</f>
        <v>7831</v>
      </c>
    </row>
    <row r="40" spans="1:7" ht="12" customHeight="1" x14ac:dyDescent="0.2">
      <c r="A40" s="990" t="s">
        <v>1823</v>
      </c>
      <c r="B40" s="991"/>
      <c r="C40" s="993"/>
      <c r="D40" s="1802"/>
      <c r="E40" s="1806">
        <f>-'Contracts Paid in CY 29'!G138</f>
        <v>0</v>
      </c>
      <c r="F40" s="1802"/>
      <c r="G40" s="1806">
        <f>-'Contracts Paid in CY 29'!G138</f>
        <v>0</v>
      </c>
    </row>
    <row r="41" spans="1:7" ht="12" customHeight="1" x14ac:dyDescent="0.2">
      <c r="A41" s="998" t="s">
        <v>156</v>
      </c>
      <c r="B41" s="999"/>
      <c r="C41" s="1000"/>
      <c r="D41" s="1806">
        <f>SUM(D19:D39)</f>
        <v>58576</v>
      </c>
      <c r="E41" s="1806">
        <f>SUM(E19:E40)</f>
        <v>4839294</v>
      </c>
      <c r="F41" s="1806">
        <f>SUM(F19:F39)</f>
        <v>567464</v>
      </c>
      <c r="G41" s="1806">
        <f>SUM(G19:G40)</f>
        <v>4330406</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58576</v>
      </c>
      <c r="F43" s="1807" t="s">
        <v>473</v>
      </c>
      <c r="G43" s="1808">
        <f>F41</f>
        <v>567464</v>
      </c>
    </row>
    <row r="44" spans="1:7" ht="12" customHeight="1" x14ac:dyDescent="0.2">
      <c r="A44" s="987"/>
      <c r="B44" s="162"/>
      <c r="C44" s="1001"/>
      <c r="D44" s="1807" t="s">
        <v>474</v>
      </c>
      <c r="E44" s="1808">
        <f>E41</f>
        <v>4839294</v>
      </c>
      <c r="F44" s="1807" t="s">
        <v>474</v>
      </c>
      <c r="G44" s="1808">
        <f>G41</f>
        <v>4330406</v>
      </c>
    </row>
    <row r="45" spans="1:7" ht="12" customHeight="1" x14ac:dyDescent="0.2">
      <c r="A45" s="987"/>
      <c r="B45" s="162"/>
      <c r="C45" s="162"/>
      <c r="D45" s="1809" t="s">
        <v>1006</v>
      </c>
      <c r="E45" s="1810">
        <f>(E43/E44)</f>
        <v>1.2104244958045534E-2</v>
      </c>
      <c r="F45" s="1809" t="s">
        <v>1006</v>
      </c>
      <c r="G45" s="1810">
        <f>(G43/G44)</f>
        <v>0.13104175451447278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34" sqref="C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HALL HSD 502</v>
      </c>
      <c r="D6" s="2297"/>
      <c r="E6" s="2297"/>
      <c r="F6" s="1852"/>
    </row>
    <row r="7" spans="1:10" ht="11.25" customHeight="1" thickBot="1" x14ac:dyDescent="0.3">
      <c r="A7" s="1850"/>
      <c r="B7" s="1851"/>
      <c r="C7" s="2298">
        <f>COVER!A13</f>
        <v>28006502017</v>
      </c>
      <c r="D7" s="2298"/>
      <c r="E7" s="229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t="s">
        <v>2088</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c r="F30" s="1867" t="s">
        <v>2089</v>
      </c>
      <c r="H30" s="1878">
        <f t="shared" si="0"/>
        <v>5</v>
      </c>
      <c r="I30" s="1878">
        <f t="shared" si="1"/>
        <v>5</v>
      </c>
      <c r="J30" s="1878">
        <f t="shared" si="2"/>
        <v>0</v>
      </c>
    </row>
    <row r="31" spans="1:12" ht="12" customHeight="1" x14ac:dyDescent="0.2">
      <c r="A31" s="1863" t="s">
        <v>1539</v>
      </c>
      <c r="B31" s="1864"/>
      <c r="C31" s="1865" t="s">
        <v>2064</v>
      </c>
      <c r="D31" s="1865" t="s">
        <v>2064</v>
      </c>
      <c r="E31" s="1868"/>
      <c r="F31" s="1867" t="s">
        <v>2090</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2064</v>
      </c>
      <c r="D33" s="1865" t="s">
        <v>2064</v>
      </c>
      <c r="E33" s="1868"/>
      <c r="F33" s="1867" t="s">
        <v>2091</v>
      </c>
      <c r="H33" s="1878">
        <f t="shared" si="0"/>
        <v>5</v>
      </c>
      <c r="I33" s="1878">
        <f t="shared" si="1"/>
        <v>5</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HALL HSD 502</v>
      </c>
      <c r="J6" s="2318"/>
      <c r="Q6" s="1664"/>
    </row>
    <row r="7" spans="1:17" x14ac:dyDescent="0.2">
      <c r="A7" s="2319" t="s">
        <v>869</v>
      </c>
      <c r="B7" s="2320"/>
      <c r="C7" s="2320"/>
      <c r="D7" s="2320"/>
      <c r="E7" s="2321"/>
      <c r="F7" s="1017"/>
      <c r="G7" s="1009"/>
      <c r="H7" s="1016" t="s">
        <v>372</v>
      </c>
      <c r="I7" s="2322">
        <f>COVER!A13</f>
        <v>28006502017</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118715</v>
      </c>
      <c r="F12" s="1039"/>
      <c r="G12" s="1811">
        <f t="shared" ref="G12:G18" si="0">SUM(E12:F12)</f>
        <v>118715</v>
      </c>
      <c r="H12" s="1040">
        <v>115994</v>
      </c>
      <c r="I12" s="1039"/>
      <c r="J12" s="1811">
        <f t="shared" ref="J12:J18" si="1">SUM(H12:I12)</f>
        <v>115994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118715</v>
      </c>
      <c r="F19" s="1813">
        <f t="shared" si="2"/>
        <v>0</v>
      </c>
      <c r="G19" s="1813">
        <f t="shared" si="2"/>
        <v>118715</v>
      </c>
      <c r="H19" s="1813">
        <f t="shared" si="2"/>
        <v>115994</v>
      </c>
      <c r="I19" s="1813">
        <f t="shared" si="2"/>
        <v>0</v>
      </c>
      <c r="J19" s="1813">
        <f t="shared" si="2"/>
        <v>115994</v>
      </c>
    </row>
    <row r="20" spans="1:10" ht="13.5" thickTop="1" x14ac:dyDescent="0.2">
      <c r="A20" s="1035">
        <v>9</v>
      </c>
      <c r="B20" s="2329" t="s">
        <v>1980</v>
      </c>
      <c r="C20" s="2329"/>
      <c r="D20" s="2330"/>
      <c r="E20" s="1046"/>
      <c r="F20" s="1046"/>
      <c r="G20" s="1046"/>
      <c r="H20" s="1046"/>
      <c r="I20" s="1046"/>
      <c r="J20" s="1814">
        <f>IF(AND(G19&gt;0,J19&gt;0),(((J19-G19)/G19)),"Enter Budget Data")</f>
        <v>-2.2920439708545678E-2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0" sqref="A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2099</v>
      </c>
    </row>
    <row r="6" spans="1:2" x14ac:dyDescent="0.2">
      <c r="A6" s="1068">
        <v>2</v>
      </c>
      <c r="B6" s="329" t="s">
        <v>2100</v>
      </c>
    </row>
    <row r="7" spans="1:2" x14ac:dyDescent="0.2">
      <c r="A7" s="1068">
        <v>3</v>
      </c>
      <c r="B7" s="329" t="s">
        <v>2101</v>
      </c>
    </row>
    <row r="8" spans="1:2" x14ac:dyDescent="0.2">
      <c r="A8" s="1068">
        <v>4</v>
      </c>
      <c r="B8" s="329" t="s">
        <v>2102</v>
      </c>
    </row>
    <row r="9" spans="1:2" x14ac:dyDescent="0.2">
      <c r="A9" s="1069">
        <v>5</v>
      </c>
      <c r="B9" s="329" t="s">
        <v>2103</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HALL HSD 502</v>
      </c>
    </row>
    <row r="65" spans="2:2" x14ac:dyDescent="0.2">
      <c r="B65" s="1070">
        <f>COVER!A13</f>
        <v>28006502017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 sqref="C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1428750</xdr:colOff>
                <xdr:row>0</xdr:row>
                <xdr:rowOff>142875</xdr:rowOff>
              </from>
              <to>
                <xdr:col>1</xdr:col>
                <xdr:colOff>2343150</xdr:colOff>
                <xdr:row>5</xdr:row>
                <xdr:rowOff>19050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4220552</v>
      </c>
      <c r="C8" s="1815">
        <f>'Acct Summary 7-8'!D8</f>
        <v>706689</v>
      </c>
      <c r="D8" s="1815">
        <f>'Acct Summary 7-8'!F8</f>
        <v>186861</v>
      </c>
      <c r="E8" s="1815">
        <f>'Acct Summary 7-8'!I8</f>
        <v>91021</v>
      </c>
      <c r="F8" s="1815">
        <f>SUM(B8:E8)</f>
        <v>5205123</v>
      </c>
    </row>
    <row r="9" spans="1:8" s="1079" customFormat="1" ht="14.25" customHeight="1" thickBot="1" x14ac:dyDescent="0.25">
      <c r="A9" s="1078" t="s">
        <v>1369</v>
      </c>
      <c r="B9" s="1816">
        <f>'Acct Summary 7-8'!C17</f>
        <v>3922940</v>
      </c>
      <c r="C9" s="1816">
        <f>'Acct Summary 7-8'!D17</f>
        <v>475974</v>
      </c>
      <c r="D9" s="1816">
        <f>'Acct Summary 7-8'!F17</f>
        <v>172968</v>
      </c>
      <c r="E9" s="1815"/>
      <c r="F9" s="1815">
        <f>SUM(B9:E9)</f>
        <v>4571882</v>
      </c>
    </row>
    <row r="10" spans="1:8" s="1079" customFormat="1" ht="14.25" thickTop="1" thickBot="1" x14ac:dyDescent="0.25">
      <c r="A10" s="1080" t="s">
        <v>1370</v>
      </c>
      <c r="B10" s="1817">
        <f>(B8-B9)</f>
        <v>297612</v>
      </c>
      <c r="C10" s="1817">
        <f>(C8-C9)</f>
        <v>230715</v>
      </c>
      <c r="D10" s="1817">
        <f>(D8-D9)</f>
        <v>13893</v>
      </c>
      <c r="E10" s="1816">
        <f>(E8-E9)</f>
        <v>91021</v>
      </c>
      <c r="F10" s="1818">
        <f>SUM(F8-F9)</f>
        <v>633241</v>
      </c>
    </row>
    <row r="11" spans="1:8" s="1079" customFormat="1" ht="14.25" thickTop="1" thickBot="1" x14ac:dyDescent="0.25">
      <c r="A11" s="1081" t="s">
        <v>1984</v>
      </c>
      <c r="B11" s="1819">
        <f>'Acct Summary 7-8'!C81</f>
        <v>1080672</v>
      </c>
      <c r="C11" s="1819">
        <f>'Acct Summary 7-8'!D81</f>
        <v>673282</v>
      </c>
      <c r="D11" s="1819">
        <f>'Acct Summary 7-8'!F81</f>
        <v>70312</v>
      </c>
      <c r="E11" s="1819">
        <f>'Acct Summary 7-8'!I81</f>
        <v>1900769</v>
      </c>
      <c r="F11" s="1820">
        <f>SUM(B11:E11)</f>
        <v>3725035</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9" colorId="8" zoomScale="110" zoomScaleNormal="110" workbookViewId="0">
      <selection activeCell="C53" sqref="C5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29'!D138&gt;0,"OK","PLEASE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28006502017</v>
      </c>
    </row>
    <row r="3" spans="1:2" x14ac:dyDescent="0.2">
      <c r="A3" t="s">
        <v>956</v>
      </c>
      <c r="B3" s="138" t="str">
        <f>COVER!A15</f>
        <v>BUREAU</v>
      </c>
    </row>
    <row r="4" spans="1:2" x14ac:dyDescent="0.2">
      <c r="A4" t="s">
        <v>1007</v>
      </c>
      <c r="B4" s="138" t="str">
        <f>COVER!A17</f>
        <v>HALL HSD 502</v>
      </c>
    </row>
    <row r="5" spans="1:2" x14ac:dyDescent="0.2">
      <c r="A5" t="s">
        <v>704</v>
      </c>
      <c r="B5" s="138" t="str">
        <f>COVER!A38</f>
        <v>JESSE BRANDT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KIM BIRD</v>
      </c>
    </row>
    <row r="18" spans="1:2" x14ac:dyDescent="0.2">
      <c r="A18" t="s">
        <v>1150</v>
      </c>
      <c r="B18" s="138" t="str">
        <f>COVER!T17</f>
        <v>314 S MCCOY ST</v>
      </c>
    </row>
    <row r="19" spans="1:2" x14ac:dyDescent="0.2">
      <c r="A19" t="s">
        <v>886</v>
      </c>
      <c r="B19" s="138" t="str">
        <f>COVER!T25</f>
        <v>KIM@HOPKINSOFFICE.COM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1112172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31500</v>
      </c>
      <c r="C91" s="2" t="s">
        <v>573</v>
      </c>
      <c r="D91" s="2" t="str">
        <f t="shared" si="0"/>
        <v>Error?</v>
      </c>
    </row>
    <row r="92" spans="1:4" x14ac:dyDescent="0.2">
      <c r="A92" s="5">
        <v>31</v>
      </c>
      <c r="B92" s="138">
        <f>'Assets-Liab 5-6'!C39</f>
        <v>1006295</v>
      </c>
      <c r="D92" s="2" t="str">
        <f t="shared" si="0"/>
        <v>Error?</v>
      </c>
    </row>
    <row r="93" spans="1:4" x14ac:dyDescent="0.2">
      <c r="A93" s="5">
        <v>32</v>
      </c>
      <c r="B93" s="138">
        <f>'Assets-Liab 5-6'!C41</f>
        <v>1112172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673282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673282</v>
      </c>
      <c r="D123" s="2" t="str">
        <f t="shared" si="0"/>
        <v>Error?</v>
      </c>
    </row>
    <row r="124" spans="1:4" x14ac:dyDescent="0.2">
      <c r="A124" s="5">
        <v>63</v>
      </c>
      <c r="B124" s="138">
        <f>'Assets-Liab 5-6'!D41</f>
        <v>673282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59335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59335</v>
      </c>
      <c r="D140" s="2" t="str">
        <f t="shared" si="1"/>
        <v>Error?</v>
      </c>
    </row>
    <row r="141" spans="1:4" x14ac:dyDescent="0.2">
      <c r="A141" s="5">
        <v>80</v>
      </c>
      <c r="B141" s="138">
        <f>'Assets-Liab 5-6'!E41</f>
        <v>59335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70312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70312</v>
      </c>
      <c r="D170" s="2" t="str">
        <f t="shared" si="1"/>
        <v>Error?</v>
      </c>
    </row>
    <row r="171" spans="1:4" x14ac:dyDescent="0.2">
      <c r="A171" s="5">
        <v>110</v>
      </c>
      <c r="B171" s="138">
        <f>'Assets-Liab 5-6'!F41</f>
        <v>70312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111875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90031</v>
      </c>
      <c r="D189" s="2" t="str">
        <f t="shared" si="1"/>
        <v>Error?</v>
      </c>
    </row>
    <row r="190" spans="1:4" x14ac:dyDescent="0.2">
      <c r="A190" s="5">
        <v>129</v>
      </c>
      <c r="B190" s="138">
        <f>'Assets-Liab 5-6'!G41</f>
        <v>111875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51157</v>
      </c>
      <c r="D273" s="2" t="str">
        <f t="shared" si="3"/>
        <v>Error?</v>
      </c>
    </row>
    <row r="274" spans="1:4" x14ac:dyDescent="0.2">
      <c r="A274" s="5">
        <v>213</v>
      </c>
      <c r="B274" s="138">
        <f>'Assets-Liab 5-6'!M17</f>
        <v>31985115</v>
      </c>
      <c r="D274" s="2" t="str">
        <f t="shared" si="3"/>
        <v>Error?</v>
      </c>
    </row>
    <row r="275" spans="1:4" x14ac:dyDescent="0.2">
      <c r="A275" s="5">
        <v>214</v>
      </c>
      <c r="B275" s="138">
        <f>'Assets-Liab 5-6'!M18</f>
        <v>173052</v>
      </c>
      <c r="D275" s="2" t="str">
        <f t="shared" si="3"/>
        <v>Error?</v>
      </c>
    </row>
    <row r="276" spans="1:4" x14ac:dyDescent="0.2">
      <c r="A276" s="5">
        <v>215</v>
      </c>
      <c r="B276" s="138">
        <f>'Assets-Liab 5-6'!M19</f>
        <v>760048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32969372</v>
      </c>
      <c r="C279" s="2" t="s">
        <v>573</v>
      </c>
      <c r="D279" s="2" t="str">
        <f t="shared" si="3"/>
        <v>Error?</v>
      </c>
    </row>
    <row r="280" spans="1:4" x14ac:dyDescent="0.2">
      <c r="A280" s="5">
        <v>219</v>
      </c>
      <c r="B280" s="138">
        <f>'Assets-Liab 5-6'!M40</f>
        <v>32969372</v>
      </c>
      <c r="D280" s="2" t="str">
        <f t="shared" si="3"/>
        <v>Error?</v>
      </c>
    </row>
    <row r="281" spans="1:4" x14ac:dyDescent="0.2">
      <c r="A281" s="5">
        <v>220</v>
      </c>
      <c r="B281" s="138">
        <f>'Assets-Liab 5-6'!M41</f>
        <v>32969372</v>
      </c>
      <c r="C281" s="2" t="s">
        <v>573</v>
      </c>
      <c r="D281" s="2" t="str">
        <f t="shared" si="3"/>
        <v>Error?</v>
      </c>
    </row>
    <row r="282" spans="1:4" x14ac:dyDescent="0.2">
      <c r="A282" s="5">
        <v>221</v>
      </c>
      <c r="B282" s="138">
        <f>'Assets-Liab 5-6'!N21</f>
        <v>59335</v>
      </c>
      <c r="D282" s="2" t="str">
        <f t="shared" si="3"/>
        <v>Error?</v>
      </c>
    </row>
    <row r="283" spans="1:4" x14ac:dyDescent="0.2">
      <c r="A283" s="5">
        <v>222</v>
      </c>
      <c r="B283" s="138">
        <f>'Assets-Liab 5-6'!N22</f>
        <v>43699922</v>
      </c>
      <c r="D283" s="2" t="str">
        <f t="shared" si="3"/>
        <v>Error?</v>
      </c>
    </row>
    <row r="284" spans="1:4" x14ac:dyDescent="0.2">
      <c r="A284" s="5">
        <v>223</v>
      </c>
      <c r="B284" s="138">
        <f>'Assets-Liab 5-6'!N23</f>
        <v>43759257</v>
      </c>
      <c r="C284" s="2" t="s">
        <v>573</v>
      </c>
      <c r="D284" s="2" t="str">
        <f t="shared" si="3"/>
        <v>Error?</v>
      </c>
    </row>
    <row r="285" spans="1:4" x14ac:dyDescent="0.2">
      <c r="A285" s="5">
        <v>224</v>
      </c>
      <c r="B285" s="138">
        <f>'Assets-Liab 5-6'!N36</f>
        <v>43759257</v>
      </c>
      <c r="D285" s="2" t="str">
        <f t="shared" si="3"/>
        <v>Error?</v>
      </c>
    </row>
    <row r="286" spans="1:4" x14ac:dyDescent="0.2">
      <c r="A286" s="10">
        <v>225</v>
      </c>
      <c r="D286" s="2" t="str">
        <f t="shared" si="3"/>
        <v>OK</v>
      </c>
    </row>
    <row r="287" spans="1:4" x14ac:dyDescent="0.2">
      <c r="A287" s="5">
        <v>226</v>
      </c>
      <c r="B287" s="138">
        <f>'Assets-Liab 5-6'!N37</f>
        <v>43759257</v>
      </c>
      <c r="C287" s="2" t="s">
        <v>573</v>
      </c>
      <c r="D287" s="2" t="str">
        <f t="shared" si="3"/>
        <v>Error?</v>
      </c>
    </row>
    <row r="288" spans="1:4" x14ac:dyDescent="0.2">
      <c r="A288" s="5">
        <v>227</v>
      </c>
      <c r="B288" s="138">
        <f>'Assets-Liab 5-6'!N41</f>
        <v>43759257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125000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1000000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1137651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222968</v>
      </c>
      <c r="D717" s="2" t="str">
        <f t="shared" si="10"/>
        <v>Error?</v>
      </c>
    </row>
    <row r="718" spans="1:4" x14ac:dyDescent="0.2">
      <c r="A718" s="5">
        <v>657</v>
      </c>
      <c r="B718" s="138">
        <f>'Expenditures 15-22'!C14</f>
        <v>178456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2003105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163092</v>
      </c>
      <c r="D722" s="2" t="str">
        <f t="shared" si="10"/>
        <v>Error?</v>
      </c>
    </row>
    <row r="723" spans="1:4" x14ac:dyDescent="0.2">
      <c r="A723" s="5">
        <v>662</v>
      </c>
      <c r="B723" s="138">
        <f>'Expenditures 15-22'!C38</f>
        <v>22662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185754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45704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45704</v>
      </c>
      <c r="C731" s="2" t="s">
        <v>573</v>
      </c>
      <c r="D731" s="2" t="str">
        <f t="shared" si="10"/>
        <v>Error?</v>
      </c>
    </row>
    <row r="732" spans="1:4" x14ac:dyDescent="0.2">
      <c r="A732" s="5">
        <v>671</v>
      </c>
      <c r="B732" s="138">
        <f>'Expenditures 15-22'!C49</f>
        <v>2993</v>
      </c>
      <c r="D732" s="2" t="str">
        <f t="shared" si="10"/>
        <v>Error?</v>
      </c>
    </row>
    <row r="733" spans="1:4" x14ac:dyDescent="0.2">
      <c r="A733" s="5">
        <v>672</v>
      </c>
      <c r="B733" s="138">
        <f>'Expenditures 15-22'!C50</f>
        <v>79758</v>
      </c>
      <c r="D733" s="2" t="str">
        <f t="shared" si="10"/>
        <v>Error?</v>
      </c>
    </row>
    <row r="734" spans="1:4" x14ac:dyDescent="0.2">
      <c r="A734" s="5">
        <v>673</v>
      </c>
      <c r="B734" s="138">
        <f>'Expenditures 15-22'!C53</f>
        <v>82751</v>
      </c>
      <c r="C734" s="2" t="s">
        <v>573</v>
      </c>
      <c r="D734" s="2" t="str">
        <f t="shared" si="10"/>
        <v>Error?</v>
      </c>
    </row>
    <row r="735" spans="1:4" x14ac:dyDescent="0.2">
      <c r="A735" s="5">
        <v>674</v>
      </c>
      <c r="B735" s="138">
        <f>'Expenditures 15-22'!C55</f>
        <v>170324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170324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33750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50927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84677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569210</v>
      </c>
      <c r="C755" s="2" t="s">
        <v>573</v>
      </c>
      <c r="D755" s="2" t="str">
        <f t="shared" si="10"/>
        <v>Error?</v>
      </c>
    </row>
    <row r="756" spans="1:4" x14ac:dyDescent="0.2">
      <c r="A756" s="5">
        <v>695</v>
      </c>
      <c r="B756" s="138">
        <f>'Expenditures 15-22'!C75</f>
        <v>1016</v>
      </c>
      <c r="D756" s="2" t="str">
        <f t="shared" si="10"/>
        <v>Error?</v>
      </c>
    </row>
    <row r="757" spans="1:4" x14ac:dyDescent="0.2">
      <c r="A757" s="5">
        <v>696</v>
      </c>
      <c r="B757" s="138">
        <f>'Expenditures 15-22'!C114</f>
        <v>2573331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370494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52265</v>
      </c>
      <c r="D775" s="2" t="str">
        <f t="shared" si="11"/>
        <v>Error?</v>
      </c>
    </row>
    <row r="776" spans="1:4" x14ac:dyDescent="0.2">
      <c r="A776" s="5">
        <v>715</v>
      </c>
      <c r="B776" s="138">
        <f>'Expenditures 15-22'!D14</f>
        <v>25364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618362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45280</v>
      </c>
      <c r="D780" s="2" t="str">
        <f t="shared" si="11"/>
        <v>Error?</v>
      </c>
    </row>
    <row r="781" spans="1:4" x14ac:dyDescent="0.2">
      <c r="A781" s="5">
        <v>720</v>
      </c>
      <c r="B781" s="138">
        <f>'Expenditures 15-22'!D38</f>
        <v>18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45298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8495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8495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38603</v>
      </c>
      <c r="D791" s="2" t="str">
        <f t="shared" si="11"/>
        <v>Error?</v>
      </c>
    </row>
    <row r="792" spans="1:4" x14ac:dyDescent="0.2">
      <c r="A792" s="5">
        <v>731</v>
      </c>
      <c r="B792" s="138">
        <f>'Expenditures 15-22'!D53</f>
        <v>38603</v>
      </c>
      <c r="C792" s="2" t="s">
        <v>573</v>
      </c>
      <c r="D792" s="2" t="str">
        <f t="shared" si="11"/>
        <v>Error?</v>
      </c>
    </row>
    <row r="793" spans="1:4" x14ac:dyDescent="0.2">
      <c r="A793" s="5">
        <v>732</v>
      </c>
      <c r="B793" s="138">
        <f>'Expenditures 15-22'!D55</f>
        <v>72314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72314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8502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16009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24511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189221</v>
      </c>
      <c r="C813" s="2" t="s">
        <v>573</v>
      </c>
      <c r="D813" s="2" t="str">
        <f t="shared" si="11"/>
        <v>Error?</v>
      </c>
    </row>
    <row r="814" spans="1:4" x14ac:dyDescent="0.2">
      <c r="A814" s="5">
        <v>753</v>
      </c>
      <c r="B814" s="138">
        <f>'Expenditures 15-22'!D75</f>
        <v>1738</v>
      </c>
      <c r="D814" s="2" t="str">
        <f t="shared" si="11"/>
        <v>Error?</v>
      </c>
    </row>
    <row r="815" spans="1:4" x14ac:dyDescent="0.2">
      <c r="A815" s="5">
        <v>754</v>
      </c>
      <c r="B815" s="138">
        <f>'Expenditures 15-22'!D114</f>
        <v>809321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25585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28920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56765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5681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5793</v>
      </c>
      <c r="C843" s="2" t="s">
        <v>573</v>
      </c>
      <c r="D843" s="2" t="str">
        <f t="shared" si="12"/>
        <v>Error?</v>
      </c>
    </row>
    <row r="844" spans="1:4" x14ac:dyDescent="0.2">
      <c r="A844" s="5">
        <v>783</v>
      </c>
      <c r="B844" s="138">
        <f>'Expenditures 15-22'!E44</f>
        <v>13416</v>
      </c>
      <c r="D844" s="2" t="str">
        <f t="shared" si="12"/>
        <v>Error?</v>
      </c>
    </row>
    <row r="845" spans="1:4" x14ac:dyDescent="0.2">
      <c r="A845" s="5">
        <v>784</v>
      </c>
      <c r="B845" s="138">
        <f>'Expenditures 15-22'!E45</f>
        <v>14622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28038</v>
      </c>
      <c r="C847" s="2" t="s">
        <v>573</v>
      </c>
      <c r="D847" s="2" t="str">
        <f t="shared" si="12"/>
        <v>Error?</v>
      </c>
    </row>
    <row r="848" spans="1:4" x14ac:dyDescent="0.2">
      <c r="A848" s="5">
        <v>787</v>
      </c>
      <c r="B848" s="138">
        <f>'Expenditures 15-22'!E49</f>
        <v>27996</v>
      </c>
      <c r="D848" s="2" t="str">
        <f t="shared" si="12"/>
        <v>Error?</v>
      </c>
    </row>
    <row r="849" spans="1:4" x14ac:dyDescent="0.2">
      <c r="A849" s="5">
        <v>788</v>
      </c>
      <c r="B849" s="138">
        <f>'Expenditures 15-22'!E50</f>
        <v>151</v>
      </c>
      <c r="D849" s="2" t="str">
        <f t="shared" si="12"/>
        <v>Error?</v>
      </c>
    </row>
    <row r="850" spans="1:4" x14ac:dyDescent="0.2">
      <c r="A850" s="5">
        <v>789</v>
      </c>
      <c r="B850" s="138">
        <f>'Expenditures 15-22'!E53</f>
        <v>38147</v>
      </c>
      <c r="C850" s="2" t="s">
        <v>573</v>
      </c>
      <c r="D850" s="2" t="str">
        <f t="shared" si="12"/>
        <v>Error?</v>
      </c>
    </row>
    <row r="851" spans="1:4" x14ac:dyDescent="0.2">
      <c r="A851" s="5">
        <v>790</v>
      </c>
      <c r="B851" s="138">
        <f>'Expenditures 15-22'!E55</f>
        <v>309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8871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9309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1462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1462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83058</v>
      </c>
      <c r="C871" s="2" t="s">
        <v>573</v>
      </c>
      <c r="D871" s="2" t="str">
        <f t="shared" si="12"/>
        <v>Error?</v>
      </c>
    </row>
    <row r="872" spans="1:4" x14ac:dyDescent="0.2">
      <c r="A872" s="5">
        <v>811</v>
      </c>
      <c r="B872" s="138">
        <f>'Expenditures 15-22'!E75</f>
        <v>5077</v>
      </c>
      <c r="D872" s="2" t="str">
        <f t="shared" si="12"/>
        <v>Error?</v>
      </c>
    </row>
    <row r="873" spans="1:4" x14ac:dyDescent="0.2">
      <c r="A873" s="5">
        <v>812</v>
      </c>
      <c r="B873" s="138">
        <f>'Expenditures 15-22'!E114</f>
        <v>205686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28363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7895</v>
      </c>
      <c r="D891" s="2" t="str">
        <f t="shared" si="12"/>
        <v>Error?</v>
      </c>
    </row>
    <row r="892" spans="1:4" x14ac:dyDescent="0.2">
      <c r="A892" s="5">
        <v>831</v>
      </c>
      <c r="B892" s="138">
        <f>'Expenditures 15-22'!F14</f>
        <v>8222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83329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1895</v>
      </c>
      <c r="D896" s="2" t="str">
        <f t="shared" si="13"/>
        <v>Error?</v>
      </c>
    </row>
    <row r="897" spans="1:4" x14ac:dyDescent="0.2">
      <c r="A897" s="5">
        <v>836</v>
      </c>
      <c r="B897" s="138">
        <f>'Expenditures 15-22'!F38</f>
        <v>864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2759</v>
      </c>
      <c r="C901" s="2" t="s">
        <v>573</v>
      </c>
      <c r="D901" s="2" t="str">
        <f t="shared" si="13"/>
        <v>Error?</v>
      </c>
    </row>
    <row r="902" spans="1:4" x14ac:dyDescent="0.2">
      <c r="A902" s="5">
        <v>841</v>
      </c>
      <c r="B902" s="138">
        <f>'Expenditures 15-22'!F44</f>
        <v>4161</v>
      </c>
      <c r="D902" s="2" t="str">
        <f t="shared" si="13"/>
        <v>Error?</v>
      </c>
    </row>
    <row r="903" spans="1:4" x14ac:dyDescent="0.2">
      <c r="A903" s="5">
        <v>842</v>
      </c>
      <c r="B903" s="138">
        <f>'Expenditures 15-22'!F45</f>
        <v>34786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38947</v>
      </c>
      <c r="C905" s="2" t="s">
        <v>573</v>
      </c>
      <c r="D905" s="2" t="str">
        <f t="shared" si="13"/>
        <v>Error?</v>
      </c>
    </row>
    <row r="906" spans="1:4" x14ac:dyDescent="0.2">
      <c r="A906" s="5">
        <v>845</v>
      </c>
      <c r="B906" s="138">
        <f>'Expenditures 15-22'!F49</f>
        <v>167</v>
      </c>
      <c r="D906" s="2" t="str">
        <f t="shared" si="13"/>
        <v>Error?</v>
      </c>
    </row>
    <row r="907" spans="1:4" x14ac:dyDescent="0.2">
      <c r="A907" s="5">
        <v>846</v>
      </c>
      <c r="B907" s="138">
        <f>'Expenditures 15-22'!F50</f>
        <v>128</v>
      </c>
      <c r="D907" s="2" t="str">
        <f t="shared" si="13"/>
        <v>Error?</v>
      </c>
    </row>
    <row r="908" spans="1:4" x14ac:dyDescent="0.2">
      <c r="A908" s="5">
        <v>847</v>
      </c>
      <c r="B908" s="138">
        <f>'Expenditures 15-22'!F53</f>
        <v>295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101786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102281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144282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227611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19199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28490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5252</v>
      </c>
      <c r="D1022" s="2" t="str">
        <f t="shared" si="14"/>
        <v>Error?</v>
      </c>
    </row>
    <row r="1023" spans="1:4" x14ac:dyDescent="0.2">
      <c r="A1023" s="5">
        <v>962</v>
      </c>
      <c r="B1023" s="138">
        <f>'Expenditures 15-22'!H50</f>
        <v>75</v>
      </c>
      <c r="D1023" s="2" t="str">
        <f t="shared" ref="D1023:D1086" si="15">IF(ISBLANK(B1023),"OK",IF(A1023-B1023=0,"OK","Error?"))</f>
        <v>Error?</v>
      </c>
    </row>
    <row r="1024" spans="1:4" x14ac:dyDescent="0.2">
      <c r="A1024" s="5">
        <v>963</v>
      </c>
      <c r="B1024" s="138">
        <f>'Expenditures 15-22'!H53</f>
        <v>5327</v>
      </c>
      <c r="C1024" s="2" t="s">
        <v>573</v>
      </c>
      <c r="D1024" s="2" t="str">
        <f t="shared" si="15"/>
        <v>Error?</v>
      </c>
    </row>
    <row r="1025" spans="1:4" x14ac:dyDescent="0.2">
      <c r="A1025" s="5">
        <v>964</v>
      </c>
      <c r="B1025" s="138">
        <f>'Expenditures 15-22'!H55</f>
        <v>3388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69786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106991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1562093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283128</v>
      </c>
      <c r="C1105" s="2" t="s">
        <v>573</v>
      </c>
      <c r="D1105" s="2" t="str">
        <f t="shared" si="16"/>
        <v>Error?</v>
      </c>
    </row>
    <row r="1106" spans="1:4" x14ac:dyDescent="0.2">
      <c r="A1106" s="5">
        <v>1045</v>
      </c>
      <c r="B1106" s="138">
        <f>'Expenditures 15-22'!K14</f>
        <v>260161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2790051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210267</v>
      </c>
      <c r="C1110" s="2" t="s">
        <v>573</v>
      </c>
      <c r="D1110" s="2" t="str">
        <f t="shared" si="16"/>
        <v>Error?</v>
      </c>
    </row>
    <row r="1111" spans="1:4" x14ac:dyDescent="0.2">
      <c r="A1111" s="5">
        <v>1050</v>
      </c>
      <c r="B1111" s="138">
        <f>'Expenditures 15-22'!K38</f>
        <v>23656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5681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239604</v>
      </c>
      <c r="C1115" s="2" t="s">
        <v>573</v>
      </c>
      <c r="D1115" s="2" t="str">
        <f t="shared" si="16"/>
        <v>Error?</v>
      </c>
    </row>
    <row r="1116" spans="1:4" x14ac:dyDescent="0.2">
      <c r="A1116" s="5">
        <v>1055</v>
      </c>
      <c r="B1116" s="138">
        <f>'Expenditures 15-22'!K44</f>
        <v>17577</v>
      </c>
      <c r="C1116" s="2" t="s">
        <v>573</v>
      </c>
      <c r="D1116" s="2" t="str">
        <f t="shared" si="16"/>
        <v>Error?</v>
      </c>
    </row>
    <row r="1117" spans="1:4" x14ac:dyDescent="0.2">
      <c r="A1117" s="5">
        <v>1056</v>
      </c>
      <c r="B1117" s="138">
        <f>'Expenditures 15-22'!K45</f>
        <v>103607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121184</v>
      </c>
      <c r="C1119" s="2" t="s">
        <v>573</v>
      </c>
      <c r="D1119" s="2" t="str">
        <f t="shared" si="16"/>
        <v>Error?</v>
      </c>
    </row>
    <row r="1120" spans="1:4" x14ac:dyDescent="0.2">
      <c r="A1120" s="5">
        <v>1059</v>
      </c>
      <c r="B1120" s="138">
        <f>'Expenditures 15-22'!K49</f>
        <v>36408</v>
      </c>
      <c r="C1120" s="2" t="s">
        <v>573</v>
      </c>
      <c r="D1120" s="2" t="str">
        <f t="shared" si="16"/>
        <v>Error?</v>
      </c>
    </row>
    <row r="1121" spans="1:4" x14ac:dyDescent="0.2">
      <c r="A1121" s="5">
        <v>1060</v>
      </c>
      <c r="B1121" s="138">
        <f>'Expenditures 15-22'!K50</f>
        <v>118715</v>
      </c>
      <c r="C1121" s="2" t="s">
        <v>573</v>
      </c>
      <c r="D1121" s="2" t="str">
        <f t="shared" si="16"/>
        <v>Error?</v>
      </c>
    </row>
    <row r="1122" spans="1:4" x14ac:dyDescent="0.2">
      <c r="A1122" s="5">
        <v>1061</v>
      </c>
      <c r="B1122" s="138">
        <f>'Expenditures 15-22'!K53</f>
        <v>165123</v>
      </c>
      <c r="C1122" s="2" t="s">
        <v>573</v>
      </c>
      <c r="D1122" s="2" t="str">
        <f t="shared" si="16"/>
        <v>Error?</v>
      </c>
    </row>
    <row r="1123" spans="1:4" x14ac:dyDescent="0.2">
      <c r="A1123" s="5">
        <v>1062</v>
      </c>
      <c r="B1123" s="138">
        <f>'Expenditures 15-22'!K55</f>
        <v>246335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246335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51618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169160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220778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1462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1462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994486</v>
      </c>
      <c r="C1143" s="2" t="s">
        <v>573</v>
      </c>
      <c r="D1143" s="2" t="str">
        <f t="shared" si="16"/>
        <v>Error?</v>
      </c>
    </row>
    <row r="1144" spans="1:4" x14ac:dyDescent="0.2">
      <c r="A1144" s="5">
        <v>1083</v>
      </c>
      <c r="B1144" s="138">
        <f>'Expenditures 15-22'!K75</f>
        <v>7831</v>
      </c>
      <c r="C1144" s="2" t="s">
        <v>573</v>
      </c>
      <c r="D1144" s="2" t="str">
        <f t="shared" si="16"/>
        <v>Error?</v>
      </c>
    </row>
    <row r="1145" spans="1:4" x14ac:dyDescent="0.2">
      <c r="A1145" s="5">
        <v>1084</v>
      </c>
      <c r="B1145" s="138">
        <f>'Expenditures 15-22'!K102</f>
        <v>130572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3922940</v>
      </c>
      <c r="C1152" s="2" t="s">
        <v>573</v>
      </c>
      <c r="D1152" s="2" t="str">
        <f t="shared" si="17"/>
        <v>Error?</v>
      </c>
    </row>
    <row r="1153" spans="1:4" x14ac:dyDescent="0.2">
      <c r="A1153" s="5">
        <v>1092</v>
      </c>
      <c r="B1153" s="138">
        <f>'Expenditures 15-22'!K115</f>
        <v>297612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219809</v>
      </c>
      <c r="D1221" s="2" t="str">
        <f t="shared" si="18"/>
        <v>Error?</v>
      </c>
    </row>
    <row r="1222" spans="1:4" x14ac:dyDescent="0.2">
      <c r="A1222" s="10">
        <v>1161</v>
      </c>
      <c r="D1222" s="2" t="str">
        <f t="shared" si="18"/>
        <v>OK</v>
      </c>
    </row>
    <row r="1223" spans="1:4" x14ac:dyDescent="0.2">
      <c r="A1223" s="5">
        <v>1162</v>
      </c>
      <c r="B1223" s="138">
        <f>'Expenditures 15-22'!C127</f>
        <v>219809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219809</v>
      </c>
      <c r="C1225" s="2" t="s">
        <v>573</v>
      </c>
      <c r="D1225" s="2" t="str">
        <f t="shared" si="18"/>
        <v>Error?</v>
      </c>
    </row>
    <row r="1226" spans="1:4" x14ac:dyDescent="0.2">
      <c r="A1226" s="5">
        <v>1165</v>
      </c>
      <c r="B1226" s="138">
        <f>'Expenditures 15-22'!C151</f>
        <v>219809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55331</v>
      </c>
      <c r="D1229" s="2" t="str">
        <f t="shared" si="18"/>
        <v>Error?</v>
      </c>
    </row>
    <row r="1230" spans="1:4" x14ac:dyDescent="0.2">
      <c r="A1230" s="10">
        <v>1169</v>
      </c>
      <c r="D1230" s="2" t="str">
        <f t="shared" si="18"/>
        <v>OK</v>
      </c>
    </row>
    <row r="1231" spans="1:4" x14ac:dyDescent="0.2">
      <c r="A1231" s="5">
        <v>1170</v>
      </c>
      <c r="B1231" s="138">
        <f>'Expenditures 15-22'!D127</f>
        <v>55331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55331</v>
      </c>
      <c r="C1233" s="2" t="s">
        <v>573</v>
      </c>
      <c r="D1233" s="2" t="str">
        <f t="shared" si="18"/>
        <v>Error?</v>
      </c>
    </row>
    <row r="1234" spans="1:4" x14ac:dyDescent="0.2">
      <c r="A1234" s="5">
        <v>1173</v>
      </c>
      <c r="B1234" s="138">
        <f>'Expenditures 15-22'!D151</f>
        <v>55331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57133</v>
      </c>
      <c r="D1237" s="2" t="str">
        <f t="shared" si="18"/>
        <v>Error?</v>
      </c>
    </row>
    <row r="1238" spans="1:4" x14ac:dyDescent="0.2">
      <c r="A1238" s="10">
        <v>1177</v>
      </c>
      <c r="D1238" s="2" t="str">
        <f t="shared" si="18"/>
        <v>OK</v>
      </c>
    </row>
    <row r="1239" spans="1:4" x14ac:dyDescent="0.2">
      <c r="A1239" s="5">
        <v>1178</v>
      </c>
      <c r="B1239" s="138">
        <f>'Expenditures 15-22'!E127</f>
        <v>57133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57133</v>
      </c>
      <c r="C1241" s="2" t="s">
        <v>573</v>
      </c>
      <c r="D1241" s="2" t="str">
        <f t="shared" si="18"/>
        <v>Error?</v>
      </c>
    </row>
    <row r="1242" spans="1:4" x14ac:dyDescent="0.2">
      <c r="A1242" s="5">
        <v>1181</v>
      </c>
      <c r="B1242" s="138">
        <f>'Expenditures 15-22'!E151</f>
        <v>57133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139251</v>
      </c>
      <c r="D1245" s="2" t="str">
        <f t="shared" si="18"/>
        <v>Error?</v>
      </c>
    </row>
    <row r="1246" spans="1:4" x14ac:dyDescent="0.2">
      <c r="A1246" s="10">
        <v>1185</v>
      </c>
      <c r="D1246" s="2" t="str">
        <f t="shared" si="18"/>
        <v>OK</v>
      </c>
    </row>
    <row r="1247" spans="1:4" x14ac:dyDescent="0.2">
      <c r="A1247" s="5">
        <v>1186</v>
      </c>
      <c r="B1247" s="138">
        <f>'Expenditures 15-22'!F127</f>
        <v>139251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139251</v>
      </c>
      <c r="C1249" s="2" t="s">
        <v>573</v>
      </c>
      <c r="D1249" s="2" t="str">
        <f t="shared" si="18"/>
        <v>Error?</v>
      </c>
    </row>
    <row r="1250" spans="1:4" x14ac:dyDescent="0.2">
      <c r="A1250" s="5">
        <v>1189</v>
      </c>
      <c r="B1250" s="138">
        <f>'Expenditures 15-22'!F151</f>
        <v>139251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4220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4220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4220</v>
      </c>
      <c r="C1258" s="2" t="s">
        <v>573</v>
      </c>
      <c r="D1258" s="2" t="str">
        <f t="shared" si="18"/>
        <v>Error?</v>
      </c>
    </row>
    <row r="1259" spans="1:4" x14ac:dyDescent="0.2">
      <c r="A1259" s="5">
        <v>1198</v>
      </c>
      <c r="B1259" s="138">
        <f>'Expenditures 15-22'!G151</f>
        <v>4220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230</v>
      </c>
      <c r="D1262" s="2" t="str">
        <f t="shared" si="18"/>
        <v>Error?</v>
      </c>
    </row>
    <row r="1263" spans="1:4" x14ac:dyDescent="0.2">
      <c r="A1263" s="10">
        <v>1202</v>
      </c>
      <c r="D1263" s="2" t="str">
        <f t="shared" si="18"/>
        <v>OK</v>
      </c>
    </row>
    <row r="1264" spans="1:4" x14ac:dyDescent="0.2">
      <c r="A1264" s="5">
        <v>1203</v>
      </c>
      <c r="B1264" s="138">
        <f>'Expenditures 15-22'!H127</f>
        <v>230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230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475974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475974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475974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475974</v>
      </c>
      <c r="C1288" s="2" t="s">
        <v>573</v>
      </c>
      <c r="D1288" s="2" t="str">
        <f t="shared" si="19"/>
        <v>Error?</v>
      </c>
    </row>
    <row r="1289" spans="1:4" x14ac:dyDescent="0.2">
      <c r="A1289" s="5">
        <v>1228</v>
      </c>
      <c r="B1289" s="138">
        <f>'Expenditures 15-22'!K152</f>
        <v>230715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1821215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795000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2617715</v>
      </c>
      <c r="C1317" s="2" t="s">
        <v>573</v>
      </c>
      <c r="D1317" s="2" t="str">
        <f t="shared" si="19"/>
        <v>Error?</v>
      </c>
    </row>
    <row r="1318" spans="1:4" x14ac:dyDescent="0.2">
      <c r="A1318" s="5">
        <v>1257</v>
      </c>
      <c r="B1318" s="138">
        <f>'Expenditures 15-22'!H174</f>
        <v>2617715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1821215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795000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2617715</v>
      </c>
      <c r="C1331" s="2" t="s">
        <v>573</v>
      </c>
      <c r="D1331" s="2" t="str">
        <f t="shared" si="19"/>
        <v>Error?</v>
      </c>
    </row>
    <row r="1332" spans="1:4" x14ac:dyDescent="0.2">
      <c r="A1332" s="5">
        <v>1271</v>
      </c>
      <c r="B1332" s="138">
        <f>'Expenditures 15-22'!K174</f>
        <v>2617715</v>
      </c>
      <c r="C1332" s="2" t="s">
        <v>573</v>
      </c>
      <c r="D1332" s="2" t="str">
        <f t="shared" si="19"/>
        <v>Error?</v>
      </c>
    </row>
    <row r="1333" spans="1:4" x14ac:dyDescent="0.2">
      <c r="A1333" s="5">
        <v>1272</v>
      </c>
      <c r="B1333" s="138">
        <f>'Expenditures 15-22'!K175</f>
        <v>-62673</v>
      </c>
      <c r="C1333" s="2" t="s">
        <v>573</v>
      </c>
      <c r="D1333" s="2" t="str">
        <f t="shared" si="19"/>
        <v>Error?</v>
      </c>
    </row>
    <row r="1334" spans="1:4" x14ac:dyDescent="0.2">
      <c r="A1334" s="10">
        <v>1273</v>
      </c>
      <c r="D1334" s="2" t="str">
        <f t="shared" si="19"/>
        <v>OK</v>
      </c>
    </row>
    <row r="1335" spans="1:4" x14ac:dyDescent="0.2">
      <c r="A1335" s="5">
        <v>1274</v>
      </c>
      <c r="B1335" s="138">
        <f>'Expenditures 15-22'!C182</f>
        <v>2025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2025</v>
      </c>
      <c r="C1339" s="2" t="s">
        <v>573</v>
      </c>
      <c r="D1339" s="2" t="str">
        <f t="shared" si="19"/>
        <v>Error?</v>
      </c>
    </row>
    <row r="1340" spans="1:4" x14ac:dyDescent="0.2">
      <c r="A1340" s="5">
        <v>1279</v>
      </c>
      <c r="B1340" s="138">
        <f>'Expenditures 15-22'!C210</f>
        <v>2025</v>
      </c>
      <c r="C1340" s="2" t="s">
        <v>573</v>
      </c>
      <c r="D1340" s="2" t="str">
        <f t="shared" si="19"/>
        <v>Error?</v>
      </c>
    </row>
    <row r="1341" spans="1:4" x14ac:dyDescent="0.2">
      <c r="A1341" s="5">
        <v>1280</v>
      </c>
      <c r="B1341" s="138">
        <f>'Expenditures 15-22'!D182</f>
        <v>774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774</v>
      </c>
      <c r="C1345" s="2" t="s">
        <v>573</v>
      </c>
      <c r="D1345" s="2" t="str">
        <f t="shared" si="20"/>
        <v>Error?</v>
      </c>
    </row>
    <row r="1346" spans="1:4" x14ac:dyDescent="0.2">
      <c r="A1346" s="5">
        <v>1285</v>
      </c>
      <c r="B1346" s="138">
        <f>'Expenditures 15-22'!D210</f>
        <v>774</v>
      </c>
      <c r="C1346" s="2" t="s">
        <v>573</v>
      </c>
      <c r="D1346" s="2" t="str">
        <f t="shared" si="20"/>
        <v>Error?</v>
      </c>
    </row>
    <row r="1347" spans="1:4" x14ac:dyDescent="0.2">
      <c r="A1347" s="5">
        <v>1286</v>
      </c>
      <c r="B1347" s="138">
        <f>'Expenditures 15-22'!E182</f>
        <v>150641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150641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150641</v>
      </c>
      <c r="C1353" s="2" t="s">
        <v>573</v>
      </c>
      <c r="D1353" s="2" t="str">
        <f t="shared" si="20"/>
        <v>Error?</v>
      </c>
    </row>
    <row r="1354" spans="1:4" x14ac:dyDescent="0.2">
      <c r="A1354" s="5">
        <v>1293</v>
      </c>
      <c r="B1354" s="138">
        <f>'Expenditures 15-22'!F182</f>
        <v>4346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4346</v>
      </c>
      <c r="C1358" s="2" t="s">
        <v>573</v>
      </c>
      <c r="D1358" s="2" t="str">
        <f t="shared" si="20"/>
        <v>Error?</v>
      </c>
    </row>
    <row r="1359" spans="1:4" x14ac:dyDescent="0.2">
      <c r="A1359" s="5">
        <v>1298</v>
      </c>
      <c r="B1359" s="138">
        <f>'Expenditures 15-22'!F210</f>
        <v>4346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15182</v>
      </c>
      <c r="C1375" s="2" t="s">
        <v>573</v>
      </c>
      <c r="D1375" s="2" t="str">
        <f t="shared" si="20"/>
        <v>Error?</v>
      </c>
    </row>
    <row r="1376" spans="1:4" x14ac:dyDescent="0.2">
      <c r="A1376" s="5">
        <v>1315</v>
      </c>
      <c r="B1376" s="138">
        <f>'Expenditures 15-22'!H210</f>
        <v>15182</v>
      </c>
      <c r="C1376" s="2" t="s">
        <v>573</v>
      </c>
      <c r="D1376" s="2" t="str">
        <f t="shared" si="20"/>
        <v>Error?</v>
      </c>
    </row>
    <row r="1377" spans="1:4" x14ac:dyDescent="0.2">
      <c r="A1377" s="5">
        <v>1316</v>
      </c>
      <c r="B1377" s="138">
        <f>'Expenditures 15-22'!K182</f>
        <v>157786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157786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15182</v>
      </c>
      <c r="C1387" s="2" t="s">
        <v>573</v>
      </c>
      <c r="D1387" s="2" t="str">
        <f t="shared" si="20"/>
        <v>Error?</v>
      </c>
    </row>
    <row r="1388" spans="1:4" x14ac:dyDescent="0.2">
      <c r="A1388" s="5">
        <v>1327</v>
      </c>
      <c r="B1388" s="138">
        <f>'Expenditures 15-22'!K210</f>
        <v>172968</v>
      </c>
      <c r="C1388" s="2" t="s">
        <v>573</v>
      </c>
      <c r="D1388" s="2" t="str">
        <f t="shared" si="20"/>
        <v>Error?</v>
      </c>
    </row>
    <row r="1389" spans="1:4" x14ac:dyDescent="0.2">
      <c r="A1389" s="5">
        <v>1328</v>
      </c>
      <c r="B1389" s="138">
        <f>'Expenditures 15-22'!K211</f>
        <v>13893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3032</v>
      </c>
      <c r="D1407" s="2" t="str">
        <f t="shared" ref="D1407:D1470" si="21">IF(ISBLANK(B1407),"OK",IF(A1407-B1407=0,"OK","Error?"))</f>
        <v>Error?</v>
      </c>
    </row>
    <row r="1408" spans="1:4" x14ac:dyDescent="0.2">
      <c r="A1408" s="5">
        <v>1347</v>
      </c>
      <c r="B1408" s="138">
        <f>'Expenditures 15-22'!D223</f>
        <v>8575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51905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7246</v>
      </c>
      <c r="D1412" s="2" t="str">
        <f t="shared" si="21"/>
        <v>Error?</v>
      </c>
    </row>
    <row r="1413" spans="1:4" x14ac:dyDescent="0.2">
      <c r="A1413" s="5">
        <v>1352</v>
      </c>
      <c r="B1413" s="138">
        <f>'Expenditures 15-22'!D234</f>
        <v>7047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14293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7079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7079</v>
      </c>
      <c r="C1421" s="2" t="s">
        <v>573</v>
      </c>
      <c r="D1421" s="2" t="str">
        <f t="shared" si="21"/>
        <v>Error?</v>
      </c>
    </row>
    <row r="1422" spans="1:4" x14ac:dyDescent="0.2">
      <c r="A1422" s="5">
        <v>1361</v>
      </c>
      <c r="B1422" s="138">
        <f>'Expenditures 15-22'!D245</f>
        <v>279</v>
      </c>
      <c r="D1422" s="2" t="str">
        <f t="shared" si="21"/>
        <v>Error?</v>
      </c>
    </row>
    <row r="1423" spans="1:4" x14ac:dyDescent="0.2">
      <c r="A1423" s="5">
        <v>1362</v>
      </c>
      <c r="B1423" s="138">
        <f>'Expenditures 15-22'!D246</f>
        <v>4422</v>
      </c>
      <c r="D1423" s="2" t="str">
        <f t="shared" si="21"/>
        <v>Error?</v>
      </c>
    </row>
    <row r="1424" spans="1:4" x14ac:dyDescent="0.2">
      <c r="A1424" s="5">
        <v>1363</v>
      </c>
      <c r="B1424" s="138">
        <f>'Expenditures 15-22'!D257</f>
        <v>4701</v>
      </c>
      <c r="C1424" s="2" t="s">
        <v>573</v>
      </c>
      <c r="D1424" s="2" t="str">
        <f t="shared" si="21"/>
        <v>Error?</v>
      </c>
    </row>
    <row r="1425" spans="1:4" x14ac:dyDescent="0.2">
      <c r="A1425" s="5">
        <v>1364</v>
      </c>
      <c r="B1425" s="138">
        <f>'Expenditures 15-22'!D259</f>
        <v>10022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10022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37134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8308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52400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88495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140400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3032</v>
      </c>
      <c r="C1471" s="2" t="s">
        <v>573</v>
      </c>
      <c r="D1471" s="2" t="str">
        <f t="shared" ref="D1471:D1534" si="22">IF(ISBLANK(B1471),"OK",IF(A1471-B1471=0,"OK","Error?"))</f>
        <v>Error?</v>
      </c>
    </row>
    <row r="1472" spans="1:4" x14ac:dyDescent="0.2">
      <c r="A1472" s="5">
        <v>1411</v>
      </c>
      <c r="B1472" s="138">
        <f>'Expenditures 15-22'!K223</f>
        <v>8575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51905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7246</v>
      </c>
      <c r="C1476" s="2" t="s">
        <v>573</v>
      </c>
      <c r="D1476" s="2" t="str">
        <f t="shared" si="22"/>
        <v>Error?</v>
      </c>
    </row>
    <row r="1477" spans="1:4" x14ac:dyDescent="0.2">
      <c r="A1477" s="5">
        <v>1416</v>
      </c>
      <c r="B1477" s="138">
        <f>'Expenditures 15-22'!K234</f>
        <v>7047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14293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7079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7079</v>
      </c>
      <c r="C1485" s="2" t="s">
        <v>573</v>
      </c>
      <c r="D1485" s="2" t="str">
        <f t="shared" si="22"/>
        <v>Error?</v>
      </c>
    </row>
    <row r="1486" spans="1:4" x14ac:dyDescent="0.2">
      <c r="A1486" s="5">
        <v>1425</v>
      </c>
      <c r="B1486" s="138">
        <f>'Expenditures 15-22'!K245</f>
        <v>279</v>
      </c>
      <c r="C1486" s="2" t="s">
        <v>573</v>
      </c>
      <c r="D1486" s="2" t="str">
        <f t="shared" si="22"/>
        <v>Error?</v>
      </c>
    </row>
    <row r="1487" spans="1:4" x14ac:dyDescent="0.2">
      <c r="A1487" s="5">
        <v>1426</v>
      </c>
      <c r="B1487" s="138">
        <f>'Expenditures 15-22'!K246</f>
        <v>4422</v>
      </c>
      <c r="C1487" s="2" t="s">
        <v>573</v>
      </c>
      <c r="D1487" s="2" t="str">
        <f t="shared" si="22"/>
        <v>Error?</v>
      </c>
    </row>
    <row r="1488" spans="1:4" x14ac:dyDescent="0.2">
      <c r="A1488" s="5">
        <v>1427</v>
      </c>
      <c r="B1488" s="138">
        <f>'Expenditures 15-22'!K257</f>
        <v>4701</v>
      </c>
      <c r="C1488" s="2" t="s">
        <v>573</v>
      </c>
      <c r="D1488" s="2" t="str">
        <f t="shared" si="22"/>
        <v>Error?</v>
      </c>
    </row>
    <row r="1489" spans="1:4" x14ac:dyDescent="0.2">
      <c r="A1489" s="5">
        <v>1428</v>
      </c>
      <c r="B1489" s="138">
        <f>'Expenditures 15-22'!K259</f>
        <v>10022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10022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6958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37134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8308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52400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88495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140400</v>
      </c>
      <c r="C1517" s="2" t="s">
        <v>573</v>
      </c>
      <c r="D1517" s="2" t="str">
        <f t="shared" si="22"/>
        <v>Error?</v>
      </c>
    </row>
    <row r="1518" spans="1:4" x14ac:dyDescent="0.2">
      <c r="A1518" s="5">
        <v>1457</v>
      </c>
      <c r="B1518" s="138">
        <f>'Expenditures 15-22'!K296</f>
        <v>27818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658060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1080672</v>
      </c>
      <c r="C1630" s="2" t="s">
        <v>573</v>
      </c>
      <c r="D1630" s="2" t="str">
        <f t="shared" si="24"/>
        <v>Error?</v>
      </c>
    </row>
    <row r="1631" spans="1:4" x14ac:dyDescent="0.2">
      <c r="A1631" s="5">
        <v>1570</v>
      </c>
      <c r="B1631" s="138">
        <f>'Acct Summary 7-8'!D79</f>
        <v>317567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673282</v>
      </c>
      <c r="C1644" s="2" t="s">
        <v>573</v>
      </c>
      <c r="D1644" s="2" t="str">
        <f t="shared" si="24"/>
        <v>Error?</v>
      </c>
    </row>
    <row r="1645" spans="1:4" x14ac:dyDescent="0.2">
      <c r="A1645" s="5">
        <v>1584</v>
      </c>
      <c r="B1645" s="138">
        <f>'Acct Summary 7-8'!E79</f>
        <v>122008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59335</v>
      </c>
      <c r="C1658" s="2" t="s">
        <v>573</v>
      </c>
      <c r="D1658" s="2" t="str">
        <f t="shared" si="24"/>
        <v>Error?</v>
      </c>
    </row>
    <row r="1659" spans="1:4" x14ac:dyDescent="0.2">
      <c r="A1659" s="5">
        <v>1598</v>
      </c>
      <c r="B1659" s="138">
        <f>'Acct Summary 7-8'!F79</f>
        <v>56419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70312</v>
      </c>
      <c r="C1672" s="2" t="s">
        <v>573</v>
      </c>
      <c r="D1672" s="2" t="str">
        <f t="shared" si="25"/>
        <v>Error?</v>
      </c>
    </row>
    <row r="1673" spans="1:4" x14ac:dyDescent="0.2">
      <c r="A1673" s="5">
        <v>1612</v>
      </c>
      <c r="B1673" s="138">
        <f>'Acct Summary 7-8'!G79</f>
        <v>84057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111875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1940012</v>
      </c>
      <c r="C1744" s="2" t="s">
        <v>573</v>
      </c>
      <c r="D1744" s="2" t="str">
        <f t="shared" si="26"/>
        <v>Error?</v>
      </c>
    </row>
    <row r="1745" spans="1:5" x14ac:dyDescent="0.2">
      <c r="A1745" s="5">
        <v>1684</v>
      </c>
      <c r="B1745" s="138">
        <f>'Tax Sched 23'!B5</f>
        <v>301244</v>
      </c>
      <c r="C1745" s="2" t="s">
        <v>573</v>
      </c>
      <c r="D1745" s="2" t="str">
        <f t="shared" si="26"/>
        <v>Error?</v>
      </c>
    </row>
    <row r="1746" spans="1:5" x14ac:dyDescent="0.2">
      <c r="A1746" s="5">
        <v>1685</v>
      </c>
      <c r="B1746" s="138">
        <f>'Tax Sched 23'!B6</f>
        <v>2552651</v>
      </c>
      <c r="C1746" s="2" t="s">
        <v>573</v>
      </c>
      <c r="D1746" s="2" t="str">
        <f t="shared" si="26"/>
        <v>Error?</v>
      </c>
    </row>
    <row r="1747" spans="1:5" x14ac:dyDescent="0.2">
      <c r="A1747" s="5">
        <v>1686</v>
      </c>
      <c r="B1747" s="138">
        <f>'Tax Sched 23'!B7</f>
        <v>144597</v>
      </c>
      <c r="C1747" s="2" t="s">
        <v>573</v>
      </c>
      <c r="D1747" s="2" t="str">
        <f t="shared" si="26"/>
        <v>Error?</v>
      </c>
    </row>
    <row r="1748" spans="1:5" x14ac:dyDescent="0.2">
      <c r="A1748" s="5">
        <v>1687</v>
      </c>
      <c r="B1748" s="138">
        <f>'Tax Sched 23'!B8</f>
        <v>79432</v>
      </c>
      <c r="C1748" s="2" t="s">
        <v>573</v>
      </c>
      <c r="D1748" s="2" t="str">
        <f t="shared" si="26"/>
        <v>Error?</v>
      </c>
    </row>
    <row r="1749" spans="1:5" x14ac:dyDescent="0.2">
      <c r="A1749" s="5">
        <v>1688</v>
      </c>
      <c r="B1749" s="138">
        <f>'Tax Sched 23'!B10</f>
        <v>60249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387208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24100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5634151</v>
      </c>
      <c r="C1759" s="2" t="s">
        <v>573</v>
      </c>
      <c r="D1759" s="2" t="str">
        <f t="shared" si="26"/>
        <v>Error?</v>
      </c>
    </row>
    <row r="1760" spans="1:5" x14ac:dyDescent="0.2">
      <c r="A1760" s="5">
        <v>1699</v>
      </c>
      <c r="B1760" s="138">
        <f>'Tax Sched 23'!D4</f>
        <v>1940012</v>
      </c>
      <c r="C1760" s="2" t="s">
        <v>573</v>
      </c>
      <c r="D1760" s="2" t="str">
        <f t="shared" si="26"/>
        <v>Error?</v>
      </c>
    </row>
    <row r="1761" spans="1:5" x14ac:dyDescent="0.2">
      <c r="A1761" s="5">
        <v>1700</v>
      </c>
      <c r="B1761" s="138">
        <f>'Tax Sched 23'!D5</f>
        <v>301244</v>
      </c>
      <c r="C1761" s="2" t="s">
        <v>573</v>
      </c>
      <c r="D1761" s="2" t="str">
        <f t="shared" si="26"/>
        <v>Error?</v>
      </c>
    </row>
    <row r="1762" spans="1:5" s="8" customFormat="1" x14ac:dyDescent="0.2">
      <c r="A1762" s="5">
        <v>1701</v>
      </c>
      <c r="B1762" s="138">
        <f>'Tax Sched 23'!D6</f>
        <v>2552651</v>
      </c>
      <c r="C1762" s="2" t="s">
        <v>573</v>
      </c>
      <c r="D1762" s="2" t="str">
        <f t="shared" si="26"/>
        <v>Error?</v>
      </c>
      <c r="E1762" s="9"/>
    </row>
    <row r="1763" spans="1:5" x14ac:dyDescent="0.2">
      <c r="A1763" s="5">
        <v>1702</v>
      </c>
      <c r="B1763" s="138">
        <f>'Tax Sched 23'!D7</f>
        <v>144597</v>
      </c>
      <c r="C1763" s="2" t="s">
        <v>573</v>
      </c>
      <c r="D1763" s="2" t="str">
        <f t="shared" si="26"/>
        <v>Error?</v>
      </c>
    </row>
    <row r="1764" spans="1:5" x14ac:dyDescent="0.2">
      <c r="A1764" s="5">
        <v>1703</v>
      </c>
      <c r="B1764" s="138">
        <f>'Tax Sched 23'!D8</f>
        <v>79432</v>
      </c>
      <c r="C1764" s="2" t="s">
        <v>573</v>
      </c>
      <c r="D1764" s="2" t="str">
        <f t="shared" si="26"/>
        <v>Error?</v>
      </c>
    </row>
    <row r="1765" spans="1:5" x14ac:dyDescent="0.2">
      <c r="A1765" s="5">
        <v>1704</v>
      </c>
      <c r="B1765" s="138">
        <f>'Tax Sched 23'!D10</f>
        <v>60249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387208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24100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5634151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2019671</v>
      </c>
      <c r="C1792" s="2" t="s">
        <v>573</v>
      </c>
      <c r="D1792" s="2" t="str">
        <f t="shared" si="27"/>
        <v>Error?</v>
      </c>
    </row>
    <row r="1793" spans="1:4" x14ac:dyDescent="0.2">
      <c r="A1793" s="5">
        <v>1732</v>
      </c>
      <c r="B1793" s="138">
        <f>'Tax Sched 23'!F5</f>
        <v>313614</v>
      </c>
      <c r="C1793" s="2" t="s">
        <v>573</v>
      </c>
      <c r="D1793" s="2" t="str">
        <f t="shared" si="27"/>
        <v>Error?</v>
      </c>
    </row>
    <row r="1794" spans="1:4" x14ac:dyDescent="0.2">
      <c r="A1794" s="5">
        <v>1733</v>
      </c>
      <c r="B1794" s="138">
        <f>'Tax Sched 23'!F6</f>
        <v>2647964</v>
      </c>
      <c r="C1794" s="2" t="s">
        <v>573</v>
      </c>
      <c r="D1794" s="2" t="str">
        <f t="shared" si="27"/>
        <v>Error?</v>
      </c>
    </row>
    <row r="1795" spans="1:4" x14ac:dyDescent="0.2">
      <c r="A1795" s="5">
        <v>1734</v>
      </c>
      <c r="B1795" s="138">
        <f>'Tax Sched 23'!F7</f>
        <v>150535</v>
      </c>
      <c r="C1795" s="2" t="s">
        <v>573</v>
      </c>
      <c r="D1795" s="2" t="str">
        <f t="shared" si="27"/>
        <v>Error?</v>
      </c>
    </row>
    <row r="1796" spans="1:4" x14ac:dyDescent="0.2">
      <c r="A1796" s="5">
        <v>1735</v>
      </c>
      <c r="B1796" s="138">
        <f>'Tax Sched 23'!F8</f>
        <v>60001</v>
      </c>
      <c r="C1796" s="2" t="s">
        <v>573</v>
      </c>
      <c r="D1796" s="2" t="str">
        <f t="shared" si="27"/>
        <v>Error?</v>
      </c>
    </row>
    <row r="1797" spans="1:4" x14ac:dyDescent="0.2">
      <c r="A1797" s="5">
        <v>1736</v>
      </c>
      <c r="B1797" s="138">
        <f>'Tax Sched 23'!F10</f>
        <v>62723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390010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25089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5823341</v>
      </c>
      <c r="C1807" s="2" t="s">
        <v>573</v>
      </c>
      <c r="D1807" s="2" t="str">
        <f t="shared" si="27"/>
        <v>Error?</v>
      </c>
    </row>
    <row r="1808" spans="1:4" x14ac:dyDescent="0.2">
      <c r="A1808" s="5">
        <v>1747</v>
      </c>
      <c r="B1808" s="138">
        <f>'Tax Sched 23'!E4</f>
        <v>2019671</v>
      </c>
      <c r="D1808" s="2" t="str">
        <f t="shared" si="27"/>
        <v>Error?</v>
      </c>
    </row>
    <row r="1809" spans="1:4" x14ac:dyDescent="0.2">
      <c r="A1809" s="5">
        <v>1748</v>
      </c>
      <c r="B1809" s="138">
        <f>'Tax Sched 23'!E5</f>
        <v>313614</v>
      </c>
      <c r="D1809" s="2" t="str">
        <f t="shared" si="27"/>
        <v>Error?</v>
      </c>
    </row>
    <row r="1810" spans="1:4" x14ac:dyDescent="0.2">
      <c r="A1810" s="5">
        <v>1749</v>
      </c>
      <c r="B1810" s="138">
        <f>'Tax Sched 23'!E6</f>
        <v>2647964</v>
      </c>
      <c r="D1810" s="2" t="str">
        <f t="shared" si="27"/>
        <v>Error?</v>
      </c>
    </row>
    <row r="1811" spans="1:4" x14ac:dyDescent="0.2">
      <c r="A1811" s="5">
        <v>1750</v>
      </c>
      <c r="B1811" s="138">
        <f>'Tax Sched 23'!E7</f>
        <v>150535</v>
      </c>
      <c r="D1811" s="2" t="str">
        <f t="shared" si="27"/>
        <v>Error?</v>
      </c>
    </row>
    <row r="1812" spans="1:4" x14ac:dyDescent="0.2">
      <c r="A1812" s="5">
        <v>1751</v>
      </c>
      <c r="B1812" s="138">
        <f>'Tax Sched 23'!E8</f>
        <v>60001</v>
      </c>
      <c r="D1812" s="2" t="str">
        <f t="shared" si="27"/>
        <v>Error?</v>
      </c>
    </row>
    <row r="1813" spans="1:4" x14ac:dyDescent="0.2">
      <c r="A1813" s="5">
        <v>1752</v>
      </c>
      <c r="B1813" s="138">
        <f>'Tax Sched 23'!E10</f>
        <v>62723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390010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25089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5823341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43567044</v>
      </c>
      <c r="C1939" s="2" t="s">
        <v>573</v>
      </c>
      <c r="D1939" s="2" t="str">
        <f t="shared" si="29"/>
        <v>Error?</v>
      </c>
    </row>
    <row r="1940" spans="1:5" x14ac:dyDescent="0.2">
      <c r="A1940" s="5">
        <v>1879</v>
      </c>
      <c r="B1940" s="138">
        <f>'Short-Term Long-Term Debt 24'!F49</f>
        <v>1000000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24100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24100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24100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51157</v>
      </c>
      <c r="D2008" s="2" t="str">
        <f t="shared" si="30"/>
        <v>Error?</v>
      </c>
    </row>
    <row r="2009" spans="1:4" x14ac:dyDescent="0.2">
      <c r="A2009" s="5">
        <v>1948</v>
      </c>
      <c r="B2009" s="138">
        <f>'Cap Outlay Deprec 26'!C8</f>
        <v>31985115</v>
      </c>
      <c r="D2009" s="2" t="str">
        <f t="shared" si="30"/>
        <v>Error?</v>
      </c>
    </row>
    <row r="2010" spans="1:4" x14ac:dyDescent="0.2">
      <c r="A2010" s="5">
        <v>1949</v>
      </c>
      <c r="B2010" s="138">
        <f>'Cap Outlay Deprec 26'!C10</f>
        <v>173052</v>
      </c>
      <c r="D2010" s="2" t="str">
        <f t="shared" si="30"/>
        <v>Error?</v>
      </c>
    </row>
    <row r="2011" spans="1:4" x14ac:dyDescent="0.2">
      <c r="A2011" s="5">
        <v>1950</v>
      </c>
      <c r="B2011" s="138">
        <f>'Cap Outlay Deprec 26'!C12</f>
        <v>459198</v>
      </c>
      <c r="D2011" s="2" t="str">
        <f t="shared" si="30"/>
        <v>Error?</v>
      </c>
    </row>
    <row r="2012" spans="1:4" x14ac:dyDescent="0.2">
      <c r="A2012" s="5">
        <v>1951</v>
      </c>
      <c r="B2012" s="138">
        <f>'Cap Outlay Deprec 26'!C13</f>
        <v>338597</v>
      </c>
      <c r="D2012" s="2" t="str">
        <f t="shared" si="30"/>
        <v>Error?</v>
      </c>
    </row>
    <row r="2013" spans="1:4" x14ac:dyDescent="0.2">
      <c r="A2013" s="5">
        <v>1952</v>
      </c>
      <c r="B2013" s="138">
        <f>'Cap Outlay Deprec 26'!C16</f>
        <v>33007119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4220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41967</v>
      </c>
      <c r="D2024" s="2" t="str">
        <f t="shared" si="30"/>
        <v>Error?</v>
      </c>
    </row>
    <row r="2025" spans="1:4" x14ac:dyDescent="0.2">
      <c r="A2025" s="5">
        <v>1964</v>
      </c>
      <c r="B2025" s="138">
        <f>'Cap Outlay Deprec 26'!E16</f>
        <v>41967</v>
      </c>
      <c r="C2025" s="2" t="s">
        <v>573</v>
      </c>
      <c r="D2025" s="2" t="str">
        <f t="shared" si="30"/>
        <v>Error?</v>
      </c>
    </row>
    <row r="2026" spans="1:4" x14ac:dyDescent="0.2">
      <c r="A2026" s="5">
        <v>1965</v>
      </c>
      <c r="B2026" s="138">
        <f>'Cap Outlay Deprec 26'!F5</f>
        <v>51157</v>
      </c>
      <c r="C2026" s="2" t="s">
        <v>573</v>
      </c>
      <c r="D2026" s="2" t="str">
        <f t="shared" si="30"/>
        <v>Error?</v>
      </c>
    </row>
    <row r="2027" spans="1:4" x14ac:dyDescent="0.2">
      <c r="A2027" s="5">
        <v>1966</v>
      </c>
      <c r="B2027" s="138">
        <f>'Cap Outlay Deprec 26'!F8</f>
        <v>31985115</v>
      </c>
      <c r="C2027" s="2" t="s">
        <v>573</v>
      </c>
      <c r="D2027" s="2" t="str">
        <f t="shared" si="30"/>
        <v>Error?</v>
      </c>
    </row>
    <row r="2028" spans="1:4" x14ac:dyDescent="0.2">
      <c r="A2028" s="5">
        <v>1967</v>
      </c>
      <c r="B2028" s="138">
        <f>'Cap Outlay Deprec 26'!F10</f>
        <v>173052</v>
      </c>
      <c r="C2028" s="2" t="s">
        <v>573</v>
      </c>
      <c r="D2028" s="2" t="str">
        <f t="shared" si="30"/>
        <v>Error?</v>
      </c>
    </row>
    <row r="2029" spans="1:4" x14ac:dyDescent="0.2">
      <c r="A2029" s="5">
        <v>1968</v>
      </c>
      <c r="B2029" s="138">
        <f>'Cap Outlay Deprec 26'!F12</f>
        <v>463418</v>
      </c>
      <c r="C2029" s="2" t="s">
        <v>573</v>
      </c>
      <c r="D2029" s="2" t="str">
        <f t="shared" si="30"/>
        <v>Error?</v>
      </c>
    </row>
    <row r="2030" spans="1:4" x14ac:dyDescent="0.2">
      <c r="A2030" s="5">
        <v>1969</v>
      </c>
      <c r="B2030" s="138">
        <f>'Cap Outlay Deprec 26'!F13</f>
        <v>296630</v>
      </c>
      <c r="C2030" s="2" t="s">
        <v>573</v>
      </c>
      <c r="D2030" s="2" t="str">
        <f t="shared" si="30"/>
        <v>Error?</v>
      </c>
    </row>
    <row r="2031" spans="1:4" x14ac:dyDescent="0.2">
      <c r="A2031" s="5">
        <v>1970</v>
      </c>
      <c r="B2031" s="138">
        <f>'Cap Outlay Deprec 26'!F16</f>
        <v>32969372</v>
      </c>
      <c r="C2031" s="2" t="s">
        <v>573</v>
      </c>
      <c r="D2031" s="2" t="str">
        <f t="shared" si="30"/>
        <v>Error?</v>
      </c>
    </row>
    <row r="2032" spans="1:4" x14ac:dyDescent="0.2">
      <c r="A2032" s="10">
        <v>1971</v>
      </c>
      <c r="D2032" s="2" t="str">
        <f t="shared" si="30"/>
        <v>OK</v>
      </c>
    </row>
    <row r="2033" spans="1:4" x14ac:dyDescent="0.2">
      <c r="A2033" s="5">
        <v>1972</v>
      </c>
      <c r="B2033" s="138">
        <f>'Cap Outlay Deprec 26'!H8</f>
        <v>1915832</v>
      </c>
      <c r="D2033" s="2" t="str">
        <f t="shared" si="30"/>
        <v>Error?</v>
      </c>
    </row>
    <row r="2034" spans="1:4" x14ac:dyDescent="0.2">
      <c r="A2034" s="5">
        <v>1973</v>
      </c>
      <c r="B2034" s="138">
        <f>'Cap Outlay Deprec 26'!H10</f>
        <v>40258</v>
      </c>
      <c r="D2034" s="2" t="str">
        <f t="shared" si="30"/>
        <v>Error?</v>
      </c>
    </row>
    <row r="2035" spans="1:4" x14ac:dyDescent="0.2">
      <c r="A2035" s="5">
        <v>1974</v>
      </c>
      <c r="B2035" s="138">
        <f>'Cap Outlay Deprec 26'!H12</f>
        <v>233859</v>
      </c>
      <c r="D2035" s="2" t="str">
        <f t="shared" si="30"/>
        <v>Error?</v>
      </c>
    </row>
    <row r="2036" spans="1:4" x14ac:dyDescent="0.2">
      <c r="A2036" s="5">
        <v>1975</v>
      </c>
      <c r="B2036" s="138">
        <f>'Cap Outlay Deprec 26'!H13</f>
        <v>251592</v>
      </c>
      <c r="D2036" s="2" t="str">
        <f t="shared" si="30"/>
        <v>Error?</v>
      </c>
    </row>
    <row r="2037" spans="1:4" x14ac:dyDescent="0.2">
      <c r="A2037" s="5">
        <v>1976</v>
      </c>
      <c r="B2037" s="138">
        <f>'Cap Outlay Deprec 26'!H16</f>
        <v>2441541</v>
      </c>
      <c r="C2037" s="2" t="s">
        <v>573</v>
      </c>
      <c r="D2037" s="2" t="str">
        <f t="shared" si="30"/>
        <v>Error?</v>
      </c>
    </row>
    <row r="2038" spans="1:4" x14ac:dyDescent="0.2">
      <c r="A2038" s="10">
        <v>1977</v>
      </c>
      <c r="D2038" s="2" t="str">
        <f t="shared" si="30"/>
        <v>OK</v>
      </c>
    </row>
    <row r="2039" spans="1:4" x14ac:dyDescent="0.2">
      <c r="A2039" s="5">
        <v>1978</v>
      </c>
      <c r="B2039" s="138">
        <f>'Cap Outlay Deprec 26'!I8</f>
        <v>639702</v>
      </c>
      <c r="D2039" s="2" t="str">
        <f t="shared" si="30"/>
        <v>Error?</v>
      </c>
    </row>
    <row r="2040" spans="1:4" x14ac:dyDescent="0.2">
      <c r="A2040" s="5">
        <v>1979</v>
      </c>
      <c r="B2040" s="138">
        <f>'Cap Outlay Deprec 26'!I10</f>
        <v>8653</v>
      </c>
      <c r="D2040" s="2" t="str">
        <f t="shared" si="30"/>
        <v>Error?</v>
      </c>
    </row>
    <row r="2041" spans="1:4" x14ac:dyDescent="0.2">
      <c r="A2041" s="5">
        <v>1980</v>
      </c>
      <c r="B2041" s="138">
        <f>'Cap Outlay Deprec 26'!I12</f>
        <v>46341</v>
      </c>
      <c r="D2041" s="2" t="str">
        <f t="shared" si="30"/>
        <v>Error?</v>
      </c>
    </row>
    <row r="2042" spans="1:4" x14ac:dyDescent="0.2">
      <c r="A2042" s="5">
        <v>1981</v>
      </c>
      <c r="B2042" s="138">
        <f>'Cap Outlay Deprec 26'!I13</f>
        <v>24853</v>
      </c>
      <c r="D2042" s="2" t="str">
        <f t="shared" si="30"/>
        <v>Error?</v>
      </c>
    </row>
    <row r="2043" spans="1:4" x14ac:dyDescent="0.2">
      <c r="A2043" s="5">
        <v>1982</v>
      </c>
      <c r="B2043" s="138">
        <f>'Cap Outlay Deprec 26'!I16</f>
        <v>719549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33572</v>
      </c>
      <c r="D2048" s="2" t="str">
        <f t="shared" si="31"/>
        <v>Error?</v>
      </c>
    </row>
    <row r="2049" spans="1:4" x14ac:dyDescent="0.2">
      <c r="A2049" s="5">
        <v>1988</v>
      </c>
      <c r="B2049" s="138">
        <f>'Cap Outlay Deprec 26'!J16</f>
        <v>33572</v>
      </c>
      <c r="C2049" s="2" t="s">
        <v>573</v>
      </c>
      <c r="D2049" s="2" t="str">
        <f t="shared" si="31"/>
        <v>Error?</v>
      </c>
    </row>
    <row r="2050" spans="1:4" x14ac:dyDescent="0.2">
      <c r="A2050" s="10">
        <v>1989</v>
      </c>
      <c r="D2050" s="2" t="str">
        <f t="shared" si="31"/>
        <v>OK</v>
      </c>
    </row>
    <row r="2051" spans="1:4" x14ac:dyDescent="0.2">
      <c r="A2051" s="5">
        <v>1990</v>
      </c>
      <c r="B2051" s="138">
        <f>'Cap Outlay Deprec 26'!K8</f>
        <v>2555534</v>
      </c>
      <c r="C2051" s="2" t="s">
        <v>573</v>
      </c>
      <c r="D2051" s="2" t="str">
        <f t="shared" si="31"/>
        <v>Error?</v>
      </c>
    </row>
    <row r="2052" spans="1:4" x14ac:dyDescent="0.2">
      <c r="A2052" s="5">
        <v>1991</v>
      </c>
      <c r="B2052" s="138">
        <f>'Cap Outlay Deprec 26'!K10</f>
        <v>48911</v>
      </c>
      <c r="C2052" s="2" t="s">
        <v>573</v>
      </c>
      <c r="D2052" s="2" t="str">
        <f t="shared" si="31"/>
        <v>Error?</v>
      </c>
    </row>
    <row r="2053" spans="1:4" x14ac:dyDescent="0.2">
      <c r="A2053" s="5">
        <v>1992</v>
      </c>
      <c r="B2053" s="138">
        <f>'Cap Outlay Deprec 26'!K12</f>
        <v>280200</v>
      </c>
      <c r="C2053" s="2" t="s">
        <v>573</v>
      </c>
      <c r="D2053" s="2" t="str">
        <f t="shared" si="31"/>
        <v>Error?</v>
      </c>
    </row>
    <row r="2054" spans="1:4" x14ac:dyDescent="0.2">
      <c r="A2054" s="5">
        <v>1993</v>
      </c>
      <c r="B2054" s="138">
        <f>'Cap Outlay Deprec 26'!K13</f>
        <v>242873</v>
      </c>
      <c r="C2054" s="2" t="s">
        <v>573</v>
      </c>
      <c r="D2054" s="2" t="str">
        <f t="shared" si="31"/>
        <v>Error?</v>
      </c>
    </row>
    <row r="2055" spans="1:4" x14ac:dyDescent="0.2">
      <c r="A2055" s="5">
        <v>1994</v>
      </c>
      <c r="B2055" s="138">
        <f>'Cap Outlay Deprec 26'!K16</f>
        <v>3127518</v>
      </c>
      <c r="C2055" s="2" t="s">
        <v>573</v>
      </c>
      <c r="D2055" s="2" t="str">
        <f t="shared" si="31"/>
        <v>Error?</v>
      </c>
    </row>
    <row r="2056" spans="1:4" x14ac:dyDescent="0.2">
      <c r="A2056" s="5">
        <v>1995</v>
      </c>
      <c r="B2056" s="138">
        <f>'Cap Outlay Deprec 26'!L5</f>
        <v>51157</v>
      </c>
      <c r="C2056" s="2" t="s">
        <v>573</v>
      </c>
      <c r="D2056" s="2" t="str">
        <f t="shared" si="31"/>
        <v>Error?</v>
      </c>
    </row>
    <row r="2057" spans="1:4" x14ac:dyDescent="0.2">
      <c r="A2057" s="5">
        <v>1996</v>
      </c>
      <c r="B2057" s="138">
        <f>'Cap Outlay Deprec 26'!L8</f>
        <v>29429581</v>
      </c>
      <c r="C2057" s="2" t="s">
        <v>573</v>
      </c>
      <c r="D2057" s="2" t="str">
        <f t="shared" si="31"/>
        <v>Error?</v>
      </c>
    </row>
    <row r="2058" spans="1:4" x14ac:dyDescent="0.2">
      <c r="A2058" s="5">
        <v>1997</v>
      </c>
      <c r="B2058" s="138">
        <f>'Cap Outlay Deprec 26'!L10</f>
        <v>124141</v>
      </c>
      <c r="C2058" s="2" t="s">
        <v>573</v>
      </c>
      <c r="D2058" s="2" t="str">
        <f t="shared" si="31"/>
        <v>Error?</v>
      </c>
    </row>
    <row r="2059" spans="1:4" x14ac:dyDescent="0.2">
      <c r="A2059" s="5">
        <v>1998</v>
      </c>
      <c r="B2059" s="138">
        <f>'Cap Outlay Deprec 26'!L12</f>
        <v>183218</v>
      </c>
      <c r="C2059" s="2" t="s">
        <v>573</v>
      </c>
      <c r="D2059" s="2" t="str">
        <f t="shared" si="31"/>
        <v>Error?</v>
      </c>
    </row>
    <row r="2060" spans="1:4" x14ac:dyDescent="0.2">
      <c r="A2060" s="5">
        <v>1999</v>
      </c>
      <c r="B2060" s="138">
        <f>'Cap Outlay Deprec 26'!L13</f>
        <v>53757</v>
      </c>
      <c r="C2060" s="2" t="s">
        <v>573</v>
      </c>
      <c r="D2060" s="2" t="str">
        <f t="shared" si="31"/>
        <v>Error?</v>
      </c>
    </row>
    <row r="2061" spans="1:4" x14ac:dyDescent="0.2">
      <c r="A2061" s="5">
        <v>2000</v>
      </c>
      <c r="B2061" s="138">
        <f>'Cap Outlay Deprec 26'!L16</f>
        <v>29841854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60786</v>
      </c>
      <c r="C2088" s="2" t="s">
        <v>573</v>
      </c>
      <c r="D2088" s="2" t="str">
        <f t="shared" si="31"/>
        <v>Error?</v>
      </c>
    </row>
    <row r="2089" spans="1:4" x14ac:dyDescent="0.2">
      <c r="A2089" s="5">
        <v>2028</v>
      </c>
      <c r="B2089" s="138">
        <f>'Expenditures 15-22'!K92</f>
        <v>69786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74377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21844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2602819</v>
      </c>
      <c r="C2551" s="2" t="s">
        <v>573</v>
      </c>
      <c r="D2551" s="2" t="str">
        <f t="shared" si="38"/>
        <v>Error?</v>
      </c>
    </row>
    <row r="2552" spans="1:4" x14ac:dyDescent="0.2">
      <c r="A2552" s="10">
        <v>2491</v>
      </c>
      <c r="D2552" s="2" t="str">
        <f t="shared" si="38"/>
        <v>OK</v>
      </c>
    </row>
    <row r="2553" spans="1:4" x14ac:dyDescent="0.2">
      <c r="A2553" s="5">
        <v>2492</v>
      </c>
      <c r="B2553" s="138">
        <f>'Acct Summary 7-8'!C6</f>
        <v>1293653</v>
      </c>
      <c r="C2553" s="2" t="s">
        <v>573</v>
      </c>
      <c r="D2553" s="2" t="str">
        <f t="shared" si="38"/>
        <v>Error?</v>
      </c>
    </row>
    <row r="2554" spans="1:4" x14ac:dyDescent="0.2">
      <c r="A2554" s="5">
        <v>2493</v>
      </c>
      <c r="B2554" s="138">
        <f>'Acct Summary 7-8'!C7</f>
        <v>324080</v>
      </c>
      <c r="C2554" s="2" t="s">
        <v>573</v>
      </c>
      <c r="D2554" s="2" t="str">
        <f t="shared" si="38"/>
        <v>Error?</v>
      </c>
    </row>
    <row r="2555" spans="1:4" x14ac:dyDescent="0.2">
      <c r="A2555" s="5">
        <v>2494</v>
      </c>
      <c r="B2555" s="138">
        <f>'Acct Summary 7-8'!C8</f>
        <v>4220552</v>
      </c>
      <c r="C2555" s="2" t="s">
        <v>573</v>
      </c>
      <c r="D2555" s="2" t="str">
        <f t="shared" si="38"/>
        <v>Error?</v>
      </c>
    </row>
    <row r="2556" spans="1:4" x14ac:dyDescent="0.2">
      <c r="A2556" s="5">
        <v>2495</v>
      </c>
      <c r="B2556" s="138">
        <f>'Acct Summary 7-8'!C12</f>
        <v>2790051</v>
      </c>
      <c r="C2556" s="2" t="s">
        <v>573</v>
      </c>
      <c r="D2556" s="2" t="str">
        <f t="shared" si="38"/>
        <v>Error?</v>
      </c>
    </row>
    <row r="2557" spans="1:4" x14ac:dyDescent="0.2">
      <c r="A2557" s="5">
        <v>2496</v>
      </c>
      <c r="B2557" s="138">
        <f>'Acct Summary 7-8'!C13</f>
        <v>994486</v>
      </c>
      <c r="C2557" s="2" t="s">
        <v>573</v>
      </c>
      <c r="D2557" s="2" t="str">
        <f t="shared" si="38"/>
        <v>Error?</v>
      </c>
    </row>
    <row r="2558" spans="1:4" x14ac:dyDescent="0.2">
      <c r="A2558" s="5">
        <v>2497</v>
      </c>
      <c r="B2558" s="138">
        <f>'Acct Summary 7-8'!C14</f>
        <v>7831</v>
      </c>
      <c r="C2558" s="2" t="s">
        <v>573</v>
      </c>
      <c r="D2558" s="2" t="str">
        <f t="shared" si="38"/>
        <v>Error?</v>
      </c>
    </row>
    <row r="2559" spans="1:4" x14ac:dyDescent="0.2">
      <c r="A2559" s="5">
        <v>2498</v>
      </c>
      <c r="B2559" s="138">
        <f>'Acct Summary 7-8'!C15</f>
        <v>130572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3922940</v>
      </c>
      <c r="C2561" s="2" t="s">
        <v>573</v>
      </c>
      <c r="D2561" s="2" t="str">
        <f t="shared" si="39"/>
        <v>Error?</v>
      </c>
    </row>
    <row r="2562" spans="1:4" x14ac:dyDescent="0.2">
      <c r="A2562" s="5">
        <v>2501</v>
      </c>
      <c r="B2562" s="138">
        <f>'Acct Summary 7-8'!C20</f>
        <v>297612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306977</v>
      </c>
      <c r="C2564" s="2" t="s">
        <v>573</v>
      </c>
      <c r="D2564" s="2" t="str">
        <f t="shared" si="39"/>
        <v>Error?</v>
      </c>
    </row>
    <row r="2565" spans="1:4" x14ac:dyDescent="0.2">
      <c r="A2565" s="10">
        <v>2504</v>
      </c>
      <c r="D2565" s="2" t="str">
        <f t="shared" si="39"/>
        <v>OK</v>
      </c>
    </row>
    <row r="2566" spans="1:4" x14ac:dyDescent="0.2">
      <c r="A2566" s="5">
        <v>2505</v>
      </c>
      <c r="B2566" s="138">
        <f>'Acct Summary 7-8'!D6</f>
        <v>399712</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706689</v>
      </c>
      <c r="C2568" s="2" t="s">
        <v>573</v>
      </c>
      <c r="D2568" s="2" t="str">
        <f t="shared" si="39"/>
        <v>Error?</v>
      </c>
    </row>
    <row r="2569" spans="1:4" x14ac:dyDescent="0.2">
      <c r="A2569" s="5">
        <v>2508</v>
      </c>
      <c r="B2569" s="138">
        <f>'Acct Summary 7-8'!D13</f>
        <v>475974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475974</v>
      </c>
      <c r="C2573" s="2" t="s">
        <v>573</v>
      </c>
      <c r="D2573" s="2" t="str">
        <f t="shared" si="39"/>
        <v>Error?</v>
      </c>
    </row>
    <row r="2574" spans="1:4" x14ac:dyDescent="0.2">
      <c r="A2574" s="5">
        <v>2513</v>
      </c>
      <c r="B2574" s="138">
        <f>'Acct Summary 7-8'!D20</f>
        <v>230715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144905</v>
      </c>
      <c r="C2591" s="2" t="s">
        <v>573</v>
      </c>
      <c r="D2591" s="2" t="str">
        <f t="shared" si="39"/>
        <v>Error?</v>
      </c>
    </row>
    <row r="2592" spans="1:4" x14ac:dyDescent="0.2">
      <c r="A2592" s="10">
        <v>2531</v>
      </c>
      <c r="D2592" s="2" t="str">
        <f t="shared" si="39"/>
        <v>OK</v>
      </c>
    </row>
    <row r="2593" spans="1:4" x14ac:dyDescent="0.2">
      <c r="A2593" s="5">
        <v>2532</v>
      </c>
      <c r="B2593" s="138">
        <f>'Acct Summary 7-8'!F6</f>
        <v>41956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186861</v>
      </c>
      <c r="C2595" s="2" t="s">
        <v>573</v>
      </c>
      <c r="D2595" s="2" t="str">
        <f t="shared" si="39"/>
        <v>Error?</v>
      </c>
    </row>
    <row r="2596" spans="1:4" x14ac:dyDescent="0.2">
      <c r="A2596" s="5">
        <v>2535</v>
      </c>
      <c r="B2596" s="138">
        <f>'Acct Summary 7-8'!F13</f>
        <v>157786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15182</v>
      </c>
      <c r="C2599" s="2" t="s">
        <v>573</v>
      </c>
      <c r="D2599" s="2" t="str">
        <f t="shared" si="39"/>
        <v>Error?</v>
      </c>
    </row>
    <row r="2600" spans="1:4" x14ac:dyDescent="0.2">
      <c r="A2600" s="5">
        <v>2539</v>
      </c>
      <c r="B2600" s="138">
        <f>'Acct Summary 7-8'!F17</f>
        <v>172968</v>
      </c>
      <c r="C2600" s="2" t="s">
        <v>573</v>
      </c>
      <c r="D2600" s="2" t="str">
        <f t="shared" si="39"/>
        <v>Error?</v>
      </c>
    </row>
    <row r="2601" spans="1:4" x14ac:dyDescent="0.2">
      <c r="A2601" s="5">
        <v>2540</v>
      </c>
      <c r="B2601" s="138">
        <f>'Acct Summary 7-8'!F20</f>
        <v>13893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168218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168218</v>
      </c>
      <c r="C2606" s="2" t="s">
        <v>573</v>
      </c>
      <c r="D2606" s="2" t="str">
        <f t="shared" si="39"/>
        <v>Error?</v>
      </c>
    </row>
    <row r="2607" spans="1:4" x14ac:dyDescent="0.2">
      <c r="A2607" s="5">
        <v>2546</v>
      </c>
      <c r="B2607" s="138">
        <f>'Acct Summary 7-8'!G12</f>
        <v>51905</v>
      </c>
      <c r="C2607" s="2" t="s">
        <v>573</v>
      </c>
      <c r="D2607" s="2" t="str">
        <f t="shared" si="39"/>
        <v>Error?</v>
      </c>
    </row>
    <row r="2608" spans="1:4" x14ac:dyDescent="0.2">
      <c r="A2608" s="5">
        <v>2547</v>
      </c>
      <c r="B2608" s="138">
        <f>'Acct Summary 7-8'!G13</f>
        <v>88495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140400</v>
      </c>
      <c r="C2612" s="2" t="s">
        <v>573</v>
      </c>
      <c r="D2612" s="2" t="str">
        <f t="shared" si="39"/>
        <v>Error?</v>
      </c>
    </row>
    <row r="2613" spans="1:4" x14ac:dyDescent="0.2">
      <c r="A2613" s="5">
        <v>2552</v>
      </c>
      <c r="B2613" s="138">
        <f>'Acct Summary 7-8'!G20</f>
        <v>27818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2555042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2555042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2617715</v>
      </c>
      <c r="C2634" s="2" t="s">
        <v>573</v>
      </c>
      <c r="D2634" s="2" t="str">
        <f t="shared" si="40"/>
        <v>Error?</v>
      </c>
    </row>
    <row r="2635" spans="1:4" x14ac:dyDescent="0.2">
      <c r="A2635" s="5">
        <v>2574</v>
      </c>
      <c r="B2635" s="138">
        <f>'Acct Summary 7-8'!E17</f>
        <v>2617715</v>
      </c>
      <c r="C2635" s="2" t="s">
        <v>573</v>
      </c>
      <c r="D2635" s="2" t="str">
        <f t="shared" si="40"/>
        <v>Error?</v>
      </c>
    </row>
    <row r="2636" spans="1:4" x14ac:dyDescent="0.2">
      <c r="A2636" s="5">
        <v>2575</v>
      </c>
      <c r="B2636" s="138">
        <f>'Acct Summary 7-8'!E20</f>
        <v>-62673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60786</v>
      </c>
      <c r="C2789" s="2" t="s">
        <v>573</v>
      </c>
      <c r="D2789" s="2" t="str">
        <f t="shared" si="42"/>
        <v>Error?</v>
      </c>
    </row>
    <row r="2790" spans="1:4" x14ac:dyDescent="0.2">
      <c r="A2790" s="5">
        <v>2729</v>
      </c>
      <c r="B2790" s="138">
        <f>'Expenditures 15-22'!E102</f>
        <v>60786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1900769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407871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1900769</v>
      </c>
      <c r="D2912" s="2" t="str">
        <f t="shared" si="44"/>
        <v>Error?</v>
      </c>
    </row>
    <row r="2913" spans="1:4" x14ac:dyDescent="0.2">
      <c r="A2913" s="5">
        <v>2852</v>
      </c>
      <c r="B2913" s="138">
        <f>'Assets-Liab 5-6'!I41</f>
        <v>1900769</v>
      </c>
      <c r="C2913" s="2" t="s">
        <v>573</v>
      </c>
      <c r="D2913" s="2" t="str">
        <f t="shared" si="44"/>
        <v>Error?</v>
      </c>
    </row>
    <row r="2914" spans="1:4" x14ac:dyDescent="0.2">
      <c r="A2914" s="5">
        <v>2853</v>
      </c>
      <c r="B2914" s="138">
        <f>'Assets-Liab 5-6'!L33</f>
        <v>407871</v>
      </c>
      <c r="D2914" s="2" t="str">
        <f t="shared" si="44"/>
        <v>Error?</v>
      </c>
    </row>
    <row r="2915" spans="1:4" x14ac:dyDescent="0.2">
      <c r="A2915" s="10">
        <v>2854</v>
      </c>
      <c r="D2915" s="2" t="str">
        <f t="shared" si="44"/>
        <v>OK</v>
      </c>
    </row>
    <row r="2916" spans="1:4" x14ac:dyDescent="0.2">
      <c r="A2916" s="5">
        <v>2855</v>
      </c>
      <c r="B2916" s="138">
        <f>'Assets-Liab 5-6'!L34</f>
        <v>407871</v>
      </c>
      <c r="C2916" s="2" t="s">
        <v>573</v>
      </c>
      <c r="D2916" s="2" t="str">
        <f t="shared" si="44"/>
        <v>Error?</v>
      </c>
    </row>
    <row r="2917" spans="1:4" x14ac:dyDescent="0.2">
      <c r="A2917" s="5">
        <v>2856</v>
      </c>
      <c r="B2917" s="138">
        <f>'Assets-Liab 5-6'!L41</f>
        <v>407871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2865</v>
      </c>
      <c r="D2949" s="2" t="str">
        <f t="shared" si="45"/>
        <v>Error?</v>
      </c>
    </row>
    <row r="2950" spans="1:4" x14ac:dyDescent="0.2">
      <c r="A2950" s="5">
        <v>2889</v>
      </c>
      <c r="B2950" s="138">
        <f>'Expenditures 15-22'!E79</f>
        <v>55290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1530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2865</v>
      </c>
      <c r="C2973" s="2" t="s">
        <v>573</v>
      </c>
      <c r="D2973" s="2" t="str">
        <f t="shared" si="45"/>
        <v>Error?</v>
      </c>
    </row>
    <row r="2974" spans="1:4" x14ac:dyDescent="0.2">
      <c r="A2974" s="5">
        <v>2913</v>
      </c>
      <c r="B2974" s="138">
        <f>'Expenditures 15-22'!K79</f>
        <v>55290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1530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1101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46993</v>
      </c>
      <c r="D3055" s="2" t="str">
        <f t="shared" si="46"/>
        <v>Error?</v>
      </c>
    </row>
    <row r="3056" spans="1:4" x14ac:dyDescent="0.2">
      <c r="A3056" s="5">
        <v>2995</v>
      </c>
      <c r="B3056" s="138">
        <f>'Expenditures 15-22'!D10</f>
        <v>9270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36302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92565</v>
      </c>
      <c r="C3062" s="2" t="s">
        <v>573</v>
      </c>
      <c r="D3062" s="2" t="str">
        <f t="shared" si="46"/>
        <v>Error?</v>
      </c>
    </row>
    <row r="3063" spans="1:4" x14ac:dyDescent="0.2">
      <c r="A3063" s="10">
        <v>3002</v>
      </c>
      <c r="D3063" s="2" t="str">
        <f t="shared" si="46"/>
        <v>OK</v>
      </c>
    </row>
    <row r="3064" spans="1:4" x14ac:dyDescent="0.2">
      <c r="A3064" s="5">
        <v>3003</v>
      </c>
      <c r="B3064" s="138">
        <f>'Expenditures 15-22'!D219</f>
        <v>832</v>
      </c>
      <c r="D3064" s="2" t="str">
        <f t="shared" si="46"/>
        <v>Error?</v>
      </c>
    </row>
    <row r="3065" spans="1:4" x14ac:dyDescent="0.2">
      <c r="A3065" s="5">
        <v>3004</v>
      </c>
      <c r="B3065" s="138">
        <f>'Expenditures 15-22'!K219</f>
        <v>832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91021</v>
      </c>
      <c r="C3225" s="2" t="s">
        <v>573</v>
      </c>
      <c r="D3225" s="2" t="str">
        <f t="shared" si="49"/>
        <v>Error?</v>
      </c>
    </row>
    <row r="3226" spans="1:4" x14ac:dyDescent="0.2">
      <c r="A3226" s="5">
        <v>3165</v>
      </c>
      <c r="B3226" s="138">
        <f>'Acct Summary 7-8'!I8</f>
        <v>91021</v>
      </c>
      <c r="C3226" s="2" t="s">
        <v>573</v>
      </c>
      <c r="D3226" s="2" t="str">
        <f t="shared" si="49"/>
        <v>Error?</v>
      </c>
    </row>
    <row r="3227" spans="1:4" x14ac:dyDescent="0.2">
      <c r="A3227" s="5">
        <v>3166</v>
      </c>
      <c r="B3227" s="138">
        <f>'Acct Summary 7-8'!I20</f>
        <v>91021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125000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125000</v>
      </c>
      <c r="C3232" s="2" t="s">
        <v>573</v>
      </c>
      <c r="D3232" s="2" t="str">
        <f t="shared" si="49"/>
        <v>Error?</v>
      </c>
    </row>
    <row r="3233" spans="1:4" x14ac:dyDescent="0.2">
      <c r="A3233" s="5">
        <v>3172</v>
      </c>
      <c r="B3233" s="138">
        <f>'Acct Summary 7-8'!C78</f>
        <v>422612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125000</v>
      </c>
      <c r="C3238" s="2" t="s">
        <v>573</v>
      </c>
      <c r="D3238" s="2" t="str">
        <f t="shared" si="49"/>
        <v>Error?</v>
      </c>
    </row>
    <row r="3239" spans="1:4" x14ac:dyDescent="0.2">
      <c r="A3239" s="5">
        <v>3178</v>
      </c>
      <c r="B3239" s="138">
        <f>'Acct Summary 7-8'!D78</f>
        <v>355715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13893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27818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-62673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1000000</v>
      </c>
      <c r="C3317" s="2" t="s">
        <v>573</v>
      </c>
      <c r="D3317" s="2" t="str">
        <f t="shared" si="50"/>
        <v>Error?</v>
      </c>
    </row>
    <row r="3318" spans="1:4" x14ac:dyDescent="0.2">
      <c r="A3318" s="5">
        <v>3257</v>
      </c>
      <c r="B3318" s="138">
        <f>'Acct Summary 7-8'!I76</f>
        <v>278785</v>
      </c>
      <c r="C3318" s="2" t="s">
        <v>573</v>
      </c>
      <c r="D3318" s="2" t="str">
        <f t="shared" si="50"/>
        <v>Error?</v>
      </c>
    </row>
    <row r="3319" spans="1:4" x14ac:dyDescent="0.2">
      <c r="A3319" s="5">
        <v>3258</v>
      </c>
      <c r="B3319" s="138">
        <f>'Acct Summary 7-8'!I77</f>
        <v>721215</v>
      </c>
      <c r="C3319" s="2" t="s">
        <v>573</v>
      </c>
      <c r="D3319" s="2" t="str">
        <f t="shared" si="50"/>
        <v>Error?</v>
      </c>
    </row>
    <row r="3320" spans="1:4" x14ac:dyDescent="0.2">
      <c r="A3320" s="5">
        <v>3259</v>
      </c>
      <c r="B3320" s="138">
        <f>'Acct Summary 7-8'!I78</f>
        <v>812236</v>
      </c>
      <c r="C3320" s="2" t="s">
        <v>573</v>
      </c>
      <c r="D3320" s="2" t="str">
        <f t="shared" si="50"/>
        <v>Error?</v>
      </c>
    </row>
    <row r="3321" spans="1:4" x14ac:dyDescent="0.2">
      <c r="A3321" s="5">
        <v>3260</v>
      </c>
      <c r="B3321" s="138">
        <f>'Acct Summary 7-8'!I79</f>
        <v>1088533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1900769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343918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136891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483399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21741</v>
      </c>
      <c r="D3387" s="2" t="str">
        <f t="shared" si="51"/>
        <v>Error?</v>
      </c>
    </row>
    <row r="3388" spans="1:4" x14ac:dyDescent="0.2">
      <c r="A3388" s="5">
        <v>3327</v>
      </c>
      <c r="B3388" s="138">
        <f>'Expenditures 15-22'!D217</f>
        <v>16803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21741</v>
      </c>
      <c r="C3390" s="2" t="s">
        <v>573</v>
      </c>
      <c r="D3390" s="2" t="str">
        <f t="shared" si="51"/>
        <v>Error?</v>
      </c>
    </row>
    <row r="3391" spans="1:4" x14ac:dyDescent="0.2">
      <c r="A3391" s="5">
        <v>3330</v>
      </c>
      <c r="B3391" s="138">
        <f>'Expenditures 15-22'!K217</f>
        <v>16803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1112172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673282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59335</v>
      </c>
      <c r="D3417" s="2" t="str">
        <f t="shared" si="52"/>
        <v>Error?</v>
      </c>
    </row>
    <row r="3418" spans="1:4" x14ac:dyDescent="0.2">
      <c r="A3418" s="10">
        <v>3357</v>
      </c>
      <c r="D3418" s="2" t="str">
        <f t="shared" si="52"/>
        <v>OK</v>
      </c>
    </row>
    <row r="3419" spans="1:4" x14ac:dyDescent="0.2">
      <c r="A3419" s="5">
        <v>3358</v>
      </c>
      <c r="B3419" s="138">
        <f>'Assets-Liab 5-6'!F4</f>
        <v>70312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111875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1900769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407871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84409</v>
      </c>
      <c r="C3446" s="2" t="s">
        <v>573</v>
      </c>
      <c r="D3446" s="2" t="str">
        <f t="shared" si="52"/>
        <v>Error?</v>
      </c>
    </row>
    <row r="3447" spans="1:4" x14ac:dyDescent="0.2">
      <c r="A3447" s="5">
        <v>3386</v>
      </c>
      <c r="B3447" s="138">
        <f>'Tax Sched 23'!D16</f>
        <v>84409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91011</v>
      </c>
      <c r="C3449" s="2" t="s">
        <v>573</v>
      </c>
      <c r="D3449" s="2" t="str">
        <f t="shared" si="52"/>
        <v>Error?</v>
      </c>
    </row>
    <row r="3450" spans="1:4" x14ac:dyDescent="0.2">
      <c r="A3450" s="5">
        <v>3389</v>
      </c>
      <c r="B3450" s="138">
        <f>'Tax Sched 23'!E16</f>
        <v>91011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v>
      </c>
      <c r="C3571" s="2" t="s">
        <v>573</v>
      </c>
      <c r="D3571" s="2" t="str">
        <f t="shared" si="54"/>
        <v>Error?</v>
      </c>
    </row>
    <row r="3572" spans="1:4" x14ac:dyDescent="0.2">
      <c r="A3572" s="5">
        <v>3511</v>
      </c>
      <c r="B3572" s="138">
        <f>'Acct Summary 7-8'!K13</f>
        <v>97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97</v>
      </c>
      <c r="C3575" s="2" t="s">
        <v>573</v>
      </c>
      <c r="D3575" s="2" t="str">
        <f t="shared" si="54"/>
        <v>Error?</v>
      </c>
    </row>
    <row r="3576" spans="1:4" x14ac:dyDescent="0.2">
      <c r="A3576" s="5">
        <v>3515</v>
      </c>
      <c r="B3576" s="138">
        <f>'Acct Summary 7-8'!K20</f>
        <v>-96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-96</v>
      </c>
      <c r="C3588" s="2" t="s">
        <v>573</v>
      </c>
      <c r="D3588" s="2" t="str">
        <f t="shared" si="55"/>
        <v>Error?</v>
      </c>
    </row>
    <row r="3589" spans="1:4" x14ac:dyDescent="0.2">
      <c r="A3589" s="5">
        <v>3528</v>
      </c>
      <c r="B3589" s="138">
        <f>'Acct Summary 7-8'!K79</f>
        <v>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97</v>
      </c>
      <c r="D3632" s="2" t="str">
        <f t="shared" si="55"/>
        <v>Error?</v>
      </c>
    </row>
    <row r="3633" spans="1:4" x14ac:dyDescent="0.2">
      <c r="A3633" s="5">
        <v>3572</v>
      </c>
      <c r="B3633" s="138">
        <f>'Expenditures 15-22'!E350</f>
        <v>97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97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97</v>
      </c>
      <c r="C3669" s="2" t="s">
        <v>573</v>
      </c>
      <c r="D3669" s="2" t="str">
        <f t="shared" si="56"/>
        <v>Error?</v>
      </c>
    </row>
    <row r="3670" spans="1:4" x14ac:dyDescent="0.2">
      <c r="A3670" s="5">
        <v>3609</v>
      </c>
      <c r="B3670" s="138">
        <f>'Expenditures 15-22'!K350</f>
        <v>97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97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60249</v>
      </c>
      <c r="C3725" s="2" t="s">
        <v>573</v>
      </c>
      <c r="D3725" s="2" t="str">
        <f t="shared" si="57"/>
        <v>Error?</v>
      </c>
    </row>
    <row r="3726" spans="1:4" x14ac:dyDescent="0.2">
      <c r="A3726" s="5">
        <v>3665</v>
      </c>
      <c r="B3726" s="138">
        <f>'Tax Sched 23'!D13</f>
        <v>60249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62723</v>
      </c>
      <c r="C3728" s="2" t="s">
        <v>573</v>
      </c>
      <c r="D3728" s="2" t="str">
        <f t="shared" si="57"/>
        <v>Error?</v>
      </c>
    </row>
    <row r="3729" spans="1:4" x14ac:dyDescent="0.2">
      <c r="A3729" s="5">
        <v>3668</v>
      </c>
      <c r="B3729" s="138">
        <f>'Tax Sched 23'!E13</f>
        <v>62723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1680768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5901320</v>
      </c>
      <c r="C4122" s="2" t="s">
        <v>573</v>
      </c>
      <c r="D4122" s="2" t="str">
        <f t="shared" si="63"/>
        <v>Error?</v>
      </c>
    </row>
    <row r="4123" spans="1:4" x14ac:dyDescent="0.2">
      <c r="A4123" s="5">
        <v>4062</v>
      </c>
      <c r="B4123" s="138">
        <f>'Acct Summary 7-8'!D10</f>
        <v>706689</v>
      </c>
      <c r="C4123" s="2" t="s">
        <v>573</v>
      </c>
      <c r="D4123" s="2" t="str">
        <f t="shared" si="63"/>
        <v>Error?</v>
      </c>
    </row>
    <row r="4124" spans="1:4" x14ac:dyDescent="0.2">
      <c r="A4124" s="5">
        <v>4063</v>
      </c>
      <c r="B4124" s="138">
        <f>'Acct Summary 7-8'!E10</f>
        <v>2555042</v>
      </c>
      <c r="C4124" s="2" t="s">
        <v>573</v>
      </c>
      <c r="D4124" s="2" t="str">
        <f t="shared" si="63"/>
        <v>Error?</v>
      </c>
    </row>
    <row r="4125" spans="1:4" x14ac:dyDescent="0.2">
      <c r="A4125" s="5">
        <v>4064</v>
      </c>
      <c r="B4125" s="138">
        <f>'Acct Summary 7-8'!F10</f>
        <v>186861</v>
      </c>
      <c r="C4125" s="2" t="s">
        <v>573</v>
      </c>
      <c r="D4125" s="2" t="str">
        <f t="shared" si="63"/>
        <v>Error?</v>
      </c>
    </row>
    <row r="4126" spans="1:4" x14ac:dyDescent="0.2">
      <c r="A4126" s="5">
        <v>4065</v>
      </c>
      <c r="B4126" s="138">
        <f>'Acct Summary 7-8'!G10</f>
        <v>168218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91021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v>
      </c>
      <c r="C4130" s="2" t="s">
        <v>573</v>
      </c>
      <c r="D4130" s="2" t="str">
        <f t="shared" si="63"/>
        <v>Error?</v>
      </c>
    </row>
    <row r="4131" spans="1:4" x14ac:dyDescent="0.2">
      <c r="A4131" s="5">
        <v>4070</v>
      </c>
      <c r="B4131" s="138">
        <f>'Acct Summary 7-8'!C18</f>
        <v>1680768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5603708</v>
      </c>
      <c r="C4136" s="2" t="s">
        <v>573</v>
      </c>
      <c r="D4136" s="2" t="str">
        <f t="shared" si="63"/>
        <v>Error?</v>
      </c>
    </row>
    <row r="4137" spans="1:4" x14ac:dyDescent="0.2">
      <c r="A4137" s="5">
        <v>4076</v>
      </c>
      <c r="B4137" s="138">
        <f>'Acct Summary 7-8'!D19</f>
        <v>475974</v>
      </c>
      <c r="C4137" s="2" t="s">
        <v>573</v>
      </c>
      <c r="D4137" s="2" t="str">
        <f t="shared" si="63"/>
        <v>Error?</v>
      </c>
    </row>
    <row r="4138" spans="1:4" x14ac:dyDescent="0.2">
      <c r="A4138" s="5">
        <v>4077</v>
      </c>
      <c r="B4138" s="138">
        <f>'Acct Summary 7-8'!E19</f>
        <v>2617715</v>
      </c>
      <c r="C4138" s="2" t="s">
        <v>573</v>
      </c>
      <c r="D4138" s="2" t="str">
        <f t="shared" si="63"/>
        <v>Error?</v>
      </c>
    </row>
    <row r="4139" spans="1:4" x14ac:dyDescent="0.2">
      <c r="A4139" s="5">
        <v>4078</v>
      </c>
      <c r="B4139" s="138">
        <f>'Acct Summary 7-8'!F19</f>
        <v>172968</v>
      </c>
      <c r="C4139" s="2" t="s">
        <v>573</v>
      </c>
      <c r="D4139" s="2" t="str">
        <f t="shared" si="63"/>
        <v>Error?</v>
      </c>
    </row>
    <row r="4140" spans="1:4" x14ac:dyDescent="0.2">
      <c r="A4140" s="5">
        <v>4079</v>
      </c>
      <c r="B4140" s="138">
        <f>'Acct Summary 7-8'!G19</f>
        <v>140400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97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43759257</v>
      </c>
      <c r="C4171" s="2" t="s">
        <v>573</v>
      </c>
      <c r="D4171" s="2" t="str">
        <f t="shared" si="64"/>
        <v>Error?</v>
      </c>
    </row>
    <row r="4172" spans="1:4" x14ac:dyDescent="0.2">
      <c r="A4172" s="5">
        <v>4111</v>
      </c>
      <c r="B4172" s="138">
        <f>'Short-Term Long-Term Debt 24'!J49</f>
        <v>43699922</v>
      </c>
      <c r="C4172" s="2" t="s">
        <v>573</v>
      </c>
      <c r="D4172" s="2" t="str">
        <f t="shared" si="64"/>
        <v>Error?</v>
      </c>
    </row>
    <row r="4173" spans="1:4" x14ac:dyDescent="0.2">
      <c r="A4173" s="5">
        <v>4112</v>
      </c>
      <c r="B4173" s="138">
        <f>'Short-Term Long-Term Debt 24'!H49</f>
        <v>807787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12787</v>
      </c>
      <c r="D4210" s="2" t="str">
        <f t="shared" si="64"/>
        <v>Error?</v>
      </c>
    </row>
    <row r="4211" spans="1:4" x14ac:dyDescent="0.2">
      <c r="A4211" s="5">
        <v>4150</v>
      </c>
      <c r="B4211" s="138">
        <f>'Expenditures 15-22'!K206</f>
        <v>12787</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1980.0000000000002</v>
      </c>
      <c r="C4268" s="2" t="s">
        <v>573</v>
      </c>
      <c r="D4268" s="2" t="str">
        <f t="shared" si="65"/>
        <v>Error?</v>
      </c>
    </row>
    <row r="4269" spans="1:5" x14ac:dyDescent="0.2">
      <c r="A4269" s="12">
        <v>4208</v>
      </c>
      <c r="B4269" s="138">
        <f>'FP Info 3'!J16</f>
        <v>3725035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7846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70998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14775</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14775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2591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125445420</v>
      </c>
      <c r="D4995" s="2" t="str">
        <f t="shared" si="77"/>
        <v>Error?</v>
      </c>
    </row>
    <row r="4996" spans="1:4" x14ac:dyDescent="0.2">
      <c r="A4996" s="12">
        <v>4935</v>
      </c>
      <c r="B4996" s="138">
        <f>'FP Info 3'!H31</f>
        <v>8655733.9800000004</v>
      </c>
      <c r="D4996" s="2" t="str">
        <f t="shared" si="77"/>
        <v>Error?</v>
      </c>
    </row>
    <row r="4997" spans="1:4" x14ac:dyDescent="0.2">
      <c r="A4997" s="12">
        <v>4936</v>
      </c>
      <c r="B4997" s="138">
        <f>'FP Info 3'!H37</f>
        <v>43759257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60249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1940012</v>
      </c>
      <c r="D5061" s="2" t="str">
        <f t="shared" si="78"/>
        <v>Error?</v>
      </c>
    </row>
    <row r="5062" spans="1:4" x14ac:dyDescent="0.2">
      <c r="A5062" s="10">
        <v>5001</v>
      </c>
      <c r="D5062" s="2" t="str">
        <f t="shared" si="78"/>
        <v>OK</v>
      </c>
    </row>
    <row r="5063" spans="1:4" x14ac:dyDescent="0.2">
      <c r="A5063" s="5">
        <v>5002</v>
      </c>
      <c r="B5063" s="138">
        <f>'Revenues 9-14'!C7</f>
        <v>24100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2024361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131230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131230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5766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116475</v>
      </c>
      <c r="C5096" s="2" t="s">
        <v>573</v>
      </c>
      <c r="D5096" s="2" t="str">
        <f t="shared" si="78"/>
        <v>Error?</v>
      </c>
    </row>
    <row r="5097" spans="1:4" x14ac:dyDescent="0.2">
      <c r="A5097" s="5">
        <v>5036</v>
      </c>
      <c r="B5097" s="138">
        <f>'Revenues 9-14'!C77</f>
        <v>40764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34804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75568</v>
      </c>
      <c r="C5102" s="2" t="s">
        <v>573</v>
      </c>
      <c r="D5102" s="2" t="str">
        <f t="shared" si="78"/>
        <v>Error?</v>
      </c>
    </row>
    <row r="5103" spans="1:4" x14ac:dyDescent="0.2">
      <c r="A5103" s="5">
        <v>5042</v>
      </c>
      <c r="B5103" s="138">
        <f>'Revenues 9-14'!C84</f>
        <v>33574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16265</v>
      </c>
      <c r="D5111" s="2" t="str">
        <f t="shared" si="78"/>
        <v>Error?</v>
      </c>
    </row>
    <row r="5112" spans="1:4" x14ac:dyDescent="0.2">
      <c r="A5112" s="5">
        <v>5051</v>
      </c>
      <c r="B5112" s="138">
        <f>'Revenues 9-14'!C93</f>
        <v>49839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5633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1341</v>
      </c>
      <c r="D5119" s="2" t="str">
        <f t="shared" ref="D5119:D5182" si="79">IF(ISBLANK(B5119),"OK",IF(A5119-B5119=0,"OK","Error?"))</f>
        <v>Error?</v>
      </c>
    </row>
    <row r="5120" spans="1:4" x14ac:dyDescent="0.2">
      <c r="A5120" s="5">
        <v>5059</v>
      </c>
      <c r="B5120" s="138">
        <f>'Revenues 9-14'!C108</f>
        <v>199580</v>
      </c>
      <c r="C5120" s="2" t="s">
        <v>573</v>
      </c>
      <c r="D5120" s="2" t="str">
        <f t="shared" si="79"/>
        <v>Error?</v>
      </c>
    </row>
    <row r="5121" spans="1:4" x14ac:dyDescent="0.2">
      <c r="A5121" s="5">
        <v>5060</v>
      </c>
      <c r="B5121" s="138">
        <f>'Revenues 9-14'!C109</f>
        <v>2602819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1249231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1249231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1990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13314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13314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2063</v>
      </c>
      <c r="D5167" s="2" t="str">
        <f t="shared" si="79"/>
        <v>Error?</v>
      </c>
    </row>
    <row r="5168" spans="1:4" x14ac:dyDescent="0.2">
      <c r="A5168" s="5">
        <v>5107</v>
      </c>
      <c r="B5168" s="138">
        <f>'Revenues 9-14'!C148</f>
        <v>24464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44422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1293653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85424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15018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100442</v>
      </c>
      <c r="C5246" s="2" t="s">
        <v>573</v>
      </c>
      <c r="D5246" s="2" t="str">
        <f t="shared" si="80"/>
        <v>Error?</v>
      </c>
    </row>
    <row r="5247" spans="1:4" x14ac:dyDescent="0.2">
      <c r="A5247" s="5">
        <v>5186</v>
      </c>
      <c r="B5247" s="138">
        <f>'Revenues 9-14'!C200</f>
        <v>112081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112081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3468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3468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324080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324080</v>
      </c>
      <c r="C5326" s="2" t="s">
        <v>573</v>
      </c>
      <c r="D5326" s="2" t="str">
        <f t="shared" si="82"/>
        <v>Error?</v>
      </c>
    </row>
    <row r="5327" spans="1:5" x14ac:dyDescent="0.2">
      <c r="A5327" s="5">
        <v>5266</v>
      </c>
      <c r="B5327" s="138">
        <f>'Revenues 9-14'!C268</f>
        <v>4220552</v>
      </c>
      <c r="C5327" s="2" t="s">
        <v>573</v>
      </c>
      <c r="D5327" s="2" t="str">
        <f t="shared" si="82"/>
        <v>Error?</v>
      </c>
    </row>
    <row r="5328" spans="1:5" x14ac:dyDescent="0.2">
      <c r="A5328" s="5">
        <v>5267</v>
      </c>
      <c r="B5328" s="138">
        <f>'Revenues 9-14'!D5</f>
        <v>301244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301244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3598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3598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2135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2135</v>
      </c>
      <c r="C5355" s="2" t="s">
        <v>573</v>
      </c>
      <c r="D5355" s="2" t="str">
        <f t="shared" si="82"/>
        <v>Error?</v>
      </c>
    </row>
    <row r="5356" spans="1:4" x14ac:dyDescent="0.2">
      <c r="A5356" s="5">
        <v>5295</v>
      </c>
      <c r="B5356" s="138">
        <f>'Revenues 9-14'!D109</f>
        <v>306977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399712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399712</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399712</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706689</v>
      </c>
      <c r="C5508" s="2" t="s">
        <v>573</v>
      </c>
      <c r="D5508" s="2" t="str">
        <f t="shared" si="85"/>
        <v>Error?</v>
      </c>
    </row>
    <row r="5509" spans="1:4" x14ac:dyDescent="0.2">
      <c r="A5509" s="5">
        <v>5448</v>
      </c>
      <c r="B5509" s="138">
        <f>'Revenues 9-14'!E5</f>
        <v>2552651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2552651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2391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2391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2555042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2555042</v>
      </c>
      <c r="C5552" s="2" t="s">
        <v>573</v>
      </c>
      <c r="D5552" s="2" t="str">
        <f t="shared" si="85"/>
        <v>Error?</v>
      </c>
    </row>
    <row r="5553" spans="1:4" x14ac:dyDescent="0.2">
      <c r="A5553" s="5">
        <v>5492</v>
      </c>
      <c r="B5553" s="138">
        <f>'Revenues 9-14'!F5</f>
        <v>144597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144597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144905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10726</v>
      </c>
      <c r="D5615" s="2" t="str">
        <f t="shared" si="86"/>
        <v>Error?</v>
      </c>
    </row>
    <row r="5616" spans="1:4" x14ac:dyDescent="0.2">
      <c r="A5616" s="10">
        <v>5555</v>
      </c>
      <c r="D5616" s="2" t="str">
        <f t="shared" si="86"/>
        <v>OK</v>
      </c>
    </row>
    <row r="5617" spans="1:5" x14ac:dyDescent="0.2">
      <c r="A5617" s="5">
        <v>5556</v>
      </c>
      <c r="B5617" s="138">
        <f>'Revenues 9-14'!F153</f>
        <v>31230</v>
      </c>
      <c r="D5617" s="2" t="str">
        <f t="shared" si="86"/>
        <v>Error?</v>
      </c>
    </row>
    <row r="5618" spans="1:5" x14ac:dyDescent="0.2">
      <c r="A5618" s="5">
        <v>5557</v>
      </c>
      <c r="B5618" s="138">
        <f>'Revenues 9-14'!F155</f>
        <v>41956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41956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41956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186861</v>
      </c>
      <c r="C5720" s="2" t="s">
        <v>573</v>
      </c>
      <c r="D5720" s="2" t="str">
        <f t="shared" si="88"/>
        <v>Error?</v>
      </c>
    </row>
    <row r="5721" spans="1:4" x14ac:dyDescent="0.2">
      <c r="A5721" s="5">
        <v>5660</v>
      </c>
      <c r="B5721" s="138">
        <f>'Revenues 9-14'!G5</f>
        <v>79432</v>
      </c>
      <c r="D5721" s="2" t="str">
        <f t="shared" si="88"/>
        <v>Error?</v>
      </c>
    </row>
    <row r="5722" spans="1:4" x14ac:dyDescent="0.2">
      <c r="A5722" s="5">
        <v>5661</v>
      </c>
      <c r="B5722" s="138">
        <f>'Revenues 9-14'!G7</f>
        <v>0</v>
      </c>
      <c r="D5722" s="2" t="str">
        <f t="shared" si="88"/>
        <v>Error?</v>
      </c>
    </row>
    <row r="5723" spans="1:4" x14ac:dyDescent="0.2">
      <c r="A5723" s="5">
        <v>5662</v>
      </c>
      <c r="B5723" s="138">
        <f>'Revenues 9-14'!G8</f>
        <v>84409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163841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573</v>
      </c>
      <c r="D5730" s="2" t="str">
        <f t="shared" si="88"/>
        <v>Error?</v>
      </c>
    </row>
    <row r="5731" spans="1:4" x14ac:dyDescent="0.2">
      <c r="A5731" s="5">
        <v>5670</v>
      </c>
      <c r="B5731" s="138">
        <f>'Revenues 9-14'!G65</f>
        <v>377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168218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60249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60249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30772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30772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91021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v>
      </c>
      <c r="C6023" s="2" t="s">
        <v>573</v>
      </c>
      <c r="D6023" s="2" t="str">
        <f t="shared" si="93"/>
        <v>Error?</v>
      </c>
    </row>
    <row r="6024" spans="1:5" x14ac:dyDescent="0.2">
      <c r="A6024" s="5">
        <v>5963</v>
      </c>
      <c r="B6024" s="138">
        <f>'Revenues 9-14'!G109</f>
        <v>168218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91021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116475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18105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408.77800000000002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31500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113492</v>
      </c>
      <c r="D6124" s="2" t="str">
        <f t="shared" si="94"/>
        <v>Error?</v>
      </c>
      <c r="E6124" s="2" t="s">
        <v>190</v>
      </c>
    </row>
    <row r="6125" spans="1:5" x14ac:dyDescent="0.2">
      <c r="A6125">
        <v>6064</v>
      </c>
      <c r="B6125" s="138">
        <f>'Assets-Liab 5-6'!C25</f>
        <v>31500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113492</v>
      </c>
      <c r="D6215" s="2" t="str">
        <f t="shared" si="96"/>
        <v>Error?</v>
      </c>
      <c r="E6215" s="2" t="s">
        <v>190</v>
      </c>
    </row>
    <row r="6216" spans="1:5" x14ac:dyDescent="0.2">
      <c r="A6216">
        <v>6155</v>
      </c>
      <c r="B6216" s="138">
        <f>'Assets-Liab 5-6'!J41</f>
        <v>113492</v>
      </c>
      <c r="D6216" s="2" t="str">
        <f t="shared" si="96"/>
        <v>Error?</v>
      </c>
      <c r="E6216" s="2" t="s">
        <v>190</v>
      </c>
    </row>
    <row r="6217" spans="1:5" x14ac:dyDescent="0.2">
      <c r="A6217">
        <v>6156</v>
      </c>
      <c r="B6217" s="138">
        <f>'Assets-Liab 5-6'!J4</f>
        <v>81992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387618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387618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387618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335562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335562</v>
      </c>
      <c r="D6229" s="2" t="str">
        <f t="shared" si="96"/>
        <v>Error?</v>
      </c>
      <c r="E6229" s="2" t="s">
        <v>190</v>
      </c>
    </row>
    <row r="6230" spans="1:5" x14ac:dyDescent="0.2">
      <c r="A6230">
        <v>6169</v>
      </c>
      <c r="B6230" s="138">
        <f>'Acct Summary 7-8'!J20</f>
        <v>52056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28785</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52056</v>
      </c>
      <c r="D6263" s="2" t="str">
        <f t="shared" si="96"/>
        <v>Error?</v>
      </c>
      <c r="E6263" s="2" t="s">
        <v>190</v>
      </c>
    </row>
    <row r="6264" spans="1:5" x14ac:dyDescent="0.2">
      <c r="A6264">
        <v>6203</v>
      </c>
      <c r="B6264" s="138">
        <f>'Acct Summary 7-8'!J79</f>
        <v>61436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113492</v>
      </c>
      <c r="D6266" s="2" t="str">
        <f t="shared" si="96"/>
        <v>Error?</v>
      </c>
      <c r="E6266" s="2" t="s">
        <v>190</v>
      </c>
    </row>
    <row r="6267" spans="1:5" x14ac:dyDescent="0.2">
      <c r="A6267">
        <v>6206</v>
      </c>
      <c r="B6267" s="138">
        <f>'Acct Summary 7-8'!C82</f>
        <v>422612</v>
      </c>
      <c r="D6267" s="2" t="str">
        <f t="shared" si="96"/>
        <v>Error?</v>
      </c>
      <c r="E6267" s="2" t="s">
        <v>190</v>
      </c>
    </row>
    <row r="6268" spans="1:5" x14ac:dyDescent="0.2">
      <c r="A6268">
        <v>6207</v>
      </c>
      <c r="B6268" s="138">
        <f>'Acct Summary 7-8'!D82</f>
        <v>355715</v>
      </c>
      <c r="D6268" s="2" t="str">
        <f t="shared" si="96"/>
        <v>Error?</v>
      </c>
      <c r="E6268" s="2" t="s">
        <v>190</v>
      </c>
    </row>
    <row r="6269" spans="1:5" x14ac:dyDescent="0.2">
      <c r="A6269">
        <v>6208</v>
      </c>
      <c r="B6269" s="138">
        <f>'Acct Summary 7-8'!E82</f>
        <v>-62673</v>
      </c>
      <c r="D6269" s="2" t="str">
        <f t="shared" si="96"/>
        <v>Error?</v>
      </c>
      <c r="E6269" s="2" t="s">
        <v>190</v>
      </c>
    </row>
    <row r="6270" spans="1:5" x14ac:dyDescent="0.2">
      <c r="A6270">
        <v>6209</v>
      </c>
      <c r="B6270" s="138">
        <f>'Acct Summary 7-8'!F82</f>
        <v>13893</v>
      </c>
      <c r="D6270" s="2" t="str">
        <f t="shared" si="96"/>
        <v>Error?</v>
      </c>
      <c r="E6270" s="2" t="s">
        <v>190</v>
      </c>
    </row>
    <row r="6271" spans="1:5" x14ac:dyDescent="0.2">
      <c r="A6271">
        <v>6210</v>
      </c>
      <c r="B6271" s="138">
        <f>'Acct Summary 7-8'!G82</f>
        <v>27818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812236</v>
      </c>
      <c r="D6273" s="2" t="str">
        <f t="shared" si="97"/>
        <v>Error?</v>
      </c>
      <c r="E6273" s="2" t="s">
        <v>190</v>
      </c>
    </row>
    <row r="6274" spans="1:5" x14ac:dyDescent="0.2">
      <c r="A6274">
        <v>6213</v>
      </c>
      <c r="B6274" s="138">
        <f>'Acct Summary 7-8'!J82</f>
        <v>52056</v>
      </c>
      <c r="D6274" s="2" t="str">
        <f t="shared" si="97"/>
        <v>Error?</v>
      </c>
      <c r="E6274" s="2" t="s">
        <v>190</v>
      </c>
    </row>
    <row r="6275" spans="1:5" x14ac:dyDescent="0.2">
      <c r="A6275">
        <v>6214</v>
      </c>
      <c r="B6275" s="138">
        <f>'Acct Summary 7-8'!K82</f>
        <v>-96</v>
      </c>
      <c r="D6275" s="2" t="str">
        <f t="shared" si="97"/>
        <v>Error?</v>
      </c>
      <c r="E6275" s="2" t="s">
        <v>190</v>
      </c>
    </row>
    <row r="6276" spans="1:5" x14ac:dyDescent="0.2">
      <c r="A6276">
        <v>6215</v>
      </c>
      <c r="B6276" s="138">
        <f>'Acct Summary 7-8'!C83</f>
        <v>0.39106407864736015</v>
      </c>
      <c r="D6276" s="2" t="str">
        <f t="shared" si="97"/>
        <v>Error?</v>
      </c>
      <c r="E6276" s="2" t="s">
        <v>190</v>
      </c>
    </row>
    <row r="6277" spans="1:5" x14ac:dyDescent="0.2">
      <c r="A6277">
        <v>6216</v>
      </c>
      <c r="B6277" s="138">
        <f>'Acct Summary 7-8'!D83</f>
        <v>0.52832988257520619</v>
      </c>
      <c r="D6277" s="2" t="str">
        <f t="shared" si="97"/>
        <v>Error?</v>
      </c>
      <c r="E6277" s="2" t="s">
        <v>190</v>
      </c>
    </row>
    <row r="6278" spans="1:5" x14ac:dyDescent="0.2">
      <c r="A6278">
        <v>6217</v>
      </c>
      <c r="B6278" s="138">
        <f>'Acct Summary 7-8'!E83</f>
        <v>-1.0562568467177889</v>
      </c>
      <c r="D6278" s="2" t="str">
        <f t="shared" si="97"/>
        <v>Error?</v>
      </c>
      <c r="E6278" s="2" t="s">
        <v>190</v>
      </c>
    </row>
    <row r="6279" spans="1:5" x14ac:dyDescent="0.2">
      <c r="A6279">
        <v>6218</v>
      </c>
      <c r="B6279" s="138">
        <f>'Acct Summary 7-8'!F83</f>
        <v>0.19759073842302879</v>
      </c>
      <c r="D6279" s="2" t="str">
        <f t="shared" si="97"/>
        <v>Error?</v>
      </c>
      <c r="E6279" s="2" t="s">
        <v>190</v>
      </c>
    </row>
    <row r="6280" spans="1:5" x14ac:dyDescent="0.2">
      <c r="A6280">
        <v>6219</v>
      </c>
      <c r="B6280" s="138">
        <f>'Acct Summary 7-8'!G83</f>
        <v>0.24865251396648044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0.42731967956127231</v>
      </c>
      <c r="D6282" s="2" t="str">
        <f t="shared" si="97"/>
        <v>Error?</v>
      </c>
      <c r="E6282" s="2" t="s">
        <v>190</v>
      </c>
    </row>
    <row r="6283" spans="1:5" x14ac:dyDescent="0.2">
      <c r="A6283">
        <v>6222</v>
      </c>
      <c r="B6283" s="138">
        <f>'Acct Summary 7-8'!J83</f>
        <v>0.45867550135692381</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387208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387208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160885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30035</v>
      </c>
      <c r="D6339" s="2" t="str">
        <f t="shared" si="98"/>
        <v>Error?</v>
      </c>
      <c r="E6339" s="2" t="s">
        <v>190</v>
      </c>
    </row>
    <row r="6340" spans="1:5" x14ac:dyDescent="0.2">
      <c r="A6340">
        <v>6279</v>
      </c>
      <c r="B6340" s="138">
        <f>'Revenues 9-14'!C102</f>
        <v>1686</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387618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99222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9291</v>
      </c>
      <c r="D6880" s="2" t="str">
        <f t="shared" si="106"/>
        <v>Error?</v>
      </c>
    </row>
    <row r="6881" spans="1:4" x14ac:dyDescent="0.2">
      <c r="A6881">
        <v>6820</v>
      </c>
      <c r="B6881" s="138">
        <f>'Expenditures 15-22'!K22</f>
        <v>9291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10000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10000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48375</v>
      </c>
      <c r="D6987" s="2" t="str">
        <f t="shared" si="108"/>
        <v>Error?</v>
      </c>
    </row>
    <row r="6988" spans="1:4" x14ac:dyDescent="0.2">
      <c r="A6988">
        <v>6927</v>
      </c>
      <c r="B6988" s="138">
        <f>'Expenditures 15-22'!K88</f>
        <v>48375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21411</v>
      </c>
      <c r="D6993" s="2" t="str">
        <f t="shared" si="108"/>
        <v>Error?</v>
      </c>
    </row>
    <row r="6994" spans="1:4" x14ac:dyDescent="0.2">
      <c r="A6994">
        <v>6933</v>
      </c>
      <c r="B6994" s="138">
        <f>'Expenditures 15-22'!K91</f>
        <v>21411</v>
      </c>
      <c r="D6994" s="2" t="str">
        <f t="shared" si="108"/>
        <v>Error?</v>
      </c>
    </row>
    <row r="6995" spans="1:4" x14ac:dyDescent="0.2">
      <c r="A6995">
        <v>6934</v>
      </c>
      <c r="B6995" s="138">
        <f>'Expenditures 15-22'!H92</f>
        <v>69786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335562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387618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2395</v>
      </c>
      <c r="D7067" s="2" t="str">
        <f t="shared" si="109"/>
        <v>Error?</v>
      </c>
    </row>
    <row r="7068" spans="1:4" x14ac:dyDescent="0.2">
      <c r="A7068">
        <v>7007</v>
      </c>
      <c r="B7068" s="138">
        <f>'Expenditures 15-22'!K205</f>
        <v>2395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922</v>
      </c>
      <c r="D7079" s="2" t="str">
        <f t="shared" si="109"/>
        <v>Error?</v>
      </c>
    </row>
    <row r="7080" spans="1:4" x14ac:dyDescent="0.2">
      <c r="A7080">
        <v>7019</v>
      </c>
      <c r="B7080" s="138">
        <f>'Expenditures 15-22'!K226</f>
        <v>922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28404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28404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245929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17219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263148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5991</v>
      </c>
      <c r="D7198" s="2" t="str">
        <f t="shared" si="111"/>
        <v>Error?</v>
      </c>
    </row>
    <row r="7199" spans="1:4" x14ac:dyDescent="0.2">
      <c r="A7199">
        <v>7138</v>
      </c>
      <c r="B7199" s="138">
        <f>'Expenditures 15-22'!C330</f>
        <v>245929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89633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335562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245929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89633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335562</v>
      </c>
      <c r="D7224" s="2" t="str">
        <f t="shared" si="111"/>
        <v>Error?</v>
      </c>
    </row>
    <row r="7225" spans="1:4" x14ac:dyDescent="0.2">
      <c r="A7225">
        <v>7164</v>
      </c>
      <c r="B7225" s="138">
        <f>'Expenditures 15-22'!K343</f>
        <v>52056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73119</v>
      </c>
      <c r="D7263" s="2" t="str">
        <f t="shared" si="112"/>
        <v>Error?</v>
      </c>
    </row>
    <row r="7264" spans="1:4" x14ac:dyDescent="0.2">
      <c r="A7264">
        <f t="shared" si="113"/>
        <v>7203</v>
      </c>
      <c r="B7264" s="138">
        <f>'Expenditures 15-22'!D17</f>
        <v>24078</v>
      </c>
      <c r="D7264" s="2" t="str">
        <f t="shared" si="112"/>
        <v>Error?</v>
      </c>
    </row>
    <row r="7265" spans="1:5" x14ac:dyDescent="0.2">
      <c r="A7265">
        <f t="shared" si="113"/>
        <v>7204</v>
      </c>
      <c r="B7265" s="138">
        <f>'Expenditures 15-22'!E17</f>
        <v>478</v>
      </c>
      <c r="D7265" s="2" t="str">
        <f t="shared" si="112"/>
        <v>Error?</v>
      </c>
    </row>
    <row r="7266" spans="1:5" x14ac:dyDescent="0.2">
      <c r="A7266">
        <f t="shared" si="113"/>
        <v>7205</v>
      </c>
      <c r="B7266" s="138">
        <f>'Expenditures 15-22'!F17</f>
        <v>1547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719549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38019</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38019</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30035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24464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54499</v>
      </c>
      <c r="D7719" s="2" t="str">
        <f t="shared" si="126"/>
        <v>Error?</v>
      </c>
      <c r="E7719" s="2" t="s">
        <v>827</v>
      </c>
    </row>
    <row r="7720" spans="1:6" x14ac:dyDescent="0.2">
      <c r="A7720">
        <v>7659</v>
      </c>
      <c r="B7720" s="138">
        <f>'Rest Tax Levies-Tort Im 25'!H14</f>
        <v>24100</v>
      </c>
      <c r="D7720" s="2" t="str">
        <f t="shared" si="126"/>
        <v>Error?</v>
      </c>
      <c r="E7720" s="2" t="s">
        <v>827</v>
      </c>
    </row>
    <row r="7721" spans="1:6" x14ac:dyDescent="0.2">
      <c r="A7721">
        <v>7660</v>
      </c>
      <c r="B7721" s="138">
        <f>'Rest Tax Levies-Tort Im 25'!K14</f>
        <v>54499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125000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29'!D138</f>
        <v>17708</v>
      </c>
      <c r="D7797" s="2" t="str">
        <f t="shared" si="127"/>
        <v>Error?</v>
      </c>
      <c r="E7797" s="4" t="s">
        <v>1903</v>
      </c>
    </row>
    <row r="7798" spans="1:5" x14ac:dyDescent="0.2">
      <c r="A7798">
        <v>7737</v>
      </c>
      <c r="B7798" s="138">
        <f>'Contracts Paid in CY 29'!F138</f>
        <v>17708</v>
      </c>
      <c r="D7798" s="2" t="str">
        <f t="shared" si="127"/>
        <v>Error?</v>
      </c>
      <c r="E7798" s="4" t="s">
        <v>1903</v>
      </c>
    </row>
    <row r="7799" spans="1:5" x14ac:dyDescent="0.2">
      <c r="A7799">
        <v>7738</v>
      </c>
      <c r="B7799" s="138">
        <f>'Contracts Paid in CY 29'!G138</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1988</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HALL HSD 502</v>
      </c>
      <c r="B7" s="2404"/>
      <c r="C7" s="2404"/>
      <c r="D7" s="2405"/>
      <c r="E7" s="2406">
        <f>COVER!A13</f>
        <v>28006502017</v>
      </c>
      <c r="F7" s="2407"/>
      <c r="G7" s="2413" t="str">
        <f>COVER!T23</f>
        <v>066-004501</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 xml:space="preserve">HOPKINS &amp; ASSOCIATES, CPAS </v>
      </c>
      <c r="H9" s="2419"/>
      <c r="I9" s="2419"/>
      <c r="J9" s="2419"/>
      <c r="K9" s="2419"/>
      <c r="L9" s="2420"/>
    </row>
    <row r="10" spans="1:29" ht="13.5" customHeight="1" x14ac:dyDescent="0.2">
      <c r="A10" s="2393" t="str">
        <f>COVER!A38</f>
        <v>JESSE BRANDT</v>
      </c>
      <c r="B10" s="2394"/>
      <c r="C10" s="2394"/>
      <c r="D10" s="2394"/>
      <c r="E10" s="2394"/>
      <c r="F10" s="2395"/>
      <c r="G10" s="2387" t="str">
        <f>COVER!T17</f>
        <v>314 S MCCOY ST</v>
      </c>
      <c r="H10" s="2388"/>
      <c r="I10" s="2388"/>
      <c r="J10" s="2388"/>
      <c r="K10" s="2388"/>
      <c r="L10" s="2389"/>
    </row>
    <row r="11" spans="1:29" ht="13.5" customHeight="1" x14ac:dyDescent="0.2">
      <c r="A11" s="1184" t="s">
        <v>1519</v>
      </c>
      <c r="B11" s="1185"/>
      <c r="C11" s="1186"/>
      <c r="D11" s="1191"/>
      <c r="E11" s="1186"/>
      <c r="F11" s="1190"/>
      <c r="G11" s="2387" t="str">
        <f>COVER!T19</f>
        <v>GRANVILLE</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t="str">
        <f>COVER!T25</f>
        <v>KIM@HOPKINSOFFICE.COM</v>
      </c>
      <c r="J13" s="2400"/>
      <c r="K13" s="2400"/>
      <c r="L13" s="2401"/>
    </row>
    <row r="14" spans="1:29" ht="13.5" customHeight="1" x14ac:dyDescent="0.2">
      <c r="A14" s="2387" t="str">
        <f>COVER!A19</f>
        <v>800 W ERIE STREET</v>
      </c>
      <c r="B14" s="2388"/>
      <c r="C14" s="2388"/>
      <c r="D14" s="2388"/>
      <c r="E14" s="2388"/>
      <c r="F14" s="2389"/>
      <c r="G14" s="1195" t="s">
        <v>1185</v>
      </c>
      <c r="H14" s="1193"/>
      <c r="I14" s="1193"/>
      <c r="J14" s="1193"/>
      <c r="K14" s="1193"/>
      <c r="L14" s="1194"/>
    </row>
    <row r="15" spans="1:29" ht="13.5" customHeight="1" x14ac:dyDescent="0.2">
      <c r="A15" s="2387" t="str">
        <f>COVER!A21</f>
        <v>SPRING VALLEY</v>
      </c>
      <c r="B15" s="2388"/>
      <c r="C15" s="2388"/>
      <c r="D15" s="2388"/>
      <c r="E15" s="2388"/>
      <c r="F15" s="2389"/>
      <c r="G15" s="2384" t="str">
        <f>COVER!T15</f>
        <v>KIM BIRD</v>
      </c>
      <c r="H15" s="2385"/>
      <c r="I15" s="2385"/>
      <c r="J15" s="2385"/>
      <c r="K15" s="2385"/>
      <c r="L15" s="2386"/>
    </row>
    <row r="16" spans="1:29" ht="12.2" customHeight="1" x14ac:dyDescent="0.2">
      <c r="A16" s="2409">
        <f>COVER!A25</f>
        <v>61362</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815-339-6630</v>
      </c>
      <c r="H18" s="2404"/>
      <c r="I18" s="2404"/>
      <c r="J18" s="2404"/>
      <c r="K18" s="2403" t="str">
        <f>COVER!X21</f>
        <v>815-339-6643</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HALL HSD 502</v>
      </c>
      <c r="B1" s="2402"/>
      <c r="C1" s="2402"/>
      <c r="D1" s="2402"/>
    </row>
    <row r="2" spans="1:11" s="1212" customFormat="1" ht="12.75" x14ac:dyDescent="0.2">
      <c r="A2" s="2426">
        <f>'Single Audit Cover'!E7</f>
        <v>28006502017</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HALL HSD 502</v>
      </c>
      <c r="B1" s="2429"/>
      <c r="C1" s="2429"/>
      <c r="D1" s="2429"/>
      <c r="E1" s="2429"/>
    </row>
    <row r="2" spans="1:5" x14ac:dyDescent="0.2">
      <c r="A2" s="2430">
        <f>'Single Audit Cover'!E7</f>
        <v>28006502017</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324080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18105</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-70998</v>
      </c>
    </row>
    <row r="19" spans="1:4" ht="13.5" thickBot="1" x14ac:dyDescent="0.25">
      <c r="A19" s="1262" t="s">
        <v>1235</v>
      </c>
      <c r="D19" s="1263">
        <f>SUM(D10:D17)</f>
        <v>271187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271187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271187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HALL HSD 502</v>
      </c>
      <c r="C1" s="2433"/>
      <c r="D1" s="2433"/>
      <c r="E1" s="2433"/>
      <c r="F1" s="2433"/>
      <c r="G1" s="2433"/>
      <c r="H1" s="2433"/>
      <c r="I1" s="2433"/>
      <c r="J1" s="2433"/>
      <c r="K1" s="2433"/>
      <c r="L1" s="2433"/>
      <c r="M1" s="2433"/>
    </row>
    <row r="2" spans="2:14" ht="15" x14ac:dyDescent="0.2">
      <c r="B2" s="2434">
        <f>'Single Audit Cover'!E7</f>
        <v>28006502017</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HALL HSD 502</v>
      </c>
      <c r="B1" s="2446"/>
      <c r="C1" s="2446"/>
      <c r="D1" s="2446"/>
      <c r="E1" s="2446"/>
      <c r="F1" s="2446"/>
    </row>
    <row r="2" spans="1:7" ht="13.5" customHeight="1" x14ac:dyDescent="0.2">
      <c r="A2" s="2434">
        <f>'Single Audit Cover'!E7</f>
        <v>28006502017</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HALL HSD 502</v>
      </c>
      <c r="C1" s="2461"/>
      <c r="D1" s="2461"/>
      <c r="E1" s="2461"/>
      <c r="F1" s="2461"/>
      <c r="G1" s="2461"/>
      <c r="H1" s="2461"/>
      <c r="I1" s="2461"/>
      <c r="J1" s="1406"/>
    </row>
    <row r="2" spans="2:10" s="317" customFormat="1" ht="12.75" customHeight="1" x14ac:dyDescent="0.2">
      <c r="B2" s="2462">
        <f>'Single Audit Cover'!E7</f>
        <v>28006502017</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2070</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HALL HSD 502</v>
      </c>
      <c r="C1" s="2460"/>
      <c r="D1" s="2460"/>
      <c r="E1" s="2460"/>
      <c r="F1" s="2460"/>
      <c r="G1" s="2460"/>
      <c r="H1" s="2460"/>
      <c r="I1" s="2460"/>
      <c r="J1" s="2460"/>
      <c r="K1" s="2460"/>
      <c r="L1" s="1371"/>
      <c r="M1" s="1371"/>
    </row>
    <row r="2" spans="1:13" ht="12" customHeight="1" x14ac:dyDescent="0.2">
      <c r="B2" s="2462">
        <f>'Single Audit Cover'!E7</f>
        <v>28006502017</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HALL HSD 502</v>
      </c>
      <c r="C1" s="2483"/>
      <c r="D1" s="2483"/>
      <c r="E1" s="2483"/>
      <c r="F1" s="2483"/>
      <c r="G1" s="2483"/>
      <c r="H1" s="2483"/>
      <c r="I1" s="2483"/>
      <c r="J1" s="2483"/>
      <c r="K1" s="2483"/>
      <c r="L1" s="1449"/>
    </row>
    <row r="2" spans="1:12" ht="12.75" customHeight="1" x14ac:dyDescent="0.2">
      <c r="B2" s="2484">
        <f>'Single Audit Cover'!E7</f>
        <v>28006502017</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HALL HSD 502</v>
      </c>
      <c r="C1" s="2460"/>
      <c r="D1" s="2460"/>
      <c r="E1" s="1469"/>
    </row>
    <row r="2" spans="2:5" s="1279" customFormat="1" ht="12.75" customHeight="1" x14ac:dyDescent="0.2">
      <c r="B2" s="2462">
        <f>'Single Audit Cover'!E7</f>
        <v>28006502017</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openxmlformats.org/package/2006/metadata/core-properties"/>
    <ds:schemaRef ds:uri="4d435f69-8686-490b-bd6d-b153bf22ab50"/>
    <ds:schemaRef ds:uri="http://purl.org/dc/elements/1.1/"/>
    <ds:schemaRef ds:uri="d21dc803-237d-4c68-8692-8d731fd29118"/>
    <ds:schemaRef ds:uri="http://purl.org/dc/dcmitype/"/>
    <ds:schemaRef ds:uri="http://schemas.microsoft.com/office/infopath/2007/PartnerControls"/>
    <ds:schemaRef ds:uri="6ce3111e-7420-4802-b50a-75d4e9a0b980"/>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2019-09-18T19:33:27Z</cp:lastPrinted>
  <dcterms:created xsi:type="dcterms:W3CDTF">2003-10-29T19:06:34Z</dcterms:created>
  <dcterms:modified xsi:type="dcterms:W3CDTF">2019-10-23T20:16:37Z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