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3684E0D-A9C5-4C7C-B50B-0D01FA131230}" xr6:coauthVersionLast="36" xr6:coauthVersionMax="36" xr10:uidLastSave="{00000000-0000-0000-0000-000000000000}"/>
  <bookViews>
    <workbookView xWindow="1530" yWindow="30" windowWidth="33135" windowHeight="16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8" i="181" l="1"/>
  <c r="D27" i="181"/>
  <c r="D26" i="181"/>
  <c r="D25" i="181"/>
  <c r="D24" i="181"/>
  <c r="D23" i="181"/>
  <c r="D22" i="181"/>
  <c r="D21" i="181"/>
  <c r="D19" i="181"/>
  <c r="D18" i="181"/>
  <c r="D17" i="181"/>
  <c r="D13" i="11" l="1"/>
  <c r="D12" i="11"/>
  <c r="D8" i="11"/>
  <c r="D237" i="29"/>
  <c r="D280" i="29"/>
  <c r="D276" i="29"/>
  <c r="D268" i="29"/>
  <c r="D267" i="29"/>
  <c r="D266" i="29"/>
  <c r="D264" i="29"/>
  <c r="D259" i="29"/>
  <c r="D254" i="29"/>
  <c r="D246" i="29"/>
  <c r="D245" i="29"/>
  <c r="D241" i="29"/>
  <c r="D240" i="29"/>
  <c r="D236" i="29"/>
  <c r="D234" i="29"/>
  <c r="D233" i="29"/>
  <c r="D223" i="29"/>
  <c r="D219" i="29"/>
  <c r="D217" i="29"/>
  <c r="D216" i="29"/>
  <c r="D215" i="29"/>
  <c r="G207" i="5"/>
  <c r="G159" i="5"/>
  <c r="G65" i="5"/>
  <c r="J32" i="8"/>
  <c r="F124" i="29"/>
  <c r="C55" i="29"/>
  <c r="E49" i="29"/>
  <c r="D44" i="29"/>
  <c r="C39" i="3"/>
  <c r="M19" i="3"/>
  <c r="L4" i="3"/>
  <c r="H4" i="3"/>
  <c r="I4" i="3"/>
  <c r="G4" i="3"/>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E18" i="181"/>
  <c r="F42" i="181" l="1"/>
  <c r="G42" i="181" s="1"/>
  <c r="F41" i="181"/>
  <c r="G41" i="181" s="1"/>
  <c r="F32" i="181"/>
  <c r="G32" i="181" s="1"/>
  <c r="F28" i="181"/>
  <c r="G28" i="181" s="1"/>
  <c r="F26" i="181"/>
  <c r="G26" i="181" s="1"/>
  <c r="F24" i="181"/>
  <c r="G24" i="181" s="1"/>
  <c r="F19" i="181"/>
  <c r="G19" i="181" s="1"/>
  <c r="F18" i="181"/>
  <c r="G18" i="181" s="1"/>
  <c r="D140" i="181"/>
  <c r="D80" i="36" l="1"/>
  <c r="B7797" i="106"/>
  <c r="E140" i="181"/>
  <c r="E17" i="181"/>
  <c r="F17" i="181" s="1"/>
  <c r="E16" i="181"/>
  <c r="F16" i="181" l="1"/>
  <c r="G16" i="181" s="1"/>
  <c r="G17" i="181"/>
  <c r="G140" i="181" s="1"/>
  <c r="G40" i="108" l="1"/>
  <c r="B7799" i="106"/>
  <c r="F14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5" i="127"/>
  <c r="B66" i="127"/>
  <c r="D26" i="108"/>
  <c r="E26" i="108"/>
  <c r="F26" i="108"/>
  <c r="G26" i="108"/>
  <c r="E27" i="108"/>
  <c r="G27" i="108"/>
  <c r="E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D9" i="7"/>
  <c r="B1767" i="106" s="1"/>
  <c r="D1767" i="106" s="1"/>
  <c r="B5752" i="106"/>
  <c r="D5752" i="106" s="1"/>
  <c r="D17" i="7"/>
  <c r="B4104" i="106" s="1"/>
  <c r="D4104" i="106" s="1"/>
  <c r="F67" i="34" l="1"/>
  <c r="E30" i="108"/>
  <c r="D68" i="36"/>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170" i="5" l="1"/>
  <c r="B5778" i="106" s="1"/>
  <c r="D5778" i="106" s="1"/>
  <c r="B1381" i="106"/>
  <c r="D1381" i="106" s="1"/>
  <c r="F41" i="108"/>
  <c r="G43" i="108" s="1"/>
  <c r="D7256" i="106"/>
  <c r="D7251" i="106"/>
  <c r="D7250" i="106"/>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G6" i="4"/>
  <c r="B2604" i="106" s="1"/>
  <c r="D260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3576" i="106" l="1"/>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<sst xmlns="http://schemas.openxmlformats.org/spreadsheetml/2006/main" count="5114" uniqueCount="2120">
  <si>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</si>
  <si>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</si>
  <si>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</si>
  <si>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</si>
  <si>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</si>
  <si>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</si>
  <si>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</si>
  <si>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</si>
  <si>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</si>
  <si>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</si>
  <si>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</si>
  <si>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</si>
  <si>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</si>
  <si>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</si>
  <si>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</si>
  <si>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</si>
  <si>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</si>
  <si>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</si>
  <si>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</si>
  <si>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</si>
  <si>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</si>
  <si>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</si>
  <si>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</si>
  <si>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</si>
  <si>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</si>
  <si>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</si>
  <si>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</si>
  <si>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</si>
  <si>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</si>
  <si>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</si>
  <si>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</si>
  <si>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</si>
  <si>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</si>
  <si>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</si>
  <si>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</si>
  <si>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</si>
  <si>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</si>
  <si>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</si>
  <si>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</si>
  <si>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</si>
  <si>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</si>
  <si>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</si>
  <si>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</si>
  <si>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</si>
  <si>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</si>
  <si>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</si>
  <si>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</si>
  <si>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</si>
  <si>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</si>
  <si>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</si>
  <si>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</si>
  <si>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</si>
  <si>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</si>
  <si>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</si>
  <si>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</si>
  <si>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</si>
  <si>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</si>
  <si>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</si>
  <si>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</si>
  <si>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</si>
  <si>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</si>
  <si>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</si>
  <si>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</si>
  <si>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</si>
  <si>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</si>
  <si>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</si>
  <si>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</si>
  <si>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</si>
  <si>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</si>
  <si>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</si>
  <si>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</si>
  <si>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</si>
  <si>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</si>
  <si>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</si>
  <si>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</si>
  <si>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</si>
  <si>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</si>
  <si>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</si>
  <si>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</si>
  <si>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</si>
  <si>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</si>
  <si>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</si>
  <si>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</si>
  <si>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</si>
  <si>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</si>
  <si>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</si>
  <si>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</si>
  <si>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</si>
  <si>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</si>
  <si>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</si>
  <si>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</si>
  <si>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</si>
  <si>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</si>
  <si>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</si>
  <si>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</si>
  <si>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</si>
  <si>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</si>
  <si>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</si>
  <si>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</si>
  <si>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</si>
  <si>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</si>
  <si>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</si>
  <si>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</si>
  <si>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</si>
  <si>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</si>
  <si>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</si>
  <si>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</si>
  <si>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</si>
  <si>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</si>
  <si>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</si>
  <si>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</si>
  <si>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</si>
  <si>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</si>
  <si>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</si>
  <si>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</si>
  <si>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</si>
  <si>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</si>
  <si>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</si>
  <si>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</si>
  <si>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</si>
  <si>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</si>
  <si>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</si>
  <si>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</si>
  <si>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</si>
  <si>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</si>
  <si>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</si>
  <si>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</si>
  <si>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</si>
  <si>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</si>
  <si>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</si>
  <si>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</si>
  <si>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</si>
  <si>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</si>
  <si>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</si>
  <si>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</si>
  <si>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</si>
  <si>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</si>
  <si>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</si>
  <si>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</si>
  <si>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</si>
  <si>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</si>
  <si>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</si>
  <si>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</si>
  <si>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</si>
  <si>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</si>
  <si>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</si>
  <si>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</si>
  <si>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</si>
  <si>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</si>
  <si>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</si>
  <si>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</si>
  <si>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</si>
  <si>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</si>
  <si>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</si>
  <si>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</si>
  <si>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</si>
  <si>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</si>
  <si>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</si>
  <si>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</si>
  <si>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</si>
  <si>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</si>
  <si>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</si>
  <si>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</si>
  <si>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</si>
  <si>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</si>
  <si>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</si>
  <si>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</si>
  <si>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</si>
  <si>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</si>
  <si>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</si>
  <si>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</si>
  <si>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</si>
  <si>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</si>
  <si>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</si>
  <si>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</si>
  <si>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</si>
  <si>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</si>
  <si>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</si>
  <si>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</si>
  <si>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</si>
  <si>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</si>
  <si>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</si>
  <si>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</si>
  <si>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</si>
  <si>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</si>
  <si>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</si>
  <si>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</si>
  <si>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</si>
  <si>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</si>
  <si>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</si>
  <si>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</si>
  <si>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</si>
  <si>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</si>
  <si>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</si>
  <si>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</si>
  <si>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</si>
  <si>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</si>
  <si>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</si>
  <si>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</si>
  <si>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</si>
  <si>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</si>
  <si>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</si>
  <si>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</si>
  <si>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</si>
  <si>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</si>
  <si>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</si>
  <si>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</si>
  <si>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</si>
  <si>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</si>
  <si>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</si>
  <si>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</si>
  <si>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</si>
  <si>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</si>
  <si>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</si>
  <si>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</si>
  <si>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</si>
  <si>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</si>
  <si>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</si>
  <si>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</si>
  <si>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</si>
  <si>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</si>
  <si>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</si>
  <si>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</si>
  <si>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</si>
  <si>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</si>
  <si>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</si>
  <si>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</si>
  <si>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</si>
  <si>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</si>
  <si>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</si>
  <si>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</si>
  <si>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</si>
  <si>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</si>
  <si>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</si>
  <si>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</si>
  <si>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</si>
  <si>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</si>
  <si>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</si>
  <si>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</si>
  <si>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</si>
  <si>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</si>
  <si>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</si>
  <si>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</si>
  <si>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</si>
  <si>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</si>
  <si>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</si>
  <si>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</si>
  <si>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</si>
  <si>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</si>
  <si>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</si>
  <si>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</si>
  <si>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</si>
  <si>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</si>
  <si>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</si>
  <si>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</si>
  <si>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</si>
  <si>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</si>
  <si>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</si>
  <si>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</si>
  <si>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</si>
  <si>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</si>
  <si>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</si>
  <si>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</si>
  <si>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</si>
  <si>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</si>
  <si>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</si>
  <si>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</si>
  <si>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</si>
  <si>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</si>
  <si>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</si>
  <si>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</si>
  <si>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</si>
  <si>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</si>
  <si>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</si>
  <si>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</si>
  <si>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</si>
  <si>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</si>
  <si>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</si>
  <si>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</si>
  <si>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</si>
  <si>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</si>
  <si>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</si>
  <si>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</si>
  <si>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</si>
  <si>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</si>
  <si>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</si>
  <si>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</si>
  <si>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</si>
  <si>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</si>
  <si>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</si>
  <si>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</si>
  <si>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</si>
  <si>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</si>
  <si>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</si>
  <si>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</si>
  <si>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</si>
  <si>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</si>
  <si>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</si>
  <si>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</si>
  <si>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</si>
  <si>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</si>
  <si>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</si>
  <si>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</si>
  <si>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</si>
  <si>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</si>
  <si>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</si>
  <si>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</si>
  <si>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</si>
  <si>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</si>
  <si>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</si>
  <si>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</si>
  <si>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</si>
  <si>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</si>
  <si>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</si>
  <si>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</si>
  <si>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</si>
  <si>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</si>
  <si>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</si>
  <si>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</si>
  <si>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</si>
  <si>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</si>
  <si>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</si>
  <si>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</si>
  <si>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</si>
  <si>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</si>
  <si>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</si>
  <si>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</si>
  <si>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</si>
  <si>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</si>
  <si>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</si>
  <si>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</si>
  <si>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</si>
  <si>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</si>
  <si>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</si>
  <si>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</si>
  <si>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</si>
  <si>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</si>
  <si>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</si>
  <si>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</si>
  <si>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</si>
  <si>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</si>
  <si>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</si>
  <si>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</si>
  <si>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</si>
  <si>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</si>
  <si>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</si>
  <si>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</si>
  <si>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</si>
  <si>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</si>
  <si>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</si>
  <si>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</si>
  <si>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</si>
  <si>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</si>
  <si>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</si>
  <si>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</si>
  <si>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</si>
  <si>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</si>
  <si>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</si>
  <si>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</si>
  <si>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</si>
  <si>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</si>
  <si>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</si>
  <si>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</si>
  <si>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</si>
  <si>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</si>
  <si>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</si>
  <si>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</si>
  <si>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</si>
  <si>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</si>
  <si>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</si>
  <si>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</si>
  <si>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</si>
  <si>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</si>
  <si>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</si>
  <si>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</si>
  <si>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</si>
  <si>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</si>
  <si>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</si>
  <si>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</si>
  <si>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</si>
  <si>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</si>
  <si>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</si>
  <si>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</si>
  <si>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</si>
  <si>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</si>
  <si>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</si>
  <si>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</si>
  <si>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</si>
  <si>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</si>
  <si>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</si>
  <si>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</si>
  <si>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</si>
  <si>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</si>
  <si>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</si>
  <si>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</si>
  <si>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</si>
  <si>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</si>
  <si>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</si>
  <si>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</si>
  <si>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</si>
  <si>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</si>
  <si>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</si>
  <si>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</si>
  <si>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</si>
  <si>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</si>
  <si>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</si>
  <si>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</si>
  <si>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</si>
  <si>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</si>
  <si>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</si>
  <si>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</si>
  <si>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</si>
  <si>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</si>
  <si>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</si>
  <si>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</si>
  <si>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</si>
  <si>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</si>
  <si>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</si>
  <si>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</si>
  <si>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</si>
  <si>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</si>
  <si>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</si>
  <si>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</si>
  <si>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</si>
  <si>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</si>
  <si>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</si>
  <si>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</si>
  <si>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</si>
  <si>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</si>
  <si>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</si>
  <si>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</si>
  <si>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</si>
  <si>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</si>
  <si>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</si>
  <si>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</si>
  <si>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</si>
  <si>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</si>
  <si>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</si>
  <si>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</si>
  <si>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</si>
  <si>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</si>
  <si>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</si>
  <si>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</si>
  <si>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</si>
  <si>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</si>
  <si>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</si>
  <si>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</si>
  <si>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</si>
  <si>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</si>
  <si>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</si>
  <si>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</si>
  <si>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</si>
  <si>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</si>
  <si>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</si>
  <si>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</si>
  <si>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</si>
  <si>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</si>
  <si>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</si>
  <si>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</si>
  <si>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</si>
  <si>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</si>
  <si>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</si>
  <si>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</si>
  <si>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</si>
  <si>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</si>
  <si>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</si>
  <si>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</si>
  <si>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</si>
  <si>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</si>
  <si>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</si>
  <si>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</si>
  <si>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</si>
  <si>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</si>
  <si>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</si>
  <si>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</si>
  <si>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</si>
  <si>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</si>
  <si>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</si>
  <si>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</si>
  <si>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</si>
  <si>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</si>
  <si>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</si>
  <si>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</si>
  <si>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</si>
  <si>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</si>
  <si>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</si>
  <si>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</si>
  <si>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</si>
  <si>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</si>
  <si>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</si>
  <si>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</si>
  <si>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</si>
  <si>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</si>
  <si>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</si>
  <si>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</si>
  <si>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</si>
  <si>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</si>
  <si>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</si>
  <si>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</si>
  <si>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</si>
  <si>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</si>
  <si>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</si>
  <si>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</si>
  <si>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</si>
  <si>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</si>
  <si>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</si>
  <si>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</si>
  <si>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</si>
  <si>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</si>
  <si>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</si>
  <si>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</si>
  <si>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</si>
  <si>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</si>
  <si>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</si>
  <si>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</si>
  <si>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</si>
  <si>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</si>
  <si>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</si>
  <si>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</si>
  <si>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</si>
  <si>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</si>
  <si>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</si>
  <si>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</si>
  <si>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</si>
  <si>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</si>
  <si>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</si>
  <si>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</si>
  <si>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</si>
  <si>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</si>
  <si>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</si>
  <si>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</si>
  <si>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</si>
  <si>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</si>
  <si>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</si>
  <si>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</si>
  <si>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</si>
  <si>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</si>
  <si>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</si>
  <si>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</si>
  <si>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</si>
  <si>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</si>
  <si>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</si>
  <si>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</si>
  <si>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</si>
  <si>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</si>
  <si>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</si>
  <si>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</si>
  <si>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</si>
  <si>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</si>
  <si>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</si>
  <si>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</si>
  <si>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</si>
  <si>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</si>
  <si>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</si>
  <si>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</si>
  <si>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</si>
  <si>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</si>
  <si>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</si>
  <si>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</si>
  <si>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</si>
  <si>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</si>
  <si>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</si>
  <si>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</si>
  <si>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</si>
  <si>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</si>
  <si>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</si>
  <si>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</si>
  <si>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</si>
  <si>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</si>
  <si>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</si>
  <si>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</si>
  <si>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</si>
  <si>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</si>
  <si>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</si>
  <si>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</si>
  <si>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</si>
  <si>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</si>
  <si>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</si>
  <si>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</si>
  <si>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</si>
  <si>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</si>
  <si>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</si>
  <si>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</si>
  <si>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</si>
  <si>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</si>
  <si>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</si>
  <si>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</si>
  <si>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</si>
  <si>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</si>
  <si>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</si>
  <si>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</si>
  <si>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</si>
  <si>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</si>
  <si>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</si>
  <si>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</si>
  <si>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</si>
  <si>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</si>
  <si>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</si>
  <si>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</si>
  <si>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</si>
  <si>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</si>
  <si>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</si>
  <si>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</si>
  <si>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</si>
  <si>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</si>
  <si>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</si>
  <si>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</si>
  <si>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</si>
  <si>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</si>
  <si>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</si>
  <si>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</si>
  <si>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</si>
  <si>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</si>
  <si>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</si>
  <si>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</si>
  <si>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</si>
  <si>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</si>
  <si>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</si>
  <si>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</si>
  <si>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</si>
  <si>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</si>
  <si>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</si>
  <si>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</si>
  <si>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</si>
  <si>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</si>
  <si>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</si>
  <si>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</si>
  <si>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</si>
  <si>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</si>
  <si>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</si>
  <si>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</si>
  <si>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</si>
  <si>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</si>
  <si>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</si>
  <si>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</si>
  <si>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</si>
  <si>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</si>
  <si>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</si>
  <si>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</si>
  <si>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</si>
  <si>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</si>
  <si>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</si>
  <si>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</si>
  <si>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</si>
  <si>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</si>
  <si>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</si>
  <si>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</si>
  <si>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</si>
  <si>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</si>
  <si>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</si>
  <si>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</si>
  <si>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</si>
  <si>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</si>
  <si>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</si>
  <si>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</si>
  <si>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</si>
  <si>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</si>
  <si>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</si>
  <si>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</si>
  <si>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</si>
  <si>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</si>
  <si>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</si>
  <si>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</si>
  <si>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</si>
  <si>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</si>
  <si>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</si>
  <si>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</si>
  <si>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</si>
  <si>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</si>
  <si>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</si>
  <si>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</si>
  <si>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</si>
  <si>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</si>
  <si>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</si>
  <si>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</si>
  <si>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</si>
  <si>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</si>
  <si>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</si>
  <si>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</si>
  <si>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</si>
  <si>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</si>
  <si>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</si>
  <si>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</si>
  <si>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</si>
  <si>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</si>
  <si>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</si>
  <si>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</si>
  <si>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</si>
  <si>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</si>
  <si>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</si>
  <si>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</si>
  <si>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</si>
  <si>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</si>
  <si>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</si>
  <si>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</si>
  <si>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</si>
  <si>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</si>
  <si>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</si>
  <si>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</si>
  <si>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</si>
  <si>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</si>
  <si>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</si>
  <si>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</si>
  <si>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</si>
  <si>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</si>
  <si>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</si>
  <si>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</si>
  <si>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</si>
  <si>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</si>
  <si>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</si>
  <si>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</si>
  <si>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</si>
  <si>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</si>
  <si>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</si>
  <si>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</si>
  <si>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</si>
  <si>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</si>
  <si>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</si>
  <si>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</si>
  <si>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</si>
  <si>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</si>
  <si>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</si>
  <si>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</si>
  <si>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</si>
  <si>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</si>
  <si>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</si>
  <si>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</si>
  <si>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</si>
  <si>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</si>
  <si>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</si>
  <si>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</si>
  <si>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</si>
  <si>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</si>
  <si>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</si>
  <si>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</si>
  <si>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</si>
  <si>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</si>
  <si>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</si>
  <si>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</si>
  <si>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</si>
  <si>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</si>
  <si>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</si>
  <si>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</si>
  <si>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</si>
  <si>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</si>
  <si>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</si>
  <si>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</si>
  <si>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</si>
  <si>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</si>
  <si>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</si>
  <si>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</si>
  <si>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</si>
  <si>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</si>
  <si>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</si>
  <si>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</si>
  <si>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</si>
  <si>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</si>
  <si>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</si>
  <si>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</si>
  <si>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</si>
  <si>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</si>
  <si>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</si>
  <si>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</si>
  <si>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</si>
  <si>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</si>
  <si>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</si>
  <si>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</si>
  <si>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</si>
  <si>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</si>
  <si>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</si>
  <si>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</si>
  <si>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</si>
  <si>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</si>
  <si>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</si>
  <si>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</si>
  <si>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</si>
  <si>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</si>
  <si>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</si>
  <si>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</si>
  <si>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</si>
  <si>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</si>
  <si>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</si>
  <si>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</si>
  <si>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</si>
  <si>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</si>
  <si>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</si>
  <si>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</si>
  <si>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</si>
  <si>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</si>
  <si>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</si>
  <si>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</si>
  <si>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</si>
  <si>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</si>
  <si>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</si>
  <si>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</si>
  <si>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</si>
  <si>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</si>
  <si>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</si>
  <si>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</si>
  <si>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</si>
  <si>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</si>
  <si>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</si>
  <si>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</si>
  <si>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</si>
  <si>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</si>
  <si>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</si>
  <si>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</si>
  <si>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</si>
  <si>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</si>
  <si>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</si>
  <si>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</si>
  <si>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</si>
  <si>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</si>
  <si>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</si>
  <si>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</si>
  <si>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</si>
  <si>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</si>
  <si>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</si>
  <si>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</si>
  <si>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</si>
  <si>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</si>
  <si>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</si>
  <si>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</si>
  <si>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</si>
  <si>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</si>
  <si>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</si>
  <si>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</si>
  <si>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</si>
  <si>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</si>
  <si>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</si>
  <si>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</si>
  <si>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</si>
  <si>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</si>
  <si>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</si>
  <si>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</si>
  <si>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</si>
  <si>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</si>
  <si>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</si>
  <si>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</si>
  <si>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</si>
  <si>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</si>
  <si>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</si>
  <si>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</si>
  <si>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</si>
  <si>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</si>
  <si>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</si>
  <si>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</si>
  <si>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</si>
  <si>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</si>
  <si>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</si>
  <si>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</si>
  <si>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</si>
  <si>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</si>
  <si>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</si>
  <si>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</si>
  <si>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</si>
  <si>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</si>
  <si>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</si>
  <si>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</si>
  <si>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</si>
  <si>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</si>
  <si>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</si>
  <si>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</si>
  <si>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</si>
  <si>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</si>
  <si>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</si>
  <si>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</si>
  <si>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</si>
  <si>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</si>
  <si>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</si>
  <si>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</si>
  <si>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</si>
  <si>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</si>
  <si>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</si>
  <si>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</si>
  <si>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</si>
  <si>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</si>
  <si>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</si>
  <si>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</si>
  <si>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</si>
  <si>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</si>
  <si>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</si>
  <si>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</si>
  <si>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</si>
  <si>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</si>
  <si>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</si>
  <si>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</si>
  <si>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</si>
  <si>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</si>
  <si>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</si>
  <si>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</si>
  <si>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</si>
  <si>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</si>
  <si>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</si>
  <si>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</si>
  <si>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</si>
  <si>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</si>
  <si>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</si>
  <si>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</si>
  <si>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</si>
  <si>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</si>
  <si>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</si>
  <si>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</si>
  <si>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</si>
  <si>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</si>
  <si>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</si>
  <si>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</si>
  <si>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</si>
  <si>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</si>
  <si>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</si>
  <si>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</si>
  <si>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</si>
  <si>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</si>
  <si>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</si>
  <si>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</si>
  <si>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</si>
  <si>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</si>
  <si>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</si>
  <si>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</si>
  <si>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</si>
  <si>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</si>
  <si>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</si>
  <si>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</si>
  <si>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</si>
  <si>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</si>
  <si>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</si>
  <si>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</si>
  <si>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</si>
  <si>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</si>
  <si>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</si>
  <si>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</si>
  <si>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</si>
  <si>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</si>
  <si>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</si>
  <si>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</si>
  <si>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</si>
  <si>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</si>
  <si>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</si>
  <si>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</si>
  <si>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</si>
  <si>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</si>
  <si>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</si>
  <si>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</si>
  <si>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</si>
  <si>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</si>
  <si>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</si>
  <si>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</si>
  <si>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</si>
  <si>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</si>
  <si>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</si>
  <si>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</si>
  <si>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</si>
  <si>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</si>
  <si>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</si>
  <si>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</si>
  <si>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</si>
  <si>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</si>
  <si>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</si>
  <si>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</si>
  <si>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</si>
  <si>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</si>
  <si>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</si>
  <si>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</si>
  <si>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</si>
  <si>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</si>
  <si>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</si>
  <si>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</si>
  <si>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</si>
  <si>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</si>
  <si>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</si>
  <si>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</si>
  <si>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</si>
  <si>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</si>
  <si>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</si>
  <si>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</si>
  <si>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</si>
  <si>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</si>
  <si>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</si>
  <si>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</si>
  <si>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</si>
  <si>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</si>
  <si>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</si>
  <si>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</si>
  <si>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</si>
  <si>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</si>
  <si>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</si>
  <si>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</si>
  <si>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</si>
  <si>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</si>
  <si>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</si>
  <si>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</si>
  <si>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</si>
  <si>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</si>
  <si>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</si>
  <si>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</si>
  <si>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</si>
  <si>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</si>
  <si>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</si>
  <si>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</si>
  <si>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</si>
  <si>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</si>
  <si>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</si>
  <si>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</si>
  <si>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</si>
  <si>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</si>
  <si>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</si>
  <si>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</si>
  <si>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</si>
  <si>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</si>
  <si>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</si>
  <si>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</si>
  <si>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</si>
  <si>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</si>
  <si>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</si>
  <si>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</si>
  <si>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</si>
  <si>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</si>
  <si>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</si>
  <si>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</si>
  <si>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</si>
  <si>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</si>
  <si>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</si>
  <si>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</si>
  <si>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</si>
  <si>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</si>
  <si>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</si>
  <si>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</si>
  <si>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</si>
  <si>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</si>
  <si>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</si>
  <si>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</si>
  <si>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</si>
  <si>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</si>
  <si>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</si>
  <si>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</si>
  <si>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</si>
  <si>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</si>
  <si>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</si>
  <si>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</si>
  <si>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</si>
  <si>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</si>
  <si>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</si>
  <si>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</si>
  <si>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</si>
  <si>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</si>
  <si>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</si>
  <si>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</si>
  <si>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</si>
  <si>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</si>
  <si>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</si>
  <si>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</si>
  <si>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</si>
  <si>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</si>
  <si>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</si>
  <si>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</si>
  <si>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</si>
  <si>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</si>
  <si>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</si>
  <si>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</si>
  <si>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</si>
  <si>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</si>
  <si>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</si>
  <si>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</si>
  <si>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</si>
  <si>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</si>
  <si>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</si>
  <si>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</si>
  <si>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</si>
  <si>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</si>
  <si>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</si>
  <si>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</si>
  <si>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</si>
  <si>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</si>
  <si>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</si>
  <si>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</si>
  <si>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</si>
  <si>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</si>
  <si>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</si>
  <si>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</si>
  <si>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</si>
  <si>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</si>
  <si>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</si>
  <si>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</si>
  <si>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</si>
  <si>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</si>
  <si>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</si>
  <si>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</si>
  <si>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</si>
  <si>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</si>
  <si>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</si>
  <si>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</si>
  <si>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</si>
  <si>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</si>
  <si>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</si>
  <si>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</si>
  <si>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</si>
  <si>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</si>
  <si>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</si>
  <si>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</si>
  <si>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</si>
  <si>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</si>
  <si>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</si>
  <si>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</si>
  <si>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</si>
  <si>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</si>
  <si>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</si>
  <si>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</si>
  <si>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</si>
  <si>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</si>
  <si>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</si>
  <si>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</si>
  <si>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</si>
  <si>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</si>
  <si>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</si>
  <si>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</si>
  <si>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</si>
  <si>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</si>
  <si>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</si>
  <si>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</si>
  <si>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</si>
  <si>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</si>
  <si>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</si>
  <si>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</si>
  <si>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</si>
  <si>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</si>
  <si>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</si>
  <si>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</si>
  <si>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</si>
  <si>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</si>
  <si>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</si>
  <si>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</si>
  <si>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</si>
  <si>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</si>
  <si>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</si>
  <si>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</si>
  <si>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</si>
  <si>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</si>
  <si>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</si>
  <si>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</si>
  <si>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</si>
  <si>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</si>
  <si>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</si>
  <si>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</si>
  <si>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</si>
  <si>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</si>
  <si>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</si>
  <si>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</si>
  <si>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</si>
  <si>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</si>
  <si>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</si>
  <si>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</si>
  <si>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</si>
  <si>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</si>
  <si>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</si>
  <si>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</si>
  <si>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</si>
  <si>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</si>
  <si>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</si>
  <si>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</si>
  <si>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</si>
  <si>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</si>
  <si>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</si>
  <si>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</si>
  <si>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</si>
  <si>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</si>
  <si>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</si>
  <si>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</si>
  <si>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</si>
  <si>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</si>
  <si>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</si>
  <si>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</si>
  <si>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</si>
  <si>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</si>
  <si>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</si>
  <si>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</si>
  <si>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</si>
  <si>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</si>
  <si>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</si>
  <si>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</si>
  <si>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</si>
  <si>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</si>
  <si>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</si>
  <si>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</si>
  <si>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</si>
  <si>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</si>
  <si>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</si>
  <si>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</si>
  <si>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</si>
  <si>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</si>
  <si>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</si>
  <si>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</si>
  <si>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</si>
  <si>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</si>
  <si>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</si>
  <si>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</si>
  <si>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</si>
  <si>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</si>
  <si>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</si>
  <si>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</si>
  <si>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</si>
  <si>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</si>
  <si>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</si>
  <si>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</si>
  <si>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</si>
  <si>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</si>
  <si>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</si>
  <si>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</si>
  <si>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</si>
  <si>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</si>
  <si>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</si>
  <si>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</si>
  <si>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</si>
  <si>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</si>
  <si>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</si>
  <si>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</si>
  <si>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</si>
  <si>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</si>
  <si>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</si>
  <si>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</si>
  <si>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</si>
  <si>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</si>
  <si>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</si>
  <si>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</si>
  <si>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</si>
  <si>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</si>
  <si>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</si>
  <si>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</si>
  <si>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</si>
  <si>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</si>
  <si>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</si>
  <si>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</si>
  <si>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</si>
  <si>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</si>
  <si>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</si>
  <si>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</si>
  <si>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</si>
  <si>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</si>
  <si>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</si>
  <si>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</si>
  <si>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</si>
  <si>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</si>
  <si>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</si>
  <si>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</si>
  <si>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</si>
  <si>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</si>
  <si>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</si>
  <si>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</si>
  <si>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</si>
  <si>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</si>
  <si>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</si>
  <si>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</si>
  <si>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</si>
  <si>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</si>
  <si>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</si>
  <si>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</si>
  <si>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</si>
  <si>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</si>
  <si>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</si>
  <si>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</si>
  <si>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</si>
  <si>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</si>
  <si>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</si>
  <si>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</si>
  <si>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</si>
  <si>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</si>
  <si>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</si>
  <si>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</si>
  <si>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</si>
  <si>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</si>
  <si>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</si>
  <si>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</si>
  <si>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</si>
  <si>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</si>
  <si>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</si>
  <si>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</si>
  <si>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</si>
  <si>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</si>
  <si>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</si>
  <si>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</si>
  <si>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</si>
  <si>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</si>
  <si>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</si>
  <si>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</si>
  <si>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</si>
  <si>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</si>
  <si>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</si>
  <si>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</si>
  <si>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</si>
  <si>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</si>
  <si>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</si>
  <si>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</si>
  <si>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</si>
  <si>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</si>
  <si>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</si>
  <si>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</si>
  <si>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</si>
  <si>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</si>
  <si>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</si>
  <si>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</si>
  <si>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</si>
  <si>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</si>
  <si>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</si>
  <si>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</si>
  <si>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</si>
  <si>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</si>
  <si>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</si>
  <si>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</si>
  <si>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</si>
  <si>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</si>
  <si>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</si>
  <si>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</si>
  <si>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</si>
  <si>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</si>
  <si>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</si>
  <si>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</si>
  <si>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</si>
  <si>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</si>
  <si>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</si>
  <si>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</si>
  <si>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</si>
  <si>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</si>
  <si>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</si>
  <si>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</si>
  <si>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</si>
  <si>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</si>
  <si>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</si>
  <si>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</si>
  <si>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</si>
  <si>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</si>
  <si>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</si>
  <si>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</si>
  <si>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</si>
  <si>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</si>
  <si>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</si>
  <si>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</si>
  <si>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</si>
  <si>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</si>
  <si>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</si>
  <si>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</si>
  <si>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</si>
  <si>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</si>
  <si>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</si>
  <si>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</si>
  <si>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</si>
  <si>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</si>
  <si>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</si>
  <si>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</si>
  <si>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</si>
  <si>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</si>
  <si>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</si>
  <si>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</si>
  <si>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</si>
  <si>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</si>
  <si>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</si>
  <si>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</si>
  <si>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</si>
  <si>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</si>
  <si>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</si>
  <si>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</si>
  <si>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</si>
  <si>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</si>
  <si>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</si>
  <si>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</si>
  <si>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</si>
  <si>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</si>
  <si>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</si>
  <si>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</si>
  <si>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</si>
  <si>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</si>
  <si>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</si>
  <si>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</si>
  <si>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</si>
  <si>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</si>
  <si>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</si>
  <si>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</si>
  <si>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</si>
  <si>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</si>
  <si>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</si>
  <si>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</si>
  <si>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</si>
  <si>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</si>
  <si>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</si>
  <si>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</si>
  <si>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</si>
  <si>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</si>
  <si>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</si>
  <si>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</si>
  <si>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</si>
  <si>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</si>
  <si>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</si>
  <si>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</si>
  <si>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</si>
  <si>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</si>
  <si>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</si>
  <si>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</si>
  <si>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</si>
  <si>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</si>
  <si>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</si>
  <si>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</si>
  <si>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</si>
  <si>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</si>
  <si>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</si>
  <si>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</si>
  <si>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</si>
  <si>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</si>
  <si>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</si>
  <si>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</si>
  <si>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</si>
  <si>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</si>
  <si>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</si>
  <si>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</si>
  <si>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</si>
  <si>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</si>
  <si>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</si>
  <si>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</si>
  <si>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</si>
  <si>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</si>
  <si>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</si>
  <si>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</si>
  <si>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</si>
  <si>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</si>
  <si>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</si>
  <si>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</si>
  <si>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</si>
  <si>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</si>
  <si>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</si>
  <si>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</si>
  <si>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</si>
  <si>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</si>
  <si>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</si>
  <si>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</si>
  <si>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</si>
  <si>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</si>
  <si>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</si>
  <si>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</si>
  <si>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</si>
  <si>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</si>
  <si>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</si>
  <si>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</si>
  <si>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</si>
  <si>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</si>
  <si>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</si>
  <si>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</si>
  <si>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</si>
  <si>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</si>
  <si>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</si>
  <si>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</si>
  <si>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</si>
  <si>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</si>
  <si>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</si>
  <si>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</si>
  <si>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</si>
  <si>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</si>
  <si>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</si>
  <si>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</si>
  <si>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</si>
  <si>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</si>
  <si>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</si>
  <si>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</si>
  <si>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</si>
  <si>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</si>
  <si>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</si>
  <si>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</si>
  <si>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</si>
  <si>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</si>
  <si>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</si>
  <si>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</si>
  <si>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</si>
  <si>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</si>
  <si>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</si>
  <si>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</si>
  <si>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</si>
  <si>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</si>
  <si>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</si>
  <si>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</si>
  <si>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</si>
  <si>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</si>
  <si>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</si>
  <si>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</si>
  <si>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</si>
  <si>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</si>
  <si>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</si>
  <si>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</si>
  <si>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</si>
  <si>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</si>
  <si>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</si>
  <si>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</si>
  <si>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</si>
  <si>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</si>
  <si>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</si>
  <si>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</si>
  <si>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</si>
  <si>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</si>
  <si>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</si>
  <si>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</si>
  <si>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</si>
  <si>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</si>
  <si>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</si>
  <si>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</si>
  <si>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</si>
  <si>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</si>
  <si>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</si>
  <si>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</si>
  <si>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</si>
  <si>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</si>
  <si>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</si>
  <si>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</si>
  <si>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</si>
  <si>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</si>
  <si>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</si>
  <si>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</si>
  <si>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</si>
  <si>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</si>
  <si>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</si>
  <si>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</si>
  <si>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</si>
  <si>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</si>
  <si>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</si>
  <si>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</si>
  <si>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</si>
  <si>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</si>
  <si>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</si>
  <si>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</si>
  <si>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</si>
  <si>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</si>
  <si>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</si>
  <si>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</si>
  <si>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</si>
  <si>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</si>
  <si>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</si>
  <si>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</si>
  <si>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</si>
  <si>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</si>
  <si>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</si>
  <si>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</si>
  <si>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</si>
  <si>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</si>
  <si>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</si>
  <si>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</si>
  <si>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</si>
  <si>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</si>
  <si>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</si>
  <si>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</si>
  <si>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</si>
  <si>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</si>
  <si>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</si>
  <si>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</si>
  <si>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</si>
  <si>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</si>
  <si>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</si>
  <si>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</si>
  <si>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</si>
  <si>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</si>
  <si>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</si>
  <si>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</si>
  <si>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</si>
  <si>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</si>
  <si>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</si>
  <si>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</si>
  <si>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</si>
  <si>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</si>
  <si>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</si>
  <si>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</si>
  <si>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</si>
  <si>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</si>
  <si>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</si>
  <si>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</si>
  <si>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</si>
  <si>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</si>
  <si>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</si>
  <si>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</si>
  <si>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</si>
  <si>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</si>
  <si>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</si>
  <si>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</si>
  <si>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</si>
  <si>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</si>
  <si>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</si>
  <si>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</si>
  <si>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</si>
  <si>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</si>
  <si>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</si>
  <si>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</si>
  <si>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</si>
  <si>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</si>
  <si>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</si>
  <si>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</si>
  <si>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</si>
  <si>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</si>
  <si>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</si>
  <si>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</si>
  <si>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</si>
  <si>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</si>
  <si>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</si>
  <si>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</si>
  <si>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</si>
  <si>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</si>
  <si>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</si>
  <si>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</si>
  <si>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</si>
  <si>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</si>
  <si>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</si>
  <si>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</si>
  <si>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</si>
  <si>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</si>
  <si>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</si>
  <si>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</si>
  <si>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</si>
  <si>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</si>
  <si>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</si>
  <si>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</si>
  <si>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</si>
  <si>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</si>
  <si>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</si>
  <si>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</si>
  <si>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</si>
  <si>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</si>
  <si>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</si>
  <si>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</si>
  <si>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</si>
  <si>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</si>
  <si>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</si>
  <si>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</si>
  <si>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</si>
  <si>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</si>
  <si>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</si>
  <si>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</si>
  <si>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</si>
  <si>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</si>
  <si>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</si>
  <si>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</si>
  <si>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</si>
  <si>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</si>
  <si>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</si>
  <si>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</si>
  <si>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</si>
  <si>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</si>
  <si>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</si>
  <si>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</si>
  <si>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</si>
  <si>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</si>
  <si>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</si>
  <si>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</si>
  <si>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</si>
  <si>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</si>
  <si>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</si>
  <si>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</si>
  <si>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</si>
  <si>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</si>
  <si>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</si>
  <si>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</si>
  <si>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</si>
  <si>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</si>
  <si>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</si>
  <si>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</si>
  <si>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</si>
  <si>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</si>
  <si>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</si>
  <si>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</si>
  <si>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</si>
  <si>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</si>
  <si>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</si>
  <si>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</si>
  <si>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</si>
  <si>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</si>
  <si>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</si>
  <si>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</si>
  <si>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</si>
  <si>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</si>
  <si>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</si>
  <si>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</si>
  <si>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</si>
  <si>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</si>
  <si>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</si>
  <si>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</si>
  <si>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</si>
  <si>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</si>
  <si>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</si>
  <si>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</si>
  <si>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</si>
  <si>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</si>
  <si>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</si>
  <si>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</si>
  <si>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</si>
  <si>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</si>
  <si>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</si>
  <si>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</si>
  <si>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</si>
  <si>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</si>
  <si>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</si>
  <si>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</si>
  <si>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</si>
  <si>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</si>
  <si>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</si>
  <si>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</si>
  <si>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</si>
  <si>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</si>
  <si>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</si>
  <si>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</si>
  <si>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</si>
  <si>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</si>
  <si>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</si>
  <si>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</si>
  <si>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</si>
  <si>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</si>
  <si>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</si>
  <si>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</si>
  <si>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</si>
  <si>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</si>
  <si>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</si>
  <si>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</si>
  <si>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</si>
  <si>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</si>
  <si>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</si>
  <si>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</si>
  <si>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</si>
  <si>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</si>
  <si>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</si>
  <si>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</si>
  <si>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</si>
  <si>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</si>
  <si>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</si>
  <si>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</si>
  <si>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</si>
  <si>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</si>
  <si>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</si>
  <si>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</si>
  <si>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</si>
  <si>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</si>
  <si>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</si>
  <si>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</si>
  <si>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</si>
  <si>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</si>
  <si>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</si>
  <si>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</si>
  <si>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</si>
  <si>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</si>
  <si>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</si>
  <si>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</si>
  <si>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</si>
  <si>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</si>
  <si>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</si>
  <si>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</si>
  <si>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</si>
  <si>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</si>
  <si>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</si>
  <si>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</si>
  <si>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</si>
  <si>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</si>
  <si>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</si>
  <si>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</si>
  <si>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</si>
  <si>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</si>
  <si>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</si>
  <si>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</si>
  <si>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</si>
  <si>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</si>
  <si>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</si>
  <si>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</si>
  <si>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</si>
  <si>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</si>
  <si>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</si>
  <si>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</si>
  <si>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</si>
  <si>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</si>
  <si>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</si>
  <si>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</si>
  <si>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</si>
  <si>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</si>
  <si>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</si>
  <si>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</si>
  <si>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</si>
  <si>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</si>
  <si>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</si>
  <si>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</si>
  <si>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</si>
  <si>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</si>
  <si>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</si>
  <si>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</si>
  <si>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</si>
  <si>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</si>
  <si>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</si>
  <si>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</si>
  <si>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</si>
  <si>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</si>
  <si>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</si>
  <si>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</si>
  <si>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</si>
  <si>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</si>
  <si>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</si>
  <si>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</si>
  <si>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</si>
  <si>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</si>
  <si>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</si>
  <si>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</si>
  <si>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</si>
  <si>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</si>
  <si>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</si>
  <si>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</si>
  <si>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</si>
  <si>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</si>
  <si>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</si>
  <si>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</si>
  <si>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</si>
  <si>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</si>
  <si>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</si>
  <si>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</si>
  <si>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</si>
  <si>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</si>
  <si>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</si>
  <si>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</si>
  <si>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</si>
  <si>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</si>
  <si>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</si>
  <si>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</si>
  <si>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</si>
  <si>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</si>
  <si>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</si>
  <si>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</si>
  <si>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</si>
  <si>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</si>
  <si>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</si>
  <si>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</si>
  <si>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</si>
  <si>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</si>
  <si>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</si>
  <si>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</si>
  <si>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</si>
  <si>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</si>
  <si>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</si>
  <si>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</si>
  <si>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</si>
  <si>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</si>
  <si>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</si>
  <si>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</si>
  <si>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</si>
  <si>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</si>
  <si>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</si>
  <si>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</si>
  <si>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</si>
  <si>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</si>
  <si>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</si>
  <si>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</si>
  <si>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</si>
  <si>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</si>
  <si>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</si>
  <si>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</si>
  <si>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</si>
  <si>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</si>
  <si>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</si>
  <si>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</si>
  <si>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</si>
  <si>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</si>
  <si>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</si>
  <si>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</si>
  <si>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</si>
  <si>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</si>
  <si>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</si>
  <si>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</si>
  <si>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</si>
  <si>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</si>
  <si>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</si>
  <si>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</si>
  <si>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</si>
  <si>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</si>
  <si>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</si>
  <si>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</si>
  <si>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</si>
  <si>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</si>
  <si>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</si>
  <si>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</si>
  <si>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</si>
  <si>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</si>
  <si>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</si>
  <si>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</si>
  <si>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</si>
  <si>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</si>
  <si>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</si>
  <si>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</si>
  <si>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</si>
  <si>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</si>
  <si>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</si>
  <si>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</si>
  <si>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</si>
  <si>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</si>
  <si>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</si>
  <si>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</si>
  <si>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</si>
  <si>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</si>
  <si>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</si>
  <si>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</si>
  <si>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</si>
  <si>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</si>
  <si>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</si>
  <si>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</si>
  <si>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</si>
  <si>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</si>
  <si>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</si>
  <si>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</si>
  <si>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</si>
  <si>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</si>
  <si>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</si>
  <si>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</si>
  <si>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</si>
  <si>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</si>
  <si>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</si>
  <si>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</si>
  <si>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</si>
  <si>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</si>
  <si>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</si>
  <si>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</si>
  <si>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</si>
  <si>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</si>
  <si>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</si>
  <si>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</si>
  <si>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</si>
  <si>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</si>
  <si>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</si>
  <si>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</si>
  <si>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</si>
  <si>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</si>
  <si>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</si>
  <si>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</si>
  <si>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</si>
  <si>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</si>
  <si>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</si>
  <si>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</si>
  <si>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</si>
  <si>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</si>
  <si>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</si>
  <si>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</si>
  <si>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</si>
  <si>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</si>
  <si>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</si>
  <si>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</si>
  <si>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</si>
  <si>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</si>
  <si>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</si>
  <si>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</si>
  <si>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</si>
  <si>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</si>
  <si>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</si>
  <si>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</si>
  <si>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</si>
  <si>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</si>
  <si>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</si>
  <si>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</si>
  <si>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</si>
  <si>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</si>
  <si>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</si>
  <si>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</si>
  <si>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</si>
  <si>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</si>
  <si>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</si>
  <si>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</si>
  <si>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</si>
  <si>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</si>
  <si>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</si>
  <si>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</si>
  <si>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</si>
  <si>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</si>
  <si>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</si>
  <si>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</si>
  <si>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</si>
  <si>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</si>
  <si>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</si>
  <si>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</si>
  <si>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</si>
  <si>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</si>
  <si>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</si>
  <si>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</si>
  <si>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</si>
  <si>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</si>
  <si>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</si>
  <si>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</si>
  <si>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</si>
  <si>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</si>
  <si>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</si>
  <si>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</si>
  <si>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</si>
  <si>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</si>
  <si>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</si>
  <si>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</si>
  <si>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</si>
  <si>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</si>
  <si>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</si>
  <si>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</si>
  <si>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</si>
  <si>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</si>
  <si>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</si>
  <si>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</si>
  <si>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</si>
  <si>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</si>
  <si>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</si>
  <si>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</si>
  <si>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</si>
  <si>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</si>
  <si>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</si>
  <si>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</si>
  <si>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</si>
  <si>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</si>
  <si>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</si>
  <si>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</si>
  <si>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</si>
  <si>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</si>
  <si>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</si>
  <si>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</si>
  <si>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</si>
  <si>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</si>
  <si>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</si>
  <si>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</si>
  <si>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</si>
  <si>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</si>
  <si>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</si>
  <si>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</si>
  <si>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</si>
  <si>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</si>
  <si>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</si>
  <si>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</si>
  <si>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</si>
  <si>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</si>
  <si>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</si>
  <si>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</si>
  <si>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</si>
  <si>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</si>
  <si>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</si>
  <si>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</si>
  <si>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</si>
  <si>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</si>
  <si>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</si>
  <si>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</si>
  <si>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</si>
  <si>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</si>
  <si>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</si>
  <si>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</si>
  <si>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</si>
  <si>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</si>
  <si>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</si>
  <si>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</si>
  <si>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</si>
  <si>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</si>
  <si>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</si>
  <si>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</si>
  <si>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</si>
  <si>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</si>
  <si>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</si>
  <si>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</si>
  <si>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</si>
  <si>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</si>
  <si>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</si>
  <si>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</si>
  <si>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</si>
  <si>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</si>
  <si>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</si>
  <si>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</si>
  <si>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</si>
  <si>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</si>
  <si>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</si>
  <si>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</si>
  <si>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</si>
  <si>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</si>
  <si>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</si>
  <si>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</si>
  <si>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</si>
  <si>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</si>
  <si>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</si>
  <si>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</si>
  <si>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</si>
  <si>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</si>
  <si>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</si>
  <si>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</si>
  <si>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</si>
  <si>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</si>
  <si>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</si>
  <si>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</si>
  <si>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BUREAU</t>
  </si>
  <si>
    <t>PO BOX 289</t>
  </si>
  <si>
    <t>MANLIUS</t>
  </si>
  <si>
    <t>jstabler@bureauvalley.net</t>
  </si>
  <si>
    <t>JASON STABLER</t>
  </si>
  <si>
    <t>815-445-3101</t>
  </si>
  <si>
    <t>815-445-2802</t>
  </si>
  <si>
    <t>Taxable G.O. Bonds</t>
  </si>
  <si>
    <t>Taxable Building Bonds</t>
  </si>
  <si>
    <t>Building Bonds</t>
  </si>
  <si>
    <t>Bus Lease 1 Bus</t>
  </si>
  <si>
    <t>Capital Lease</t>
  </si>
  <si>
    <t>Bus Lease 9 Buses</t>
  </si>
  <si>
    <t>O&amp;M-Sup Svc - Bus - Purch Svc</t>
  </si>
  <si>
    <t>20-2540-300</t>
  </si>
  <si>
    <t>Regional Office of Education</t>
  </si>
  <si>
    <t>BMP Special Ed Coop</t>
  </si>
  <si>
    <t>Whiteside Area Vocational System</t>
  </si>
  <si>
    <t>Page 10 - Acct 1614 - Ed Fund - Sales to Pupils - Other $12,756 - Milk</t>
  </si>
  <si>
    <t>Page 10 - Acct 1690 - Ed Fund - Other Food Services - $12,358 - Catering</t>
  </si>
  <si>
    <t>Page 11 - Acct 1999 - Ed Fund - Sauk Valley Dual Credit Course &amp; Sub Reimb - $11,812</t>
  </si>
  <si>
    <t xml:space="preserve">                                       O&amp;M Fund - Mainly Erate reimb, Insurance Claims, Local Sales Tax - $26,777</t>
  </si>
  <si>
    <t xml:space="preserve">                                       Transport Fund - Small Misc - $50</t>
  </si>
  <si>
    <t>Page 12 - Acct 3299 - Ed Fund - VOC Forward Funding - $10,214</t>
  </si>
  <si>
    <t>Page 12 - Acct 3999 - Ed Fund - Library Per Capita Grant - $750</t>
  </si>
  <si>
    <t>Page 16 - Acct 4190 - Ed Fund - $4,500 - ROE</t>
  </si>
  <si>
    <t>Page 18 - Acct 5400 - Debt Service Fund - $900 - Bond Service Fees</t>
  </si>
  <si>
    <t>Page 14 - Acct 4999 - Ed Fund - Seed Grant - $3,072</t>
  </si>
  <si>
    <t>Page 15 - Acct 2190 - Ed Fund - $5,211 Salaries - $26 Supplies - Lunch &amp; Playground Monitors</t>
  </si>
  <si>
    <t>Page 19 - Acct 2190 - IMRF Fund - $235 - Benefits - Playground Monitors</t>
  </si>
  <si>
    <t>Long-Term Debt - We have included principal payments on a capital lease made out of the transportation fund.  This is causing</t>
  </si>
  <si>
    <t>an error on the diagnostics screen, but we believe it is correctly stated.</t>
  </si>
  <si>
    <t>Total Maintenance Inc (Maint)</t>
  </si>
  <si>
    <t>Alpha Controls &amp; Serv (Maint)</t>
  </si>
  <si>
    <t>Innovative Modular (Mod Classrooms)</t>
  </si>
  <si>
    <t>Vestas (Windmill Maint)</t>
  </si>
  <si>
    <t>Waste Management (Garbage)</t>
  </si>
  <si>
    <t>Republic Services (Garbage)</t>
  </si>
  <si>
    <t>AT&amp;T (Phone)</t>
  </si>
  <si>
    <t>Frontier (Phone)</t>
  </si>
  <si>
    <t>Mediacom (Internet)</t>
  </si>
  <si>
    <t>Comcast (Internet)</t>
  </si>
  <si>
    <t>Exterm (Pest Control)</t>
  </si>
  <si>
    <t>HS Metrofax (Fax)</t>
  </si>
  <si>
    <t>Bureau Valley CUSD 340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</si>
</sst>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F18" sqref="F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5" t="s">
        <v>405</v>
      </c>
      <c r="J1" s="2016"/>
      <c r="K1" s="2016"/>
      <c r="L1" s="2016"/>
      <c r="M1" s="2016"/>
      <c r="N1" s="2016"/>
      <c r="O1" s="2016"/>
      <c r="P1" s="2016"/>
      <c r="Q1" s="2016"/>
      <c r="R1" s="2016"/>
      <c r="S1" s="2016"/>
    </row>
    <row r="2" spans="1:28" ht="12" customHeight="1" x14ac:dyDescent="0.2">
      <c r="A2" s="47" t="s">
        <v>1992</v>
      </c>
      <c r="D2" s="48"/>
      <c r="I2" s="2017" t="s">
        <v>979</v>
      </c>
      <c r="J2" s="2016"/>
      <c r="K2" s="2016"/>
      <c r="L2" s="2016"/>
      <c r="M2" s="2016"/>
      <c r="N2" s="2016"/>
      <c r="O2" s="2016"/>
      <c r="P2" s="2016"/>
      <c r="Q2" s="2016"/>
      <c r="R2" s="2016"/>
      <c r="S2" s="2016"/>
    </row>
    <row r="3" spans="1:28" ht="12" customHeight="1" x14ac:dyDescent="0.2">
      <c r="A3" s="155" t="s">
        <v>1944</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2063</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28006340026</v>
      </c>
      <c r="B13" s="1986"/>
      <c r="C13" s="1986"/>
      <c r="D13" s="1986"/>
      <c r="E13" s="1986"/>
      <c r="F13" s="1986"/>
      <c r="G13" s="1986"/>
      <c r="H13" s="1987"/>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2075</v>
      </c>
      <c r="B15" s="1988"/>
      <c r="C15" s="1988"/>
      <c r="D15" s="1988"/>
      <c r="E15" s="1988"/>
      <c r="F15" s="1988"/>
      <c r="G15" s="1988"/>
      <c r="H15" s="1989"/>
      <c r="T15" s="1951" t="s">
        <v>2066</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2119</v>
      </c>
      <c r="B17" s="2013"/>
      <c r="C17" s="2013"/>
      <c r="D17" s="2013"/>
      <c r="E17" s="2013"/>
      <c r="F17" s="2013"/>
      <c r="G17" s="2013"/>
      <c r="H17" s="2014"/>
      <c r="T17" s="2000" t="s">
        <v>2067</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2076</v>
      </c>
      <c r="B19" s="1984"/>
      <c r="C19" s="1984"/>
      <c r="D19" s="1984"/>
      <c r="E19" s="1984"/>
      <c r="F19" s="1984"/>
      <c r="G19" s="1984"/>
      <c r="H19" s="1982"/>
      <c r="I19" s="30"/>
      <c r="J19" s="99"/>
      <c r="K19" s="40"/>
      <c r="L19" s="38"/>
      <c r="M19" s="112" t="s">
        <v>315</v>
      </c>
      <c r="P19" s="27"/>
      <c r="Q19" s="27"/>
      <c r="R19" s="27"/>
      <c r="S19" s="31"/>
      <c r="T19" s="1983" t="s">
        <v>2068</v>
      </c>
      <c r="U19" s="1981"/>
      <c r="V19" s="1981"/>
      <c r="W19" s="1982"/>
      <c r="X19" s="1998" t="s">
        <v>2069</v>
      </c>
      <c r="Y19" s="1999"/>
      <c r="Z19" s="1996">
        <v>61326</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2077</v>
      </c>
      <c r="B21" s="1981"/>
      <c r="C21" s="1981"/>
      <c r="D21" s="1981"/>
      <c r="E21" s="1981"/>
      <c r="F21" s="1981"/>
      <c r="G21" s="1981"/>
      <c r="H21" s="1982"/>
      <c r="I21" s="2006" t="s">
        <v>678</v>
      </c>
      <c r="J21" s="1969"/>
      <c r="K21" s="1969"/>
      <c r="L21" s="1969"/>
      <c r="M21" s="1969"/>
      <c r="N21" s="1969"/>
      <c r="O21" s="1969"/>
      <c r="P21" s="1969"/>
      <c r="Q21" s="1969"/>
      <c r="R21" s="1969"/>
      <c r="S21" s="1970"/>
      <c r="T21" s="1948" t="s">
        <v>2070</v>
      </c>
      <c r="U21" s="1949"/>
      <c r="V21" s="1949"/>
      <c r="W21" s="1949"/>
      <c r="X21" s="1962" t="s">
        <v>2071</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2078</v>
      </c>
      <c r="B23" s="2004"/>
      <c r="C23" s="2004"/>
      <c r="D23" s="2004"/>
      <c r="E23" s="2004"/>
      <c r="F23" s="2004"/>
      <c r="G23" s="2004"/>
      <c r="H23" s="2005"/>
      <c r="T23" s="1943" t="s">
        <v>2074</v>
      </c>
      <c r="U23" s="1944"/>
      <c r="V23" s="1944"/>
      <c r="W23" s="1944"/>
      <c r="X23" s="1959">
        <v>44530</v>
      </c>
      <c r="Y23" s="1960"/>
      <c r="Z23" s="1960"/>
      <c r="AA23" s="1961"/>
    </row>
    <row r="24" spans="1:27" ht="14.1" customHeight="1" x14ac:dyDescent="0.2">
      <c r="A24" s="88" t="s">
        <v>677</v>
      </c>
      <c r="B24" s="49"/>
      <c r="C24" s="49"/>
      <c r="D24" s="49"/>
      <c r="E24" s="49"/>
      <c r="F24" s="49"/>
      <c r="G24" s="49"/>
      <c r="H24" s="61"/>
      <c r="J24" s="2045" t="str">
        <f>IF(B5="x",IF(AUDITCHECK!D29="AFR form Incomplete.","",IF(AUDITCHECK!D29="Deficit reduction plan is required.","School District must complete a deficit reduction plan in the 2019-2020 Budget",)),"")</f>
        <v>School District must complete a deficit reduction plan in the 2019-2020 Budget</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61338</v>
      </c>
      <c r="B25" s="1981"/>
      <c r="C25" s="1981"/>
      <c r="D25" s="1981"/>
      <c r="E25" s="1981"/>
      <c r="F25" s="1981"/>
      <c r="G25" s="1981"/>
      <c r="H25" s="1982"/>
      <c r="I25" s="113"/>
      <c r="J25" s="2047"/>
      <c r="K25" s="2047"/>
      <c r="L25" s="2047"/>
      <c r="M25" s="2047"/>
      <c r="N25" s="2047"/>
      <c r="O25" s="2047"/>
      <c r="P25" s="2047"/>
      <c r="Q25" s="2047"/>
      <c r="R25" s="2047"/>
      <c r="S25" s="2048"/>
      <c r="T25" s="1940" t="s">
        <v>2072</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2079</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2078</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2080</v>
      </c>
      <c r="B42" s="2030"/>
      <c r="C42" s="2031"/>
      <c r="D42" s="2044" t="s">
        <v>2081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3883187</v>
      </c>
      <c r="C4" s="1524"/>
      <c r="D4" s="1752">
        <f>B4-C4</f>
        <v>3883187</v>
      </c>
      <c r="E4" s="1524">
        <v>4105823</v>
      </c>
      <c r="F4" s="1752">
        <f>E4-C4</f>
        <v>4105823</v>
      </c>
    </row>
    <row r="5" spans="1:6" ht="13.7" customHeight="1" x14ac:dyDescent="0.2">
      <c r="A5" s="715" t="s">
        <v>870</v>
      </c>
      <c r="B5" s="1750">
        <f>'Revenues 9-14'!D5</f>
        <v>706134</v>
      </c>
      <c r="C5" s="585"/>
      <c r="D5" s="1753">
        <f t="shared" ref="D5:D18" si="0">B5-C5</f>
        <v>706134</v>
      </c>
      <c r="E5" s="585">
        <v>759578</v>
      </c>
      <c r="F5" s="1753">
        <f>E5-C5</f>
        <v>759578</v>
      </c>
    </row>
    <row r="6" spans="1:6" ht="13.7" customHeight="1" x14ac:dyDescent="0.2">
      <c r="A6" s="715" t="s">
        <v>411</v>
      </c>
      <c r="B6" s="1750">
        <f>'Revenues 9-14'!E5</f>
        <v>260446</v>
      </c>
      <c r="C6" s="585"/>
      <c r="D6" s="1753">
        <f t="shared" si="0"/>
        <v>260446</v>
      </c>
      <c r="E6" s="585">
        <v>1315589</v>
      </c>
      <c r="F6" s="1753">
        <f t="shared" ref="F6:F18" si="1">E6-C6</f>
        <v>1315589</v>
      </c>
    </row>
    <row r="7" spans="1:6" ht="13.7" customHeight="1" x14ac:dyDescent="0.2">
      <c r="A7" s="715" t="s">
        <v>155</v>
      </c>
      <c r="B7" s="1750">
        <f>'Revenues 9-14'!F5</f>
        <v>353072</v>
      </c>
      <c r="C7" s="585"/>
      <c r="D7" s="1753">
        <f t="shared" si="0"/>
        <v>353072</v>
      </c>
      <c r="E7" s="585">
        <v>379789</v>
      </c>
      <c r="F7" s="1753">
        <f t="shared" si="1"/>
        <v>379789</v>
      </c>
    </row>
    <row r="8" spans="1:6" ht="13.7" customHeight="1" x14ac:dyDescent="0.2">
      <c r="A8" s="715" t="s">
        <v>1179</v>
      </c>
      <c r="B8" s="1750">
        <f>'Revenues 9-14'!G5</f>
        <v>229382</v>
      </c>
      <c r="C8" s="585"/>
      <c r="D8" s="1753">
        <f t="shared" si="0"/>
        <v>229382</v>
      </c>
      <c r="E8" s="585">
        <v>230000</v>
      </c>
      <c r="F8" s="1753">
        <f t="shared" si="1"/>
        <v>230000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70617</v>
      </c>
      <c r="C10" s="585"/>
      <c r="D10" s="1753">
        <f t="shared" si="0"/>
        <v>70617</v>
      </c>
      <c r="E10" s="585">
        <v>75958</v>
      </c>
      <c r="F10" s="1753">
        <f t="shared" si="1"/>
        <v>75958</v>
      </c>
    </row>
    <row r="11" spans="1:6" x14ac:dyDescent="0.2">
      <c r="A11" s="715" t="s">
        <v>409</v>
      </c>
      <c r="B11" s="1750">
        <f>'Revenues 9-14'!J5</f>
        <v>1074525</v>
      </c>
      <c r="C11" s="585"/>
      <c r="D11" s="1753">
        <f t="shared" si="0"/>
        <v>1074525</v>
      </c>
      <c r="E11" s="585">
        <v>1500015</v>
      </c>
      <c r="F11" s="1753">
        <f t="shared" si="1"/>
        <v>1500015</v>
      </c>
    </row>
    <row r="12" spans="1:6" ht="13.7" customHeight="1" x14ac:dyDescent="0.2">
      <c r="A12" s="715" t="s">
        <v>157</v>
      </c>
      <c r="B12" s="1750">
        <f>'Revenues 9-14'!K5</f>
        <v>70612</v>
      </c>
      <c r="C12" s="585"/>
      <c r="D12" s="1753">
        <f t="shared" si="0"/>
        <v>70612</v>
      </c>
      <c r="E12" s="585">
        <v>75958</v>
      </c>
      <c r="F12" s="1753">
        <f t="shared" si="1"/>
        <v>75958</v>
      </c>
    </row>
    <row r="13" spans="1:6" ht="13.7" customHeight="1" x14ac:dyDescent="0.2">
      <c r="A13" s="715" t="s">
        <v>936</v>
      </c>
      <c r="B13" s="1750">
        <f>SUM('Revenues 9-14'!C6:D6)</f>
        <v>70618</v>
      </c>
      <c r="C13" s="585"/>
      <c r="D13" s="1753">
        <f t="shared" si="0"/>
        <v>70618</v>
      </c>
      <c r="E13" s="585">
        <v>75958</v>
      </c>
      <c r="F13" s="1753">
        <f t="shared" si="1"/>
        <v>75958</v>
      </c>
    </row>
    <row r="14" spans="1:6" ht="13.7" customHeight="1" x14ac:dyDescent="0.2">
      <c r="A14" s="715" t="s">
        <v>410</v>
      </c>
      <c r="B14" s="1750">
        <f>SUM('Revenues 9-14'!C7:D7,'Revenues 9-14'!F7:H7)</f>
        <v>56495</v>
      </c>
      <c r="C14" s="585"/>
      <c r="D14" s="1753">
        <f t="shared" si="0"/>
        <v>56495</v>
      </c>
      <c r="E14" s="585">
        <v>60766</v>
      </c>
      <c r="F14" s="1753">
        <f t="shared" si="1"/>
        <v>60766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229497</v>
      </c>
      <c r="C16" s="585"/>
      <c r="D16" s="1753">
        <f t="shared" si="0"/>
        <v>229497</v>
      </c>
      <c r="E16" s="585">
        <v>250053</v>
      </c>
      <c r="F16" s="1753">
        <f t="shared" si="1"/>
        <v>250053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7004585</v>
      </c>
      <c r="C19" s="1751">
        <f>SUM(C4:C18)</f>
        <v>0</v>
      </c>
      <c r="D19" s="1751">
        <f>SUM(D4:D18)</f>
        <v>7004585</v>
      </c>
      <c r="E19" s="1751">
        <f>SUM(E4:E18)</f>
        <v>8829487</v>
      </c>
      <c r="F19" s="1751">
        <f>SUM(F4:F18)</f>
        <v>8829487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6"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1955</v>
      </c>
      <c r="D2" s="723" t="s">
        <v>1956</v>
      </c>
      <c r="E2" s="723" t="s">
        <v>1957</v>
      </c>
      <c r="F2" s="1884" t="s">
        <v>1958</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2082</v>
      </c>
      <c r="B31" s="733">
        <v>41122</v>
      </c>
      <c r="C31" s="734">
        <v>2920000</v>
      </c>
      <c r="D31" s="735">
        <v>1</v>
      </c>
      <c r="E31" s="734">
        <v>250000</v>
      </c>
      <c r="F31" s="734"/>
      <c r="G31" s="734"/>
      <c r="H31" s="734">
        <v>250000</v>
      </c>
      <c r="I31" s="1756">
        <f>((E31+F31)-H31)+G31</f>
        <v>0</v>
      </c>
      <c r="J31" s="734"/>
      <c r="K31" s="736"/>
    </row>
    <row r="32" spans="1:11" ht="12" customHeight="1" x14ac:dyDescent="0.2">
      <c r="A32" s="732" t="s">
        <v>2083</v>
      </c>
      <c r="B32" s="733">
        <v>43264</v>
      </c>
      <c r="C32" s="734">
        <v>2530000</v>
      </c>
      <c r="D32" s="735">
        <v>6</v>
      </c>
      <c r="E32" s="734">
        <v>2530000</v>
      </c>
      <c r="F32" s="734"/>
      <c r="G32" s="734"/>
      <c r="H32" s="734"/>
      <c r="I32" s="1756">
        <f>((E32+F32)-H32)+G32</f>
        <v>2530000</v>
      </c>
      <c r="J32" s="734">
        <f>2530000-128026-50</f>
        <v>2401924</v>
      </c>
      <c r="K32" s="736"/>
    </row>
    <row r="33" spans="1:11" ht="12" customHeight="1" x14ac:dyDescent="0.2">
      <c r="A33" s="732" t="s">
        <v>2084</v>
      </c>
      <c r="B33" s="733">
        <v>43264</v>
      </c>
      <c r="C33" s="734">
        <v>9470000</v>
      </c>
      <c r="D33" s="735">
        <v>6</v>
      </c>
      <c r="E33" s="734">
        <v>9470000</v>
      </c>
      <c r="F33" s="734"/>
      <c r="G33" s="734"/>
      <c r="H33" s="734"/>
      <c r="I33" s="1756">
        <f t="shared" ref="I33:I48" si="1">((E33+F33)-H33)+G33</f>
        <v>9470000</v>
      </c>
      <c r="J33" s="734">
        <v>9470000</v>
      </c>
      <c r="K33" s="736"/>
    </row>
    <row r="34" spans="1:11" ht="12" customHeight="1" x14ac:dyDescent="0.2">
      <c r="A34" s="732" t="s">
        <v>2085</v>
      </c>
      <c r="B34" s="733">
        <v>42917</v>
      </c>
      <c r="C34" s="734">
        <v>69735</v>
      </c>
      <c r="D34" s="735">
        <v>7</v>
      </c>
      <c r="E34" s="734">
        <v>47305</v>
      </c>
      <c r="F34" s="734"/>
      <c r="G34" s="734"/>
      <c r="H34" s="734">
        <v>23299</v>
      </c>
      <c r="I34" s="1756">
        <f t="shared" si="1"/>
        <v>24006</v>
      </c>
      <c r="J34" s="734">
        <v>24006</v>
      </c>
      <c r="K34" s="737"/>
    </row>
    <row r="35" spans="1:11" ht="12" customHeight="1" x14ac:dyDescent="0.2">
      <c r="A35" s="732" t="s">
        <v>2087</v>
      </c>
      <c r="B35" s="733">
        <v>43282</v>
      </c>
      <c r="C35" s="738">
        <v>297200</v>
      </c>
      <c r="D35" s="735">
        <v>7</v>
      </c>
      <c r="E35" s="738"/>
      <c r="F35" s="738">
        <v>297200</v>
      </c>
      <c r="G35" s="738"/>
      <c r="H35" s="738">
        <v>107607</v>
      </c>
      <c r="I35" s="1756">
        <f t="shared" si="1"/>
        <v>189593</v>
      </c>
      <c r="J35" s="738">
        <v>189593</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15286935</v>
      </c>
      <c r="D49" s="745"/>
      <c r="E49" s="1756">
        <f t="shared" ref="E49:J49" si="2">SUM(E31:E48)</f>
        <v>12297305</v>
      </c>
      <c r="F49" s="1756">
        <f t="shared" si="2"/>
        <v>297200</v>
      </c>
      <c r="G49" s="1756">
        <f t="shared" si="2"/>
        <v>0</v>
      </c>
      <c r="H49" s="1756">
        <f t="shared" si="2"/>
        <v>380906</v>
      </c>
      <c r="I49" s="1756">
        <f t="shared" si="2"/>
        <v>12213599</v>
      </c>
      <c r="J49" s="1756">
        <f t="shared" si="2"/>
        <v>12085523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2086</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B25" colorId="8" zoomScale="110" zoomScaleNormal="110" workbookViewId="0">
      <selection activeCell="H38" sqref="H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1963</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56495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10855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14654</v>
      </c>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56495</v>
      </c>
      <c r="I12" s="1758">
        <f>SUM(I5:I11)</f>
        <v>0</v>
      </c>
      <c r="J12" s="1758">
        <f>SUM(J5:J11)</f>
        <v>0</v>
      </c>
      <c r="K12" s="1758">
        <f>SUM(K5:K11)</f>
        <v>25509</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56495</v>
      </c>
      <c r="I14" s="771"/>
      <c r="J14" s="773"/>
      <c r="K14" s="765">
        <v>25509</v>
      </c>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56495</v>
      </c>
      <c r="I23" s="1758">
        <f>SUM(I14:I16,I21,I22)</f>
        <v>0</v>
      </c>
      <c r="J23" s="1758">
        <f>SUM(J14:J16,J21,J22)</f>
        <v>0</v>
      </c>
      <c r="K23" s="1758">
        <f>SUM(K14:K16,K21,K22)</f>
        <v>25509</v>
      </c>
    </row>
    <row r="24" spans="1:11" ht="14.25" thickTop="1" thickBot="1" x14ac:dyDescent="0.25">
      <c r="A24" s="2234" t="s">
        <v>1964</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754625</v>
      </c>
      <c r="D5" s="841"/>
      <c r="E5" s="841"/>
      <c r="F5" s="1760">
        <f>(C5+D5)-E5</f>
        <v>754625</v>
      </c>
      <c r="G5" s="837"/>
      <c r="H5" s="842"/>
      <c r="I5" s="842"/>
      <c r="J5" s="842"/>
      <c r="K5" s="793"/>
      <c r="L5" s="1769">
        <f>F5-K5</f>
        <v>754625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18186127</v>
      </c>
      <c r="D8" s="844">
        <f>14082+40009</f>
        <v>54091</v>
      </c>
      <c r="E8" s="844"/>
      <c r="F8" s="1760">
        <f>(C8+D8)-E8</f>
        <v>18240218</v>
      </c>
      <c r="G8" s="843">
        <v>50</v>
      </c>
      <c r="H8" s="765">
        <v>9295098</v>
      </c>
      <c r="I8" s="765">
        <v>313436</v>
      </c>
      <c r="J8" s="765"/>
      <c r="K8" s="1769">
        <f>(H8+I8)-J8</f>
        <v>9608534</v>
      </c>
      <c r="L8" s="1769">
        <f>F8-K8</f>
        <v>8631684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1878894</v>
      </c>
      <c r="D10" s="846"/>
      <c r="E10" s="846"/>
      <c r="F10" s="1764">
        <f>(C10+D10)-E10</f>
        <v>1878894</v>
      </c>
      <c r="G10" s="843">
        <v>20</v>
      </c>
      <c r="H10" s="847">
        <v>1501183</v>
      </c>
      <c r="I10" s="847">
        <v>72956</v>
      </c>
      <c r="J10" s="847"/>
      <c r="K10" s="1769">
        <f>(H10+I10)-J10</f>
        <v>1574139</v>
      </c>
      <c r="L10" s="1769">
        <f>F10-K10</f>
        <v>304755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1238557</v>
      </c>
      <c r="D12" s="844">
        <f>19550+2765+1871+42828+17824</f>
        <v>84838</v>
      </c>
      <c r="E12" s="844"/>
      <c r="F12" s="1760">
        <f>(C12+D12)-E12</f>
        <v>1323395</v>
      </c>
      <c r="G12" s="843">
        <v>10</v>
      </c>
      <c r="H12" s="765">
        <v>994605</v>
      </c>
      <c r="I12" s="765">
        <v>72533</v>
      </c>
      <c r="J12" s="765"/>
      <c r="K12" s="1769">
        <f>(H12+I12)-J12</f>
        <v>1067138</v>
      </c>
      <c r="L12" s="1769">
        <f>F12-K12</f>
        <v>256257</v>
      </c>
    </row>
    <row r="13" spans="1:14" ht="14.25" thickTop="1" thickBot="1" x14ac:dyDescent="0.25">
      <c r="A13" s="848" t="s">
        <v>1122</v>
      </c>
      <c r="B13" s="840">
        <v>252</v>
      </c>
      <c r="C13" s="844">
        <v>2876211</v>
      </c>
      <c r="D13" s="844">
        <f>19206+24496+46416+74072</f>
        <v>164190</v>
      </c>
      <c r="E13" s="844"/>
      <c r="F13" s="1760">
        <f>(C13+D13)-E13</f>
        <v>3040401</v>
      </c>
      <c r="G13" s="843">
        <v>5</v>
      </c>
      <c r="H13" s="765">
        <v>2448659</v>
      </c>
      <c r="I13" s="765">
        <v>168504</v>
      </c>
      <c r="J13" s="765"/>
      <c r="K13" s="1769">
        <f>(H13+I13)-J13</f>
        <v>2617163</v>
      </c>
      <c r="L13" s="1769">
        <f>F13-K13</f>
        <v>423238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714013</v>
      </c>
      <c r="D15" s="844">
        <v>9548486</v>
      </c>
      <c r="E15" s="844"/>
      <c r="F15" s="1760">
        <f>(C15+D15)-E15</f>
        <v>10262499</v>
      </c>
      <c r="G15" s="849" t="s">
        <v>862</v>
      </c>
      <c r="H15" s="781"/>
      <c r="I15" s="781"/>
      <c r="J15" s="781"/>
      <c r="K15" s="781"/>
      <c r="L15" s="1769">
        <f>F15-K15</f>
        <v>10262499</v>
      </c>
    </row>
    <row r="16" spans="1:14" ht="15" customHeight="1" thickTop="1" thickBot="1" x14ac:dyDescent="0.25">
      <c r="A16" s="1765" t="s">
        <v>643</v>
      </c>
      <c r="B16" s="1766">
        <v>200</v>
      </c>
      <c r="C16" s="1760">
        <f>SUM(C3,C5:C6,C8:C10,C12:C15)</f>
        <v>25648427</v>
      </c>
      <c r="D16" s="1760">
        <f>SUM(D3,D5:D6,D8:D10,D12:D15)</f>
        <v>9851605</v>
      </c>
      <c r="E16" s="1760">
        <f>SUM(E3,E5:E6,E8:E10,E12:E15)</f>
        <v>0</v>
      </c>
      <c r="F16" s="1760">
        <f>SUM(F3,F5:F6,F8:F10,F12:F15)</f>
        <v>35500032</v>
      </c>
      <c r="G16" s="843"/>
      <c r="H16" s="1760">
        <f>SUM(H3,H6,H8:H10,H12:H14,)</f>
        <v>14239545</v>
      </c>
      <c r="I16" s="1760">
        <f>SUM(I3,I6,I8:I10,I12:I14,)</f>
        <v>627429</v>
      </c>
      <c r="J16" s="1760">
        <f>SUM(J3,J6,J8:J10,J12:J14,)</f>
        <v>0</v>
      </c>
      <c r="K16" s="1760">
        <f>(H16+I16)-J16</f>
        <v>14866974</v>
      </c>
      <c r="L16" s="1760">
        <f>F16-K16</f>
        <v>20633058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627429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7"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9342697</v>
      </c>
      <c r="G8" s="865"/>
    </row>
    <row r="9" spans="1:7" x14ac:dyDescent="0.2">
      <c r="A9" s="869" t="s">
        <v>460</v>
      </c>
      <c r="B9" s="870" t="s">
        <v>1876</v>
      </c>
      <c r="C9" s="871"/>
      <c r="D9" s="869" t="s">
        <v>501</v>
      </c>
      <c r="E9" s="868"/>
      <c r="F9" s="1909">
        <f>'Expenditures 15-22'!K151</f>
        <v>1251968</v>
      </c>
      <c r="G9" s="872"/>
    </row>
    <row r="10" spans="1:7" x14ac:dyDescent="0.2">
      <c r="A10" s="869" t="s">
        <v>499</v>
      </c>
      <c r="B10" s="870" t="s">
        <v>1877</v>
      </c>
      <c r="C10" s="871"/>
      <c r="D10" s="869" t="s">
        <v>501</v>
      </c>
      <c r="E10" s="868"/>
      <c r="F10" s="1909">
        <f>'Expenditures 15-22'!K174</f>
        <v>255712</v>
      </c>
      <c r="G10" s="872"/>
    </row>
    <row r="11" spans="1:7" x14ac:dyDescent="0.2">
      <c r="A11" s="869" t="s">
        <v>461</v>
      </c>
      <c r="B11" s="870" t="s">
        <v>1878</v>
      </c>
      <c r="C11" s="871"/>
      <c r="D11" s="869" t="s">
        <v>501</v>
      </c>
      <c r="E11" s="868"/>
      <c r="F11" s="1909">
        <f>'Expenditures 15-22'!K210</f>
        <v>1189788</v>
      </c>
      <c r="G11" s="872"/>
    </row>
    <row r="12" spans="1:7" x14ac:dyDescent="0.2">
      <c r="A12" s="869" t="s">
        <v>462</v>
      </c>
      <c r="B12" s="870" t="s">
        <v>1879</v>
      </c>
      <c r="C12" s="871"/>
      <c r="D12" s="869" t="s">
        <v>501</v>
      </c>
      <c r="E12" s="868"/>
      <c r="F12" s="1909">
        <f>'Expenditures 15-22'!K295</f>
        <v>490884</v>
      </c>
      <c r="G12" s="872"/>
    </row>
    <row r="13" spans="1:7" x14ac:dyDescent="0.2">
      <c r="A13" s="869" t="s">
        <v>106</v>
      </c>
      <c r="B13" s="870" t="s">
        <v>1880</v>
      </c>
      <c r="C13" s="871"/>
      <c r="D13" s="869" t="s">
        <v>501</v>
      </c>
      <c r="E13" s="868"/>
      <c r="F13" s="1909">
        <f>'Expenditures 15-22'!K342</f>
        <v>1116767</v>
      </c>
      <c r="G13" s="873"/>
    </row>
    <row r="14" spans="1:7" ht="12" customHeight="1" thickBot="1" x14ac:dyDescent="0.25">
      <c r="A14" s="1770"/>
      <c r="B14" s="1771"/>
      <c r="C14" s="1772"/>
      <c r="D14" s="1773" t="s">
        <v>501</v>
      </c>
      <c r="E14" s="1774" t="s">
        <v>958</v>
      </c>
      <c r="F14" s="1775">
        <f>SUM(F8:F13)</f>
        <v>13647816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11980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200596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456665</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39594</v>
      </c>
      <c r="G52" s="865"/>
    </row>
    <row r="53" spans="1:7" x14ac:dyDescent="0.2">
      <c r="A53" s="869" t="s">
        <v>459</v>
      </c>
      <c r="B53" s="869" t="s">
        <v>1475</v>
      </c>
      <c r="C53" s="889">
        <f>'Expenditures 15-22'!B102</f>
        <v>4000</v>
      </c>
      <c r="D53" s="888" t="str">
        <f>'Expenditures 15-22'!A102</f>
        <v>Total Payments to Other Govt Units</v>
      </c>
      <c r="E53" s="868"/>
      <c r="F53" s="1913">
        <f>'Expenditures 15-22'!K102</f>
        <v>413286</v>
      </c>
      <c r="G53" s="865"/>
    </row>
    <row r="54" spans="1:7" x14ac:dyDescent="0.2">
      <c r="A54" s="869" t="s">
        <v>459</v>
      </c>
      <c r="B54" s="869" t="s">
        <v>1476</v>
      </c>
      <c r="C54" s="889" t="s">
        <v>982</v>
      </c>
      <c r="D54" s="885" t="s">
        <v>1095</v>
      </c>
      <c r="E54" s="868"/>
      <c r="F54" s="1913">
        <f>'Expenditures 15-22'!G114</f>
        <v>186505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9524</v>
      </c>
      <c r="G57" s="865"/>
    </row>
    <row r="58" spans="1:7" x14ac:dyDescent="0.2">
      <c r="A58" s="869" t="s">
        <v>460</v>
      </c>
      <c r="B58" s="869" t="s">
        <v>1882</v>
      </c>
      <c r="C58" s="886" t="s">
        <v>982</v>
      </c>
      <c r="D58" s="885" t="s">
        <v>1095</v>
      </c>
      <c r="E58" s="868"/>
      <c r="F58" s="1915">
        <f>'Expenditures 15-22'!G151</f>
        <v>58782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250000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130906</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7333</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4727</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1769898</v>
      </c>
      <c r="G76" s="865"/>
    </row>
    <row r="77" spans="1:8" s="893" customFormat="1" ht="12" customHeight="1" thickTop="1" thickBot="1" x14ac:dyDescent="0.25">
      <c r="A77" s="1779"/>
      <c r="B77" s="1776"/>
      <c r="C77" s="1772"/>
      <c r="D77" s="1777" t="s">
        <v>1899</v>
      </c>
      <c r="E77" s="1774"/>
      <c r="F77" s="1780">
        <f>(F14-F76)</f>
        <v>11877918</v>
      </c>
      <c r="G77" s="869"/>
    </row>
    <row r="78" spans="1:8" s="893" customFormat="1" ht="12" customHeight="1" thickTop="1" x14ac:dyDescent="0.2">
      <c r="A78" s="1781"/>
      <c r="B78" s="1776"/>
      <c r="C78" s="1772"/>
      <c r="D78" s="1777" t="s">
        <v>2061</v>
      </c>
      <c r="E78" s="1774"/>
      <c r="F78" s="898">
        <v>981.21600000000001</v>
      </c>
      <c r="G78" s="899"/>
      <c r="H78" s="869"/>
    </row>
    <row r="79" spans="1:8" s="893" customFormat="1" ht="12" customHeight="1" thickBot="1" x14ac:dyDescent="0.25">
      <c r="A79" s="1782"/>
      <c r="B79" s="1776"/>
      <c r="C79" s="1772"/>
      <c r="D79" s="1777" t="s">
        <v>1900</v>
      </c>
      <c r="E79" s="1774" t="s">
        <v>958</v>
      </c>
      <c r="F79" s="1783">
        <f>IF(F78&gt;0,F77/F78," Complete Line 78")</f>
        <v>12105.304030916739</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106</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245724</v>
      </c>
      <c r="G94" s="912"/>
    </row>
    <row r="95" spans="1:7" x14ac:dyDescent="0.2">
      <c r="A95" s="908" t="s">
        <v>140</v>
      </c>
      <c r="B95" s="908" t="s">
        <v>175</v>
      </c>
      <c r="C95" s="910">
        <v>1700</v>
      </c>
      <c r="D95" s="918" t="str">
        <f>'Revenues 9-14'!A82</f>
        <v>Total District/School Activity Income</v>
      </c>
      <c r="E95" s="906"/>
      <c r="F95" s="1789">
        <f>SUM('Revenues 9-14'!C82,'Revenues 9-14'!D82)</f>
        <v>108306</v>
      </c>
      <c r="G95" s="912"/>
    </row>
    <row r="96" spans="1:7" x14ac:dyDescent="0.2">
      <c r="A96" s="908" t="s">
        <v>459</v>
      </c>
      <c r="B96" s="908" t="s">
        <v>176</v>
      </c>
      <c r="C96" s="910">
        <f>'Revenues 9-14'!B84</f>
        <v>1811</v>
      </c>
      <c r="D96" s="911" t="str">
        <f>'Revenues 9-14'!A84</f>
        <v>Rentals - Regular Textbooks</v>
      </c>
      <c r="E96" s="906"/>
      <c r="F96" s="1789">
        <f>'Revenues 9-14'!C84</f>
        <v>54992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2050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130968</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67009</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4904</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14654</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719176</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1268</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291050</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187225</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35052</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2718</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17943</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10943</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119086</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3072</v>
      </c>
      <c r="G170" s="927"/>
    </row>
    <row r="171" spans="1:7" x14ac:dyDescent="0.2">
      <c r="A171" s="1918" t="s">
        <v>5</v>
      </c>
      <c r="B171" s="1919" t="s">
        <v>1919</v>
      </c>
      <c r="C171" s="1920">
        <v>3100</v>
      </c>
      <c r="D171" s="1921" t="s">
        <v>1921</v>
      </c>
      <c r="E171" s="906"/>
      <c r="F171" s="1906">
        <v>390275</v>
      </c>
      <c r="G171" s="927"/>
    </row>
    <row r="172" spans="1:7" x14ac:dyDescent="0.2">
      <c r="A172" s="1918" t="s">
        <v>664</v>
      </c>
      <c r="B172" s="1919" t="s">
        <v>1919</v>
      </c>
      <c r="C172" s="1920">
        <v>3300</v>
      </c>
      <c r="D172" s="1921" t="s">
        <v>1922</v>
      </c>
      <c r="E172" s="906"/>
      <c r="F172" s="1906">
        <v>38</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2406559</v>
      </c>
    </row>
    <row r="175" spans="1:7" ht="12" customHeight="1" x14ac:dyDescent="0.2">
      <c r="A175" s="1770"/>
      <c r="B175" s="1784"/>
      <c r="C175" s="1785"/>
      <c r="D175" s="1786" t="s">
        <v>2056</v>
      </c>
      <c r="E175" s="1787"/>
      <c r="F175" s="1789">
        <f>'PCTC-OEPP 27-28'!F77-F174</f>
        <v>9471359</v>
      </c>
    </row>
    <row r="176" spans="1:7" ht="12" customHeight="1" x14ac:dyDescent="0.2">
      <c r="A176" s="1770"/>
      <c r="B176" s="1784"/>
      <c r="C176" s="1785"/>
      <c r="D176" s="1786" t="s">
        <v>1817</v>
      </c>
      <c r="E176" s="1787"/>
      <c r="F176" s="1789">
        <f>'Cap Outlay Deprec 26'!I18</f>
        <v>627429</v>
      </c>
    </row>
    <row r="177" spans="1:7" ht="12" customHeight="1" x14ac:dyDescent="0.2">
      <c r="A177" s="1770"/>
      <c r="B177" s="1784"/>
      <c r="C177" s="1785"/>
      <c r="D177" s="1786" t="s">
        <v>2057</v>
      </c>
      <c r="E177" s="1787"/>
      <c r="F177" s="1789">
        <f>F175+F176</f>
        <v>10098788</v>
      </c>
    </row>
    <row r="178" spans="1:7" ht="12" customHeight="1" x14ac:dyDescent="0.2">
      <c r="A178" s="1770"/>
      <c r="B178" s="1790"/>
      <c r="C178" s="1785"/>
      <c r="D178" s="1786" t="str">
        <f>D78</f>
        <v>9 Month ADA from District Average Daily Attendance/Prior General State Aid Inquiry 2018-2019</v>
      </c>
      <c r="E178" s="1787"/>
      <c r="F178" s="1791">
        <f>'PCTC-OEPP 27-28'!F78</f>
        <v>981.21600000000001</v>
      </c>
      <c r="G178" s="930"/>
    </row>
    <row r="179" spans="1:7" ht="12" customHeight="1" thickBot="1" x14ac:dyDescent="0.25">
      <c r="A179" s="1770"/>
      <c r="B179" s="1790"/>
      <c r="C179" s="1785"/>
      <c r="D179" s="1786" t="s">
        <v>2058</v>
      </c>
      <c r="E179" s="1787" t="s">
        <v>1545</v>
      </c>
      <c r="F179" s="1792">
        <f>F177/F178</f>
        <v>10292.115089847699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0"/>
  <sheetViews>
    <sheetView showGridLines="0" topLeftCell="A4" zoomScaleNormal="100" workbookViewId="0">
      <selection activeCell="D29" sqref="D2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2088</v>
      </c>
      <c r="B17" s="1938" t="s">
        <v>2089</v>
      </c>
      <c r="C17" s="1939" t="s">
        <v>2107</v>
      </c>
      <c r="D17" s="1844">
        <f>3096+10897+327+713+723+1487+2080+1042+1679+5282+1031+819+4246+545+246+2434+706+436+1172+1825</f>
        <v>40786</v>
      </c>
      <c r="E17" s="1540">
        <f t="shared" ref="E17:E140" si="0">IF(D17&lt;=25000,D17,IF(D17&gt;25000,25000,0))</f>
        <v>25000</v>
      </c>
      <c r="F17" s="1932">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15786</v>
      </c>
      <c r="H17" s="1647"/>
    </row>
    <row r="18" spans="1:8" x14ac:dyDescent="0.25">
      <c r="A18" s="1937" t="s">
        <v>2088</v>
      </c>
      <c r="B18" s="1938" t="s">
        <v>2089</v>
      </c>
      <c r="C18" s="1939" t="s">
        <v>2108</v>
      </c>
      <c r="D18" s="1844">
        <f>361+345+749+230+620+420+690+840+827+2139+597+102</f>
        <v>7920</v>
      </c>
      <c r="E18" s="1540">
        <f t="shared" ref="E18:E139" si="2">IF(D18&lt;=25000,D18,IF(D18&gt;25000,25000,0))</f>
        <v>7920</v>
      </c>
      <c r="F18" s="1932">
        <f t="shared" si="1"/>
        <v>7920</v>
      </c>
      <c r="G18" s="1793">
        <f t="shared" ref="G18:G139" si="3">IF(F18=0,0,D18-F18)</f>
        <v>0</v>
      </c>
    </row>
    <row r="19" spans="1:8" x14ac:dyDescent="0.25">
      <c r="A19" s="1937" t="s">
        <v>2088</v>
      </c>
      <c r="B19" s="1938" t="s">
        <v>2089</v>
      </c>
      <c r="C19" s="1939" t="s">
        <v>2109</v>
      </c>
      <c r="D19" s="1844">
        <f>5957+5957+5957+5957+5957+5957+5957+5957+5957+5957+5957+5957</f>
        <v>71484</v>
      </c>
      <c r="E19" s="1540">
        <f t="shared" si="2"/>
        <v>25000</v>
      </c>
      <c r="F19" s="1932">
        <f t="shared" si="1"/>
        <v>25000</v>
      </c>
      <c r="G19" s="1793">
        <f t="shared" si="3"/>
        <v>46484</v>
      </c>
    </row>
    <row r="20" spans="1:8" x14ac:dyDescent="0.25">
      <c r="A20" s="1937" t="s">
        <v>2088</v>
      </c>
      <c r="B20" s="1938" t="s">
        <v>2089</v>
      </c>
      <c r="C20" s="1939" t="s">
        <v>2110</v>
      </c>
      <c r="D20" s="1844">
        <v>7673</v>
      </c>
      <c r="E20" s="1540">
        <f t="shared" si="2"/>
        <v>7673</v>
      </c>
      <c r="F20" s="1932">
        <f t="shared" si="1"/>
        <v>7673</v>
      </c>
      <c r="G20" s="1793">
        <f t="shared" si="3"/>
        <v>0</v>
      </c>
    </row>
    <row r="21" spans="1:8" x14ac:dyDescent="0.25">
      <c r="A21" s="1937" t="s">
        <v>2088</v>
      </c>
      <c r="B21" s="1938" t="s">
        <v>2089</v>
      </c>
      <c r="C21" s="1939" t="s">
        <v>2111</v>
      </c>
      <c r="D21" s="1844">
        <f>522.76*12</f>
        <v>6273.12</v>
      </c>
      <c r="E21" s="1540">
        <f t="shared" si="2"/>
        <v>6273.12</v>
      </c>
      <c r="F21" s="1932">
        <f t="shared" si="1"/>
        <v>6273.12</v>
      </c>
      <c r="G21" s="1793">
        <f t="shared" si="3"/>
        <v>0</v>
      </c>
    </row>
    <row r="22" spans="1:8" x14ac:dyDescent="0.25">
      <c r="A22" s="1937" t="s">
        <v>2088</v>
      </c>
      <c r="B22" s="1938" t="s">
        <v>2089</v>
      </c>
      <c r="C22" s="1939" t="s">
        <v>2117</v>
      </c>
      <c r="D22" s="1844">
        <f>73*12</f>
        <v>876</v>
      </c>
      <c r="E22" s="1540">
        <f t="shared" si="2"/>
        <v>876</v>
      </c>
      <c r="F22" s="1932">
        <f t="shared" si="1"/>
        <v>876</v>
      </c>
      <c r="G22" s="1793">
        <f t="shared" si="3"/>
        <v>0</v>
      </c>
    </row>
    <row r="23" spans="1:8" x14ac:dyDescent="0.25">
      <c r="A23" s="1937" t="s">
        <v>2088</v>
      </c>
      <c r="B23" s="1938" t="s">
        <v>2089</v>
      </c>
      <c r="C23" s="1939" t="s">
        <v>2112</v>
      </c>
      <c r="D23" s="1844">
        <f>1622+1647+1671+214+1465+1879+1686+1685+1675+1660+188+188+188+188+188+246+487+181+179</f>
        <v>17237</v>
      </c>
      <c r="E23" s="1540">
        <f t="shared" si="2"/>
        <v>17237</v>
      </c>
      <c r="F23" s="1932">
        <f t="shared" si="1"/>
        <v>17237</v>
      </c>
      <c r="G23" s="1793">
        <f t="shared" si="3"/>
        <v>0</v>
      </c>
    </row>
    <row r="24" spans="1:8" x14ac:dyDescent="0.25">
      <c r="A24" s="1937" t="s">
        <v>2088</v>
      </c>
      <c r="B24" s="1938" t="s">
        <v>2089</v>
      </c>
      <c r="C24" s="1939" t="s">
        <v>2113</v>
      </c>
      <c r="D24" s="1844">
        <f>60+61+60+61+60+61+60+61+60+61+60+61</f>
        <v>726</v>
      </c>
      <c r="E24" s="1540">
        <f t="shared" si="2"/>
        <v>726</v>
      </c>
      <c r="F24" s="1932">
        <f t="shared" si="1"/>
        <v>726</v>
      </c>
      <c r="G24" s="1793">
        <f t="shared" si="3"/>
        <v>0</v>
      </c>
    </row>
    <row r="25" spans="1:8" x14ac:dyDescent="0.25">
      <c r="A25" s="1937" t="s">
        <v>2088</v>
      </c>
      <c r="B25" s="1938" t="s">
        <v>2089</v>
      </c>
      <c r="C25" s="1939" t="s">
        <v>2114</v>
      </c>
      <c r="D25" s="1844">
        <f>2689+226+319+228+318+228+318+228+318+230+327+230+327+327+230+231+328+231+328+244+328+230+231+328+231+328+244+328+43+43+43+43+43+44+44+44+324+44+232+324+44+239+44+239+324+209+209+209+209+209+209+325+224+224+229+329+430+230+230+230+228+228+228+112+112+112+115+115+116+117+117+117+119+116+116</f>
        <v>18087</v>
      </c>
      <c r="E25" s="1540">
        <f t="shared" si="2"/>
        <v>18087</v>
      </c>
      <c r="F25" s="1932">
        <f t="shared" si="1"/>
        <v>18087</v>
      </c>
      <c r="G25" s="1793">
        <f t="shared" si="3"/>
        <v>0</v>
      </c>
    </row>
    <row r="26" spans="1:8" x14ac:dyDescent="0.25">
      <c r="A26" s="1937" t="s">
        <v>2088</v>
      </c>
      <c r="B26" s="1938" t="s">
        <v>2089</v>
      </c>
      <c r="C26" s="1939" t="s">
        <v>2118</v>
      </c>
      <c r="D26" s="1844">
        <f>96+96+96+96</f>
        <v>384</v>
      </c>
      <c r="E26" s="1540">
        <f t="shared" si="2"/>
        <v>384</v>
      </c>
      <c r="F26" s="1932">
        <f t="shared" si="1"/>
        <v>384</v>
      </c>
      <c r="G26" s="1793">
        <f t="shared" si="3"/>
        <v>0</v>
      </c>
    </row>
    <row r="27" spans="1:8" x14ac:dyDescent="0.25">
      <c r="A27" s="1937" t="s">
        <v>2088</v>
      </c>
      <c r="B27" s="1938" t="s">
        <v>2089</v>
      </c>
      <c r="C27" s="1939" t="s">
        <v>2115</v>
      </c>
      <c r="D27" s="1844">
        <f>444+436+444+437+437+437+437+437+445+437+445+445+414+414+414+414+415+415+407+415+415+407+415+415+414+414+414+415+829+407+415+415+407+415+415</f>
        <v>15201</v>
      </c>
      <c r="E27" s="1540">
        <f t="shared" si="2"/>
        <v>15201</v>
      </c>
      <c r="F27" s="1932">
        <f t="shared" si="1"/>
        <v>15201</v>
      </c>
      <c r="G27" s="1793">
        <f t="shared" si="3"/>
        <v>0</v>
      </c>
    </row>
    <row r="28" spans="1:8" x14ac:dyDescent="0.25">
      <c r="A28" s="1937" t="s">
        <v>2088</v>
      </c>
      <c r="B28" s="1938" t="s">
        <v>2089</v>
      </c>
      <c r="C28" s="1939" t="s">
        <v>2116</v>
      </c>
      <c r="D28" s="1844">
        <f>230+230+240+240+230+230+232+232+232+232+232+232</f>
        <v>2792</v>
      </c>
      <c r="E28" s="1540">
        <f t="shared" si="2"/>
        <v>2792</v>
      </c>
      <c r="F28" s="1932">
        <f t="shared" si="1"/>
        <v>2792</v>
      </c>
      <c r="G28" s="1793">
        <f t="shared" si="3"/>
        <v>0</v>
      </c>
    </row>
    <row r="29" spans="1:8" x14ac:dyDescent="0.25">
      <c r="A29" s="1937"/>
      <c r="B29" s="1938"/>
      <c r="C29" s="1654"/>
      <c r="D29" s="1844"/>
      <c r="E29" s="1540">
        <f t="shared" si="2"/>
        <v>0</v>
      </c>
      <c r="F29" s="1932">
        <f t="shared" si="1"/>
        <v>0</v>
      </c>
      <c r="G29" s="1793">
        <f t="shared" si="3"/>
        <v>0</v>
      </c>
    </row>
    <row r="30" spans="1:8" x14ac:dyDescent="0.25">
      <c r="A30" s="1937"/>
      <c r="B30" s="1938"/>
      <c r="C30" s="1654"/>
      <c r="D30" s="1844"/>
      <c r="E30" s="1540">
        <f t="shared" si="2"/>
        <v>0</v>
      </c>
      <c r="F30" s="1932">
        <f t="shared" si="1"/>
        <v>0</v>
      </c>
      <c r="G30" s="1793">
        <f t="shared" si="3"/>
        <v>0</v>
      </c>
    </row>
    <row r="31" spans="1:8" x14ac:dyDescent="0.25">
      <c r="A31" s="1937"/>
      <c r="B31" s="1938"/>
      <c r="C31" s="1654"/>
      <c r="D31" s="1844"/>
      <c r="E31" s="1540">
        <f t="shared" si="2"/>
        <v>0</v>
      </c>
      <c r="F31" s="1932">
        <f t="shared" si="1"/>
        <v>0</v>
      </c>
      <c r="G31" s="1793">
        <f t="shared" si="3"/>
        <v>0</v>
      </c>
    </row>
    <row r="32" spans="1:8" x14ac:dyDescent="0.25">
      <c r="A32" s="1937"/>
      <c r="B32" s="1938"/>
      <c r="C32" s="1654"/>
      <c r="D32" s="1844"/>
      <c r="E32" s="1540">
        <f t="shared" si="2"/>
        <v>0</v>
      </c>
      <c r="F32" s="1932">
        <f t="shared" si="1"/>
        <v>0</v>
      </c>
      <c r="G32" s="1793">
        <f t="shared" si="3"/>
        <v>0</v>
      </c>
    </row>
    <row r="33" spans="1:7" x14ac:dyDescent="0.25">
      <c r="A33" s="1937"/>
      <c r="B33" s="1938"/>
      <c r="C33" s="1654"/>
      <c r="D33" s="1844"/>
      <c r="E33" s="1540">
        <f t="shared" si="2"/>
        <v>0</v>
      </c>
      <c r="F33" s="1932">
        <f t="shared" si="1"/>
        <v>0</v>
      </c>
      <c r="G33" s="1793">
        <f t="shared" si="3"/>
        <v>0</v>
      </c>
    </row>
    <row r="34" spans="1:7" hidden="1"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5"/>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667"/>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5"/>
      <c r="B63" s="1667"/>
      <c r="C63" s="1656"/>
      <c r="D63" s="1844"/>
      <c r="E63" s="1540">
        <f t="shared" si="2"/>
        <v>0</v>
      </c>
      <c r="F63" s="1932">
        <f t="shared" si="1"/>
        <v>0</v>
      </c>
      <c r="G63" s="1793">
        <f t="shared" si="3"/>
        <v>0</v>
      </c>
    </row>
    <row r="64" spans="1:7" hidden="1" x14ac:dyDescent="0.25">
      <c r="A64" s="1653"/>
      <c r="B64" s="1667"/>
      <c r="C64" s="1654"/>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ref="E72:E83" si="4">IF(D72&lt;=25000,D72,IF(D72&gt;25000,25000,0))</f>
        <v>0</v>
      </c>
      <c r="F72" s="1932">
        <f t="shared" si="1"/>
        <v>0</v>
      </c>
      <c r="G72" s="1793">
        <f t="shared" ref="G72:G83" si="5">IF(F72=0,0,D72-F72)</f>
        <v>0</v>
      </c>
    </row>
    <row r="73" spans="1:7" hidden="1" x14ac:dyDescent="0.25">
      <c r="A73" s="1653"/>
      <c r="B73" s="1667"/>
      <c r="C73" s="1654"/>
      <c r="D73" s="1844"/>
      <c r="E73" s="1540">
        <f t="shared" si="4"/>
        <v>0</v>
      </c>
      <c r="F73" s="1932">
        <f t="shared" si="1"/>
        <v>0</v>
      </c>
      <c r="G73" s="1793">
        <f t="shared" si="5"/>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ref="F80:F139" si="6">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93">
        <f t="shared" si="5"/>
        <v>0</v>
      </c>
    </row>
    <row r="81" spans="1:7" hidden="1" x14ac:dyDescent="0.25">
      <c r="A81" s="1653"/>
      <c r="B81" s="1667"/>
      <c r="C81" s="1654"/>
      <c r="D81" s="1844"/>
      <c r="E81" s="1540">
        <f t="shared" si="4"/>
        <v>0</v>
      </c>
      <c r="F81" s="1932">
        <f t="shared" si="6"/>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2"/>
        <v>0</v>
      </c>
      <c r="F84" s="1932">
        <f t="shared" si="6"/>
        <v>0</v>
      </c>
      <c r="G84" s="1793">
        <f t="shared" si="3"/>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ref="E92" si="7">IF(D92&lt;=25000,D92,IF(D92&gt;25000,25000,0))</f>
        <v>0</v>
      </c>
      <c r="F92" s="1932">
        <f t="shared" si="6"/>
        <v>0</v>
      </c>
      <c r="G92" s="1793">
        <f t="shared" ref="G92" si="8">IF(F92=0,0,D92-F92)</f>
        <v>0</v>
      </c>
    </row>
    <row r="93" spans="1:7" hidden="1" x14ac:dyDescent="0.25">
      <c r="A93" s="1653"/>
      <c r="B93" s="1667"/>
      <c r="C93" s="1654"/>
      <c r="D93" s="1844"/>
      <c r="E93" s="1540">
        <f t="shared" si="2"/>
        <v>0</v>
      </c>
      <c r="F93" s="1932">
        <f t="shared" si="6"/>
        <v>0</v>
      </c>
      <c r="G93" s="1793">
        <f t="shared" si="3"/>
        <v>0</v>
      </c>
    </row>
    <row r="94" spans="1:7" hidden="1" x14ac:dyDescent="0.25">
      <c r="A94" s="1653"/>
      <c r="B94" s="1667"/>
      <c r="C94" s="1654"/>
      <c r="D94" s="1844"/>
      <c r="E94" s="1540">
        <f t="shared" ref="E94:E97" si="9">IF(D94&lt;=25000,D94,IF(D94&gt;25000,25000,0))</f>
        <v>0</v>
      </c>
      <c r="F94" s="1932">
        <f t="shared" si="6"/>
        <v>0</v>
      </c>
      <c r="G94" s="1793">
        <f t="shared" ref="G94:G97" si="10">IF(F94=0,0,D94-F94)</f>
        <v>0</v>
      </c>
    </row>
    <row r="95" spans="1:7" hidden="1" x14ac:dyDescent="0.25">
      <c r="A95" s="1653"/>
      <c r="B95" s="1667"/>
      <c r="C95" s="1654"/>
      <c r="D95" s="1844"/>
      <c r="E95" s="1540">
        <f t="shared" si="9"/>
        <v>0</v>
      </c>
      <c r="F95" s="1932">
        <f t="shared" si="6"/>
        <v>0</v>
      </c>
      <c r="G95" s="1793">
        <f t="shared" si="10"/>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ref="E98" si="11">IF(D98&lt;=25000,D98,IF(D98&gt;25000,25000,0))</f>
        <v>0</v>
      </c>
      <c r="F98" s="1932">
        <f t="shared" si="6"/>
        <v>0</v>
      </c>
      <c r="G98" s="1793">
        <f t="shared" ref="G98" si="12">IF(F98=0,0,D98-F98)</f>
        <v>0</v>
      </c>
    </row>
    <row r="99" spans="1:7" hidden="1" x14ac:dyDescent="0.25">
      <c r="A99" s="1653"/>
      <c r="B99" s="1667"/>
      <c r="C99" s="1654"/>
      <c r="D99" s="1844"/>
      <c r="E99" s="1540">
        <f t="shared" ref="E99:E111" si="13">IF(D99&lt;=25000,D99,IF(D99&gt;25000,25000,0))</f>
        <v>0</v>
      </c>
      <c r="F99" s="1932">
        <f t="shared" si="6"/>
        <v>0</v>
      </c>
      <c r="G99" s="1793">
        <f t="shared" ref="G99:G111" si="14">IF(F99=0,0,D99-F99)</f>
        <v>0</v>
      </c>
    </row>
    <row r="100" spans="1:7" hidden="1" x14ac:dyDescent="0.25">
      <c r="A100" s="1653"/>
      <c r="B100" s="1667"/>
      <c r="C100" s="1654"/>
      <c r="D100" s="1844"/>
      <c r="E100" s="1540">
        <f t="shared" si="13"/>
        <v>0</v>
      </c>
      <c r="F100" s="1932">
        <f t="shared" si="6"/>
        <v>0</v>
      </c>
      <c r="G100" s="1793">
        <f t="shared" si="14"/>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ref="E112:E124" si="15">IF(D112&lt;=25000,D112,IF(D112&gt;25000,25000,0))</f>
        <v>0</v>
      </c>
      <c r="F112" s="1932">
        <f t="shared" si="6"/>
        <v>0</v>
      </c>
      <c r="G112" s="1793">
        <f t="shared" ref="G112:G124" si="16">IF(F112=0,0,D112-F112)</f>
        <v>0</v>
      </c>
    </row>
    <row r="113" spans="1:7" hidden="1" x14ac:dyDescent="0.25">
      <c r="A113" s="1653"/>
      <c r="B113" s="1667"/>
      <c r="C113" s="1654"/>
      <c r="D113" s="1844"/>
      <c r="E113" s="1540">
        <f t="shared" si="15"/>
        <v>0</v>
      </c>
      <c r="F113" s="1932">
        <f t="shared" si="6"/>
        <v>0</v>
      </c>
      <c r="G113" s="1793">
        <f t="shared" si="16"/>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ref="E125:E133" si="17">IF(D125&lt;=25000,D125,IF(D125&gt;25000,25000,0))</f>
        <v>0</v>
      </c>
      <c r="F125" s="1932">
        <f t="shared" si="6"/>
        <v>0</v>
      </c>
      <c r="G125" s="1793">
        <f t="shared" ref="G125:G133" si="18">IF(F125=0,0,D125-F125)</f>
        <v>0</v>
      </c>
    </row>
    <row r="126" spans="1:7" hidden="1" x14ac:dyDescent="0.25">
      <c r="A126" s="1653"/>
      <c r="B126" s="1667"/>
      <c r="C126" s="1654"/>
      <c r="D126" s="1844"/>
      <c r="E126" s="1540">
        <f t="shared" si="17"/>
        <v>0</v>
      </c>
      <c r="F126" s="1932">
        <f t="shared" si="6"/>
        <v>0</v>
      </c>
      <c r="G126" s="1793">
        <f t="shared" si="18"/>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83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66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ref="E134:E138" si="19">IF(D134&lt;=25000,D134,IF(D134&gt;25000,25000,0))</f>
        <v>0</v>
      </c>
      <c r="F134" s="1932">
        <f t="shared" si="6"/>
        <v>0</v>
      </c>
      <c r="G134" s="1793">
        <f t="shared" ref="G134:G138" si="20">IF(F134=0,0,D134-F134)</f>
        <v>0</v>
      </c>
    </row>
    <row r="135" spans="1:7" hidden="1" x14ac:dyDescent="0.25">
      <c r="A135" s="1653"/>
      <c r="B135" s="1667"/>
      <c r="C135" s="1654"/>
      <c r="D135" s="1844"/>
      <c r="E135" s="1540">
        <f t="shared" si="19"/>
        <v>0</v>
      </c>
      <c r="F135" s="1932">
        <f t="shared" si="6"/>
        <v>0</v>
      </c>
      <c r="G135" s="1793">
        <f t="shared" si="20"/>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6"/>
      <c r="C139" s="1654"/>
      <c r="D139" s="1844"/>
      <c r="E139" s="1540">
        <f t="shared" si="2"/>
        <v>0</v>
      </c>
      <c r="F139" s="1932">
        <f t="shared" si="6"/>
        <v>0</v>
      </c>
      <c r="G139" s="1793">
        <f t="shared" si="3"/>
        <v>0</v>
      </c>
    </row>
    <row r="140" spans="1:7" x14ac:dyDescent="0.25">
      <c r="A140" s="1796" t="s">
        <v>156</v>
      </c>
      <c r="B140" s="1797"/>
      <c r="C140" s="1798"/>
      <c r="D140" s="1794">
        <f>SUM(D17:D139)</f>
        <v>189439.12</v>
      </c>
      <c r="E140" s="1541">
        <f t="shared" si="0"/>
        <v>25000</v>
      </c>
      <c r="F140" s="1933">
        <f>SUM(F17:F139)</f>
        <v>127169.12</v>
      </c>
      <c r="G140" s="1795">
        <f>SUM(G17:G139)</f>
        <v>62270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44320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6792492</v>
      </c>
      <c r="F19" s="1799"/>
      <c r="G19" s="1801">
        <f>'Expenditures 15-22'!K33-SUM('Expenditures 15-22'!G33,'Expenditures 15-22'!I33)+'Expenditures 15-22'!D229</f>
        <v>6792492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306050</v>
      </c>
      <c r="F21" s="1802"/>
      <c r="G21" s="1805">
        <f>'Expenditures 15-22'!K42-SUM('Expenditures 15-22'!G42,'Expenditures 15-22'!I42)+'Expenditures 15-22'!K120-SUM('Expenditures 15-22'!G120,'Expenditures 15-22'!I120)+'Expenditures 15-22'!K180-SUM('Expenditures 15-22'!G180,'Expenditures 15-22'!I180)+'Expenditures 15-22'!D238</f>
        <v>306050</v>
      </c>
      <c r="H21" s="987"/>
      <c r="I21" s="162"/>
    </row>
    <row r="22" spans="1:9" s="668" customFormat="1" ht="12" customHeight="1" x14ac:dyDescent="0.2">
      <c r="A22" s="994" t="s">
        <v>564</v>
      </c>
      <c r="B22" s="995"/>
      <c r="C22" s="993">
        <v>2200</v>
      </c>
      <c r="D22" s="1802"/>
      <c r="E22" s="1804">
        <f>'Expenditures 15-22'!K47-SUM('Expenditures 15-22'!G47,'Expenditures 15-22'!I47)+'Expenditures 15-22'!D243</f>
        <v>174162</v>
      </c>
      <c r="F22" s="1802"/>
      <c r="G22" s="1805">
        <f>'Expenditures 15-22'!K47-SUM('Expenditures 15-22'!G47,'Expenditures 15-22'!I47)+'Expenditures 15-22'!D243</f>
        <v>174162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1393278</v>
      </c>
      <c r="F23" s="1802"/>
      <c r="G23" s="1804">
        <f>'Expenditures 15-22'!K53-SUM('Expenditures 15-22'!G53,'Expenditures 15-22'!I53)+'Expenditures 15-22'!D257+'Expenditures 15-22'!K330-SUM('Expenditures 15-22'!G330,'Expenditures 15-22'!I330)</f>
        <v>1393278</v>
      </c>
      <c r="H23" s="987"/>
      <c r="I23" s="162"/>
    </row>
    <row r="24" spans="1:9" s="668" customFormat="1" ht="12" customHeight="1" x14ac:dyDescent="0.2">
      <c r="A24" s="994" t="s">
        <v>566</v>
      </c>
      <c r="B24" s="995"/>
      <c r="C24" s="993">
        <v>2400</v>
      </c>
      <c r="D24" s="1802"/>
      <c r="E24" s="1804">
        <f>'Expenditures 15-22'!K57-SUM('Expenditures 15-22'!G57,'Expenditures 15-22'!I57)+'Expenditures 15-22'!D261</f>
        <v>585993</v>
      </c>
      <c r="F24" s="1802"/>
      <c r="G24" s="1805">
        <f>'Expenditures 15-22'!K57-SUM('Expenditures 15-22'!G57,'Expenditures 15-22'!I57)+'Expenditures 15-22'!D261</f>
        <v>585993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101351</v>
      </c>
      <c r="E27" s="1804">
        <f>E8</f>
        <v>0</v>
      </c>
      <c r="F27" s="1804">
        <f>'Expenditures 15-22'!K60-SUM('Expenditures 15-22'!G60,'Expenditures 15-22'!I60)+'Expenditures 15-22'!D264-E8</f>
        <v>101351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1251553</v>
      </c>
      <c r="F28" s="1806">
        <f>'Expenditures 15-22'!K61-SUM('Expenditures 15-22'!G61,'Expenditures 15-22'!I61)+'Expenditures 15-22'!K124-SUM('Expenditures 15-22'!G124,'Expenditures 15-22'!I124)+'Expenditures 15-22'!D266-E9</f>
        <v>1251553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1160283</v>
      </c>
      <c r="F29" s="1802"/>
      <c r="G29" s="1805">
        <f>'Expenditures 15-22'!K62-SUM('Expenditures 15-22'!G62,'Expenditures 15-22'!I62)+'Expenditures 15-22'!K125-SUM('Expenditures 15-22'!G125,'Expenditures 15-22'!I125)+'Expenditures 15-22'!K182-SUM('Expenditures 15-22'!G182,'Expenditures 15-22'!I182)+'Expenditures 15-22'!D267</f>
        <v>1160283</v>
      </c>
      <c r="H29" s="985"/>
    </row>
    <row r="30" spans="1:9" ht="12" customHeight="1" x14ac:dyDescent="0.2">
      <c r="A30" s="994" t="s">
        <v>100</v>
      </c>
      <c r="B30" s="997"/>
      <c r="C30" s="993">
        <v>2560</v>
      </c>
      <c r="D30" s="1802"/>
      <c r="E30" s="1804">
        <f>'Expenditures 15-22'!K63-SUM('Expenditures 15-22'!G63,'Expenditures 15-22'!I63)+'Expenditures 15-22'!D268-E10</f>
        <v>582133</v>
      </c>
      <c r="F30" s="1802"/>
      <c r="G30" s="1804">
        <f>'Expenditures 15-22'!K63-SUM('Expenditures 15-22'!G63,'Expenditures 15-22'!I63)+'Expenditures 15-22'!D268-E10</f>
        <v>582133</v>
      </c>
    </row>
    <row r="31" spans="1:9" ht="12" customHeight="1" x14ac:dyDescent="0.2">
      <c r="A31" s="994" t="s">
        <v>101</v>
      </c>
      <c r="B31" s="997"/>
      <c r="C31" s="993">
        <v>2570</v>
      </c>
      <c r="D31" s="1804">
        <f>'Expenditures 15-22'!K64-SUM('Expenditures 15-22'!G64,'Expenditures 15-22'!I64)+'Expenditures 15-22'!D269-E12</f>
        <v>28993</v>
      </c>
      <c r="E31" s="1804">
        <f>E12</f>
        <v>0</v>
      </c>
      <c r="F31" s="1804">
        <f>'Expenditures 15-22'!K64-SUM('Expenditures 15-22'!G64,'Expenditures 15-22'!I64)+'Expenditures 15-22'!D269-E12</f>
        <v>28993</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153232</v>
      </c>
      <c r="E37" s="1804">
        <f>E14</f>
        <v>0</v>
      </c>
      <c r="F37" s="1804">
        <f>'Expenditures 15-22'!K71-SUM('Expenditures 15-22'!G71,'Expenditures 15-22'!I71)+'Expenditures 15-22'!D276-E14</f>
        <v>153232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44321</v>
      </c>
      <c r="F39" s="1802"/>
      <c r="G39" s="1804">
        <f>'Expenditures 15-22'!K75-SUM('Expenditures 15-22'!G75,'Expenditures 15-22'!I75)+'Expenditures 15-22'!K130-SUM('Expenditures 15-22'!G130,'Expenditures 15-22'!I130)+'Expenditures 15-22'!K185-SUM('Expenditures 15-22'!G185,'Expenditures 15-22'!I185)+'Expenditures 15-22'!D280</f>
        <v>44321</v>
      </c>
    </row>
    <row r="40" spans="1:7" ht="12" customHeight="1" x14ac:dyDescent="0.2">
      <c r="A40" s="990" t="s">
        <v>1823</v>
      </c>
      <c r="B40" s="991"/>
      <c r="C40" s="993"/>
      <c r="D40" s="1802"/>
      <c r="E40" s="1806">
        <f>-'Contracts Paid in CY 29'!G140</f>
        <v>-62270</v>
      </c>
      <c r="F40" s="1802"/>
      <c r="G40" s="1806">
        <f>-'Contracts Paid in CY 29'!G140</f>
        <v>-62270</v>
      </c>
    </row>
    <row r="41" spans="1:7" ht="12" customHeight="1" x14ac:dyDescent="0.2">
      <c r="A41" s="998" t="s">
        <v>156</v>
      </c>
      <c r="B41" s="999"/>
      <c r="C41" s="1000"/>
      <c r="D41" s="1806">
        <f>SUM(D19:D39)</f>
        <v>283576</v>
      </c>
      <c r="E41" s="1806">
        <f>SUM(E19:E40)</f>
        <v>12227995</v>
      </c>
      <c r="F41" s="1806">
        <f>SUM(F19:F39)</f>
        <v>1535129</v>
      </c>
      <c r="G41" s="1806">
        <f>SUM(G19:G40)</f>
        <v>10976442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283576</v>
      </c>
      <c r="F43" s="1807" t="s">
        <v>473</v>
      </c>
      <c r="G43" s="1808">
        <f>F41</f>
        <v>1535129</v>
      </c>
    </row>
    <row r="44" spans="1:7" ht="12" customHeight="1" x14ac:dyDescent="0.2">
      <c r="A44" s="987"/>
      <c r="B44" s="162"/>
      <c r="C44" s="1001"/>
      <c r="D44" s="1807" t="s">
        <v>474</v>
      </c>
      <c r="E44" s="1808">
        <f>E41</f>
        <v>12227995</v>
      </c>
      <c r="F44" s="1807" t="s">
        <v>474</v>
      </c>
      <c r="G44" s="1808">
        <f>G41</f>
        <v>10976442</v>
      </c>
    </row>
    <row r="45" spans="1:7" ht="12" customHeight="1" x14ac:dyDescent="0.2">
      <c r="A45" s="987"/>
      <c r="B45" s="162"/>
      <c r="C45" s="162"/>
      <c r="D45" s="1809" t="s">
        <v>1006</v>
      </c>
      <c r="E45" s="1810">
        <f>(E43/E44)</f>
        <v>2.3190719328884252E-2</v>
      </c>
      <c r="F45" s="1809" t="s">
        <v>1006</v>
      </c>
      <c r="G45" s="1810">
        <f>(G43/G44)</f>
        <v>0.13985670402121197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2" sqref="C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Bureau Valley CUSD 340</v>
      </c>
      <c r="D6" s="2296"/>
      <c r="E6" s="2296"/>
      <c r="F6" s="1852"/>
    </row>
    <row r="7" spans="1:10" ht="11.25" customHeight="1" thickBot="1" x14ac:dyDescent="0.3">
      <c r="A7" s="1850"/>
      <c r="B7" s="1851"/>
      <c r="C7" s="2297">
        <f>COVER!A13</f>
        <v>28006340026</v>
      </c>
      <c r="D7" s="2297"/>
      <c r="E7" s="2297"/>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c r="F24" s="1867" t="s">
        <v>2090</v>
      </c>
      <c r="H24" s="1878">
        <f t="shared" si="0"/>
        <v>5</v>
      </c>
      <c r="I24" s="1878">
        <f t="shared" si="1"/>
        <v>5</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2091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2092</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Bureau Valley CUSD 340</v>
      </c>
      <c r="J6" s="2317"/>
      <c r="Q6" s="1664"/>
    </row>
    <row r="7" spans="1:17" x14ac:dyDescent="0.2">
      <c r="A7" s="2318" t="s">
        <v>869</v>
      </c>
      <c r="B7" s="2319"/>
      <c r="C7" s="2319"/>
      <c r="D7" s="2319"/>
      <c r="E7" s="2320"/>
      <c r="F7" s="1017"/>
      <c r="G7" s="1009"/>
      <c r="H7" s="1016" t="s">
        <v>372</v>
      </c>
      <c r="I7" s="2321">
        <f>COVER!A13</f>
        <v>28006340026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188023</v>
      </c>
      <c r="F12" s="1039"/>
      <c r="G12" s="1811">
        <f t="shared" ref="G12:G18" si="0">SUM(E12:F12)</f>
        <v>188023</v>
      </c>
      <c r="H12" s="1040">
        <v>189089</v>
      </c>
      <c r="I12" s="1039"/>
      <c r="J12" s="1811">
        <f t="shared" ref="J12:J18" si="1">SUM(H12:I12)</f>
        <v>189089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28993</v>
      </c>
      <c r="F16" s="1039"/>
      <c r="G16" s="1811">
        <f t="shared" si="0"/>
        <v>28993</v>
      </c>
      <c r="H16" s="1040">
        <v>27900</v>
      </c>
      <c r="I16" s="1039"/>
      <c r="J16" s="1811">
        <f t="shared" si="1"/>
        <v>27900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217016</v>
      </c>
      <c r="F19" s="1813">
        <f t="shared" si="2"/>
        <v>0</v>
      </c>
      <c r="G19" s="1813">
        <f t="shared" si="2"/>
        <v>217016</v>
      </c>
      <c r="H19" s="1813">
        <f t="shared" si="2"/>
        <v>216989</v>
      </c>
      <c r="I19" s="1813">
        <f t="shared" si="2"/>
        <v>0</v>
      </c>
      <c r="J19" s="1813">
        <f t="shared" si="2"/>
        <v>216989</v>
      </c>
    </row>
    <row r="20" spans="1:10" ht="13.5" thickTop="1" x14ac:dyDescent="0.2">
      <c r="A20" s="1035">
        <v>9</v>
      </c>
      <c r="B20" s="2328" t="s">
        <v>1980</v>
      </c>
      <c r="C20" s="2328"/>
      <c r="D20" s="2329"/>
      <c r="E20" s="1046"/>
      <c r="F20" s="1046"/>
      <c r="G20" s="1046"/>
      <c r="H20" s="1046"/>
      <c r="I20" s="1046"/>
      <c r="J20" s="1814">
        <f>IF(AND(G19&gt;0,J19&gt;0),(((J19-G19)/G19)),"Enter Budget Data")</f>
        <v>-1.2441478969292587E-4</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2093</v>
      </c>
    </row>
    <row r="6" spans="1:2" x14ac:dyDescent="0.2">
      <c r="A6" s="1068">
        <v>2</v>
      </c>
      <c r="B6" s="329" t="s">
        <v>2094</v>
      </c>
    </row>
    <row r="7" spans="1:2" x14ac:dyDescent="0.2">
      <c r="A7" s="1068">
        <v>3</v>
      </c>
      <c r="B7" s="329" t="s">
        <v>2095</v>
      </c>
    </row>
    <row r="8" spans="1:2" x14ac:dyDescent="0.2">
      <c r="A8" s="1068"/>
      <c r="B8" s="329" t="s">
        <v>2096</v>
      </c>
    </row>
    <row r="9" spans="1:2" x14ac:dyDescent="0.2">
      <c r="A9" s="1069"/>
      <c r="B9" s="329" t="s">
        <v>2097</v>
      </c>
    </row>
    <row r="10" spans="1:2" x14ac:dyDescent="0.2">
      <c r="A10" s="1068">
        <v>4</v>
      </c>
      <c r="B10" s="329" t="s">
        <v>2098</v>
      </c>
    </row>
    <row r="11" spans="1:2" x14ac:dyDescent="0.2">
      <c r="A11" s="1068">
        <v>5</v>
      </c>
      <c r="B11" s="329" t="s">
        <v>2099</v>
      </c>
    </row>
    <row r="12" spans="1:2" x14ac:dyDescent="0.2">
      <c r="A12" s="1068">
        <v>6</v>
      </c>
      <c r="B12" s="329" t="s">
        <v>2102</v>
      </c>
    </row>
    <row r="13" spans="1:2" x14ac:dyDescent="0.2">
      <c r="A13" s="1068">
        <v>7</v>
      </c>
      <c r="B13" s="329" t="s">
        <v>2103</v>
      </c>
    </row>
    <row r="14" spans="1:2" x14ac:dyDescent="0.2">
      <c r="A14" s="1068">
        <v>8</v>
      </c>
      <c r="B14" s="329" t="s">
        <v>2100</v>
      </c>
    </row>
    <row r="15" spans="1:2" x14ac:dyDescent="0.2">
      <c r="A15" s="1068">
        <v>9</v>
      </c>
      <c r="B15" s="329" t="s">
        <v>2101</v>
      </c>
    </row>
    <row r="16" spans="1:2" x14ac:dyDescent="0.2">
      <c r="A16" s="1068">
        <v>10</v>
      </c>
      <c r="B16" s="329" t="s">
        <v>2104</v>
      </c>
    </row>
    <row r="17" spans="1:2" x14ac:dyDescent="0.2">
      <c r="A17" s="1068">
        <v>11</v>
      </c>
      <c r="B17" s="329" t="s">
        <v>2105</v>
      </c>
    </row>
    <row r="18" spans="1:2" x14ac:dyDescent="0.2">
      <c r="A18" s="1069"/>
      <c r="B18" s="329" t="s">
        <v>2106</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Bureau Valley CUSD 340</v>
      </c>
    </row>
    <row r="66" spans="1:2" x14ac:dyDescent="0.2">
      <c r="B66" s="1070">
        <f>COVER!A13</f>
        <v>28006340026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6" sqref="A16:E16 F10:F11 A17:A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8985660</v>
      </c>
      <c r="C8" s="1815">
        <f>'Acct Summary 7-8'!D8</f>
        <v>1201912</v>
      </c>
      <c r="D8" s="1815">
        <f>'Acct Summary 7-8'!F8</f>
        <v>1102970</v>
      </c>
      <c r="E8" s="1815">
        <f>'Acct Summary 7-8'!I8</f>
        <v>79694</v>
      </c>
      <c r="F8" s="1815">
        <f>SUM(B8:E8)</f>
        <v>11370236</v>
      </c>
    </row>
    <row r="9" spans="1:8" s="1079" customFormat="1" ht="14.25" customHeight="1" thickBot="1" x14ac:dyDescent="0.25">
      <c r="A9" s="1078" t="s">
        <v>1369</v>
      </c>
      <c r="B9" s="1816">
        <f>'Acct Summary 7-8'!C17</f>
        <v>9342697</v>
      </c>
      <c r="C9" s="1816">
        <f>'Acct Summary 7-8'!D17</f>
        <v>1251968</v>
      </c>
      <c r="D9" s="1816">
        <f>'Acct Summary 7-8'!F17</f>
        <v>1189788</v>
      </c>
      <c r="E9" s="1815"/>
      <c r="F9" s="1815">
        <f>SUM(B9:E9)</f>
        <v>11784453</v>
      </c>
    </row>
    <row r="10" spans="1:8" s="1079" customFormat="1" ht="14.25" thickTop="1" thickBot="1" x14ac:dyDescent="0.25">
      <c r="A10" s="1080" t="s">
        <v>1370</v>
      </c>
      <c r="B10" s="1817">
        <f>(B8-B9)</f>
        <v>-357037</v>
      </c>
      <c r="C10" s="1817">
        <f>(C8-C9)</f>
        <v>-50056</v>
      </c>
      <c r="D10" s="1817">
        <f>(D8-D9)</f>
        <v>-86818</v>
      </c>
      <c r="E10" s="1816">
        <f>(E8-E9)</f>
        <v>79694</v>
      </c>
      <c r="F10" s="1818">
        <f>SUM(F8-F9)</f>
        <v>-414217</v>
      </c>
    </row>
    <row r="11" spans="1:8" s="1079" customFormat="1" ht="14.25" thickTop="1" thickBot="1" x14ac:dyDescent="0.25">
      <c r="A11" s="1081" t="s">
        <v>1984</v>
      </c>
      <c r="B11" s="1819">
        <f>'Acct Summary 7-8'!C81</f>
        <v>143419</v>
      </c>
      <c r="C11" s="1819">
        <f>'Acct Summary 7-8'!D81</f>
        <v>153241</v>
      </c>
      <c r="D11" s="1819">
        <f>'Acct Summary 7-8'!F81</f>
        <v>196972</v>
      </c>
      <c r="E11" s="1819">
        <f>'Acct Summary 7-8'!I81</f>
        <v>325231</v>
      </c>
      <c r="F11" s="1820">
        <f>SUM(B11:E11)</f>
        <v>818863</v>
      </c>
    </row>
    <row r="12" spans="1:8" ht="16.5" customHeight="1" thickTop="1" x14ac:dyDescent="0.2">
      <c r="A12" s="1082"/>
      <c r="B12" s="1083"/>
      <c r="C12" s="2340"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29'!D140&gt;0,"OK","PLEASE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28006340026</v>
      </c>
    </row>
    <row r="3" spans="1:2" x14ac:dyDescent="0.2">
      <c r="A3" t="s">
        <v>956</v>
      </c>
      <c r="B3" s="138" t="str">
        <f>COVER!A15</f>
        <v>BUREAU</v>
      </c>
    </row>
    <row r="4" spans="1:2" x14ac:dyDescent="0.2">
      <c r="A4" t="s">
        <v>1007</v>
      </c>
      <c r="B4" s="138" t="str">
        <f>COVER!A17</f>
        <v>Bureau Valley CUSD 340</v>
      </c>
    </row>
    <row r="5" spans="1:2" x14ac:dyDescent="0.2">
      <c r="A5" t="s">
        <v>704</v>
      </c>
      <c r="B5" s="138" t="str">
        <f>COVER!A38</f>
        <v>JASON STABLER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149012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5593</v>
      </c>
      <c r="C91" s="2" t="s">
        <v>573</v>
      </c>
      <c r="D91" s="2" t="str">
        <f t="shared" si="0"/>
        <v>Error?</v>
      </c>
    </row>
    <row r="92" spans="1:4" x14ac:dyDescent="0.2">
      <c r="A92" s="5">
        <v>31</v>
      </c>
      <c r="B92" s="138">
        <f>'Assets-Liab 5-6'!C39</f>
        <v>122843</v>
      </c>
      <c r="D92" s="2" t="str">
        <f t="shared" si="0"/>
        <v>Error?</v>
      </c>
    </row>
    <row r="93" spans="1:4" x14ac:dyDescent="0.2">
      <c r="A93" s="5">
        <v>32</v>
      </c>
      <c r="B93" s="138">
        <f>'Assets-Liab 5-6'!C41</f>
        <v>149012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153241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153241</v>
      </c>
      <c r="D123" s="2" t="str">
        <f t="shared" si="0"/>
        <v>Error?</v>
      </c>
    </row>
    <row r="124" spans="1:4" x14ac:dyDescent="0.2">
      <c r="A124" s="5">
        <v>63</v>
      </c>
      <c r="B124" s="138">
        <f>'Assets-Liab 5-6'!D41</f>
        <v>153241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128076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128076</v>
      </c>
      <c r="D140" s="2" t="str">
        <f t="shared" si="1"/>
        <v>Error?</v>
      </c>
    </row>
    <row r="141" spans="1:4" x14ac:dyDescent="0.2">
      <c r="A141" s="5">
        <v>80</v>
      </c>
      <c r="B141" s="138">
        <f>'Assets-Liab 5-6'!E41</f>
        <v>128076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196972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196972</v>
      </c>
      <c r="D170" s="2" t="str">
        <f t="shared" si="1"/>
        <v>Error?</v>
      </c>
    </row>
    <row r="171" spans="1:4" x14ac:dyDescent="0.2">
      <c r="A171" s="5">
        <v>110</v>
      </c>
      <c r="B171" s="138">
        <f>'Assets-Liab 5-6'!F41</f>
        <v>196972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152513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152513</v>
      </c>
      <c r="D189" s="2" t="str">
        <f t="shared" si="1"/>
        <v>Error?</v>
      </c>
    </row>
    <row r="190" spans="1:4" x14ac:dyDescent="0.2">
      <c r="A190" s="5">
        <v>129</v>
      </c>
      <c r="B190" s="138">
        <f>'Assets-Liab 5-6'!G41</f>
        <v>152513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1885619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1885619</v>
      </c>
      <c r="D212" s="2" t="str">
        <f t="shared" si="2"/>
        <v>Error?</v>
      </c>
    </row>
    <row r="213" spans="1:4" x14ac:dyDescent="0.2">
      <c r="A213" s="12">
        <v>152</v>
      </c>
      <c r="B213" s="138">
        <f>'Assets-Liab 5-6'!H41</f>
        <v>1885619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754625</v>
      </c>
      <c r="D273" s="2" t="str">
        <f t="shared" si="3"/>
        <v>Error?</v>
      </c>
    </row>
    <row r="274" spans="1:4" x14ac:dyDescent="0.2">
      <c r="A274" s="5">
        <v>213</v>
      </c>
      <c r="B274" s="138">
        <f>'Assets-Liab 5-6'!M17</f>
        <v>18240218</v>
      </c>
      <c r="D274" s="2" t="str">
        <f t="shared" si="3"/>
        <v>Error?</v>
      </c>
    </row>
    <row r="275" spans="1:4" x14ac:dyDescent="0.2">
      <c r="A275" s="5">
        <v>214</v>
      </c>
      <c r="B275" s="138">
        <f>'Assets-Liab 5-6'!M18</f>
        <v>1878894</v>
      </c>
      <c r="D275" s="2" t="str">
        <f t="shared" si="3"/>
        <v>Error?</v>
      </c>
    </row>
    <row r="276" spans="1:4" x14ac:dyDescent="0.2">
      <c r="A276" s="5">
        <v>215</v>
      </c>
      <c r="B276" s="138">
        <f>'Assets-Liab 5-6'!M19</f>
        <v>4363796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35500032</v>
      </c>
      <c r="C279" s="2" t="s">
        <v>573</v>
      </c>
      <c r="D279" s="2" t="str">
        <f t="shared" si="3"/>
        <v>Error?</v>
      </c>
    </row>
    <row r="280" spans="1:4" x14ac:dyDescent="0.2">
      <c r="A280" s="5">
        <v>219</v>
      </c>
      <c r="B280" s="138">
        <f>'Assets-Liab 5-6'!M40</f>
        <v>35500032</v>
      </c>
      <c r="D280" s="2" t="str">
        <f t="shared" si="3"/>
        <v>Error?</v>
      </c>
    </row>
    <row r="281" spans="1:4" x14ac:dyDescent="0.2">
      <c r="A281" s="5">
        <v>220</v>
      </c>
      <c r="B281" s="138">
        <f>'Assets-Liab 5-6'!M41</f>
        <v>35500032</v>
      </c>
      <c r="C281" s="2" t="s">
        <v>573</v>
      </c>
      <c r="D281" s="2" t="str">
        <f t="shared" si="3"/>
        <v>Error?</v>
      </c>
    </row>
    <row r="282" spans="1:4" x14ac:dyDescent="0.2">
      <c r="A282" s="5">
        <v>221</v>
      </c>
      <c r="B282" s="138">
        <f>'Assets-Liab 5-6'!N21</f>
        <v>128076</v>
      </c>
      <c r="D282" s="2" t="str">
        <f t="shared" si="3"/>
        <v>Error?</v>
      </c>
    </row>
    <row r="283" spans="1:4" x14ac:dyDescent="0.2">
      <c r="A283" s="5">
        <v>222</v>
      </c>
      <c r="B283" s="138">
        <f>'Assets-Liab 5-6'!N22</f>
        <v>12085523</v>
      </c>
      <c r="D283" s="2" t="str">
        <f t="shared" si="3"/>
        <v>Error?</v>
      </c>
    </row>
    <row r="284" spans="1:4" x14ac:dyDescent="0.2">
      <c r="A284" s="5">
        <v>223</v>
      </c>
      <c r="B284" s="138">
        <f>'Assets-Liab 5-6'!N23</f>
        <v>12213599</v>
      </c>
      <c r="C284" s="2" t="s">
        <v>573</v>
      </c>
      <c r="D284" s="2" t="str">
        <f t="shared" si="3"/>
        <v>Error?</v>
      </c>
    </row>
    <row r="285" spans="1:4" x14ac:dyDescent="0.2">
      <c r="A285" s="5">
        <v>224</v>
      </c>
      <c r="B285" s="138">
        <f>'Assets-Liab 5-6'!N36</f>
        <v>12213599</v>
      </c>
      <c r="D285" s="2" t="str">
        <f t="shared" si="3"/>
        <v>Error?</v>
      </c>
    </row>
    <row r="286" spans="1:4" x14ac:dyDescent="0.2">
      <c r="A286" s="10">
        <v>225</v>
      </c>
      <c r="D286" s="2" t="str">
        <f t="shared" si="3"/>
        <v>OK</v>
      </c>
    </row>
    <row r="287" spans="1:4" x14ac:dyDescent="0.2">
      <c r="A287" s="5">
        <v>226</v>
      </c>
      <c r="B287" s="138">
        <f>'Assets-Liab 5-6'!N37</f>
        <v>12213599</v>
      </c>
      <c r="C287" s="2" t="s">
        <v>573</v>
      </c>
      <c r="D287" s="2" t="str">
        <f t="shared" si="3"/>
        <v>Error?</v>
      </c>
    </row>
    <row r="288" spans="1:4" x14ac:dyDescent="0.2">
      <c r="A288" s="5">
        <v>227</v>
      </c>
      <c r="B288" s="138">
        <f>'Assets-Liab 5-6'!N41</f>
        <v>12213599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3223398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199000</v>
      </c>
      <c r="D717" s="2" t="str">
        <f t="shared" si="10"/>
        <v>Error?</v>
      </c>
    </row>
    <row r="718" spans="1:4" x14ac:dyDescent="0.2">
      <c r="A718" s="5">
        <v>657</v>
      </c>
      <c r="B718" s="138">
        <f>'Expenditures 15-22'!C14</f>
        <v>242855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5248156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150510</v>
      </c>
      <c r="D722" s="2" t="str">
        <f t="shared" si="10"/>
        <v>Error?</v>
      </c>
    </row>
    <row r="723" spans="1:4" x14ac:dyDescent="0.2">
      <c r="A723" s="5">
        <v>662</v>
      </c>
      <c r="B723" s="138">
        <f>'Expenditures 15-22'!C38</f>
        <v>27173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77756</v>
      </c>
      <c r="D725" s="2" t="str">
        <f t="shared" si="10"/>
        <v>Error?</v>
      </c>
    </row>
    <row r="726" spans="1:4" x14ac:dyDescent="0.2">
      <c r="A726" s="5">
        <v>665</v>
      </c>
      <c r="B726" s="138">
        <f>'Expenditures 15-22'!C41</f>
        <v>5211</v>
      </c>
      <c r="D726" s="2" t="str">
        <f t="shared" si="10"/>
        <v>Error?</v>
      </c>
    </row>
    <row r="727" spans="1:4" x14ac:dyDescent="0.2">
      <c r="A727" s="5">
        <v>666</v>
      </c>
      <c r="B727" s="138">
        <f>'Expenditures 15-22'!C42</f>
        <v>260650</v>
      </c>
      <c r="C727" s="2" t="s">
        <v>573</v>
      </c>
      <c r="D727" s="2" t="str">
        <f t="shared" si="10"/>
        <v>Error?</v>
      </c>
    </row>
    <row r="728" spans="1:4" x14ac:dyDescent="0.2">
      <c r="A728" s="5">
        <v>667</v>
      </c>
      <c r="B728" s="138">
        <f>'Expenditures 15-22'!C44</f>
        <v>27809</v>
      </c>
      <c r="D728" s="2" t="str">
        <f t="shared" si="10"/>
        <v>Error?</v>
      </c>
    </row>
    <row r="729" spans="1:4" x14ac:dyDescent="0.2">
      <c r="A729" s="5">
        <v>668</v>
      </c>
      <c r="B729" s="138">
        <f>'Expenditures 15-22'!C45</f>
        <v>56985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84794</v>
      </c>
      <c r="C731" s="2" t="s">
        <v>573</v>
      </c>
      <c r="D731" s="2" t="str">
        <f t="shared" si="10"/>
        <v>Error?</v>
      </c>
    </row>
    <row r="732" spans="1:4" x14ac:dyDescent="0.2">
      <c r="A732" s="5">
        <v>671</v>
      </c>
      <c r="B732" s="138">
        <f>'Expenditures 15-22'!C49</f>
        <v>3060</v>
      </c>
      <c r="D732" s="2" t="str">
        <f t="shared" si="10"/>
        <v>Error?</v>
      </c>
    </row>
    <row r="733" spans="1:4" x14ac:dyDescent="0.2">
      <c r="A733" s="5">
        <v>672</v>
      </c>
      <c r="B733" s="138">
        <f>'Expenditures 15-22'!C50</f>
        <v>169727</v>
      </c>
      <c r="D733" s="2" t="str">
        <f t="shared" si="10"/>
        <v>Error?</v>
      </c>
    </row>
    <row r="734" spans="1:4" x14ac:dyDescent="0.2">
      <c r="A734" s="5">
        <v>673</v>
      </c>
      <c r="B734" s="138">
        <f>'Expenditures 15-22'!C53</f>
        <v>172787</v>
      </c>
      <c r="C734" s="2" t="s">
        <v>573</v>
      </c>
      <c r="D734" s="2" t="str">
        <f t="shared" si="10"/>
        <v>Error?</v>
      </c>
    </row>
    <row r="735" spans="1:4" x14ac:dyDescent="0.2">
      <c r="A735" s="5">
        <v>674</v>
      </c>
      <c r="B735" s="138">
        <f>'Expenditures 15-22'!C55</f>
        <v>460299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460299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57050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215632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272682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58338</v>
      </c>
      <c r="D751" s="2" t="str">
        <f t="shared" si="10"/>
        <v>Error?</v>
      </c>
    </row>
    <row r="752" spans="1:4" x14ac:dyDescent="0.2">
      <c r="A752" s="10">
        <v>691</v>
      </c>
      <c r="D752" s="2" t="str">
        <f t="shared" si="10"/>
        <v>OK</v>
      </c>
    </row>
    <row r="753" spans="1:4" x14ac:dyDescent="0.2">
      <c r="A753" s="5">
        <v>692</v>
      </c>
      <c r="B753" s="138">
        <f>'Expenditures 15-22'!C72</f>
        <v>58338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1309550</v>
      </c>
      <c r="C755" s="2" t="s">
        <v>573</v>
      </c>
      <c r="D755" s="2" t="str">
        <f t="shared" si="10"/>
        <v>Error?</v>
      </c>
    </row>
    <row r="756" spans="1:4" x14ac:dyDescent="0.2">
      <c r="A756" s="5">
        <v>695</v>
      </c>
      <c r="B756" s="138">
        <f>'Expenditures 15-22'!C75</f>
        <v>29537</v>
      </c>
      <c r="D756" s="2" t="str">
        <f t="shared" si="10"/>
        <v>Error?</v>
      </c>
    </row>
    <row r="757" spans="1:4" x14ac:dyDescent="0.2">
      <c r="A757" s="5">
        <v>696</v>
      </c>
      <c r="B757" s="138">
        <f>'Expenditures 15-22'!C114</f>
        <v>6587243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364492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24929</v>
      </c>
      <c r="D775" s="2" t="str">
        <f t="shared" si="11"/>
        <v>Error?</v>
      </c>
    </row>
    <row r="776" spans="1:4" x14ac:dyDescent="0.2">
      <c r="A776" s="5">
        <v>715</v>
      </c>
      <c r="B776" s="138">
        <f>'Expenditures 15-22'!D14</f>
        <v>2299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508213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17680</v>
      </c>
      <c r="D780" s="2" t="str">
        <f t="shared" si="11"/>
        <v>Error?</v>
      </c>
    </row>
    <row r="781" spans="1:4" x14ac:dyDescent="0.2">
      <c r="A781" s="5">
        <v>720</v>
      </c>
      <c r="B781" s="138">
        <f>'Expenditures 15-22'!D38</f>
        <v>32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10409</v>
      </c>
      <c r="D783" s="2" t="str">
        <f t="shared" si="11"/>
        <v>Error?</v>
      </c>
    </row>
    <row r="784" spans="1:4" x14ac:dyDescent="0.2">
      <c r="A784" s="5">
        <v>723</v>
      </c>
      <c r="B784" s="138">
        <f>'Expenditures 15-22'!D41</f>
        <v>26</v>
      </c>
      <c r="D784" s="2" t="str">
        <f t="shared" si="11"/>
        <v>Error?</v>
      </c>
    </row>
    <row r="785" spans="1:4" x14ac:dyDescent="0.2">
      <c r="A785" s="5">
        <v>724</v>
      </c>
      <c r="B785" s="138">
        <f>'Expenditures 15-22'!D42</f>
        <v>28147</v>
      </c>
      <c r="C785" s="2" t="s">
        <v>573</v>
      </c>
      <c r="D785" s="2" t="str">
        <f t="shared" si="11"/>
        <v>Error?</v>
      </c>
    </row>
    <row r="786" spans="1:4" x14ac:dyDescent="0.2">
      <c r="A786" s="5">
        <v>725</v>
      </c>
      <c r="B786" s="138">
        <f>'Expenditures 15-22'!D44</f>
        <v>12575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12575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11044</v>
      </c>
      <c r="D791" s="2" t="str">
        <f t="shared" si="11"/>
        <v>Error?</v>
      </c>
    </row>
    <row r="792" spans="1:4" x14ac:dyDescent="0.2">
      <c r="A792" s="5">
        <v>731</v>
      </c>
      <c r="B792" s="138">
        <f>'Expenditures 15-22'!D53</f>
        <v>11044</v>
      </c>
      <c r="C792" s="2" t="s">
        <v>573</v>
      </c>
      <c r="D792" s="2" t="str">
        <f t="shared" si="11"/>
        <v>Error?</v>
      </c>
    </row>
    <row r="793" spans="1:4" x14ac:dyDescent="0.2">
      <c r="A793" s="5">
        <v>732</v>
      </c>
      <c r="B793" s="138">
        <f>'Expenditures 15-22'!D55</f>
        <v>47090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47090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12793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10296</v>
      </c>
      <c r="D809" s="2" t="str">
        <f t="shared" si="11"/>
        <v>Error?</v>
      </c>
    </row>
    <row r="810" spans="1:4" x14ac:dyDescent="0.2">
      <c r="A810" s="10">
        <v>749</v>
      </c>
      <c r="D810" s="2" t="str">
        <f t="shared" si="11"/>
        <v>OK</v>
      </c>
    </row>
    <row r="811" spans="1:4" x14ac:dyDescent="0.2">
      <c r="A811" s="5">
        <v>750</v>
      </c>
      <c r="B811" s="138">
        <f>'Expenditures 15-22'!D72</f>
        <v>10296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127093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635306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30669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5376</v>
      </c>
      <c r="D833" s="2" t="str">
        <f t="shared" si="12"/>
        <v>Error?</v>
      </c>
    </row>
    <row r="834" spans="1:4" x14ac:dyDescent="0.2">
      <c r="A834" s="5">
        <v>773</v>
      </c>
      <c r="B834" s="138">
        <f>'Expenditures 15-22'!E14</f>
        <v>25433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93612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18359</v>
      </c>
      <c r="D844" s="2" t="str">
        <f t="shared" si="12"/>
        <v>Error?</v>
      </c>
    </row>
    <row r="845" spans="1:4" x14ac:dyDescent="0.2">
      <c r="A845" s="5">
        <v>784</v>
      </c>
      <c r="B845" s="138">
        <f>'Expenditures 15-22'!E45</f>
        <v>5483</v>
      </c>
      <c r="D845" s="2" t="str">
        <f t="shared" si="12"/>
        <v>Error?</v>
      </c>
    </row>
    <row r="846" spans="1:4" x14ac:dyDescent="0.2">
      <c r="A846" s="5">
        <v>785</v>
      </c>
      <c r="B846" s="138">
        <f>'Expenditures 15-22'!E46</f>
        <v>16203</v>
      </c>
      <c r="D846" s="2" t="str">
        <f t="shared" si="12"/>
        <v>Error?</v>
      </c>
    </row>
    <row r="847" spans="1:4" x14ac:dyDescent="0.2">
      <c r="A847" s="5">
        <v>786</v>
      </c>
      <c r="B847" s="138">
        <f>'Expenditures 15-22'!E47</f>
        <v>40045</v>
      </c>
      <c r="C847" s="2" t="s">
        <v>573</v>
      </c>
      <c r="D847" s="2" t="str">
        <f t="shared" si="12"/>
        <v>Error?</v>
      </c>
    </row>
    <row r="848" spans="1:4" x14ac:dyDescent="0.2">
      <c r="A848" s="5">
        <v>787</v>
      </c>
      <c r="B848" s="138">
        <f>'Expenditures 15-22'!E49</f>
        <v>80998</v>
      </c>
      <c r="D848" s="2" t="str">
        <f t="shared" si="12"/>
        <v>Error?</v>
      </c>
    </row>
    <row r="849" spans="1:4" x14ac:dyDescent="0.2">
      <c r="A849" s="5">
        <v>788</v>
      </c>
      <c r="B849" s="138">
        <f>'Expenditures 15-22'!E50</f>
        <v>5330</v>
      </c>
      <c r="D849" s="2" t="str">
        <f t="shared" si="12"/>
        <v>Error?</v>
      </c>
    </row>
    <row r="850" spans="1:4" x14ac:dyDescent="0.2">
      <c r="A850" s="5">
        <v>789</v>
      </c>
      <c r="B850" s="138">
        <f>'Expenditures 15-22'!E53</f>
        <v>86328</v>
      </c>
      <c r="C850" s="2" t="s">
        <v>573</v>
      </c>
      <c r="D850" s="2" t="str">
        <f t="shared" si="12"/>
        <v>Error?</v>
      </c>
    </row>
    <row r="851" spans="1:4" x14ac:dyDescent="0.2">
      <c r="A851" s="5">
        <v>790</v>
      </c>
      <c r="B851" s="138">
        <f>'Expenditures 15-22'!E55</f>
        <v>13046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13046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25449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11678</v>
      </c>
      <c r="D858" s="2" t="str">
        <f t="shared" si="12"/>
        <v>Error?</v>
      </c>
    </row>
    <row r="859" spans="1:4" x14ac:dyDescent="0.2">
      <c r="A859" s="5">
        <v>798</v>
      </c>
      <c r="B859" s="138">
        <f>'Expenditures 15-22'!E64</f>
        <v>28993</v>
      </c>
      <c r="D859" s="2" t="str">
        <f t="shared" si="12"/>
        <v>Error?</v>
      </c>
    </row>
    <row r="860" spans="1:4" x14ac:dyDescent="0.2">
      <c r="A860" s="10">
        <v>799</v>
      </c>
      <c r="D860" s="2" t="str">
        <f t="shared" si="12"/>
        <v>OK</v>
      </c>
    </row>
    <row r="861" spans="1:4" x14ac:dyDescent="0.2">
      <c r="A861" s="5">
        <v>800</v>
      </c>
      <c r="B861" s="138">
        <f>'Expenditures 15-22'!E65</f>
        <v>66120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54179</v>
      </c>
      <c r="D867" s="2" t="str">
        <f t="shared" si="12"/>
        <v>Error?</v>
      </c>
    </row>
    <row r="868" spans="1:4" x14ac:dyDescent="0.2">
      <c r="A868" s="10">
        <v>807</v>
      </c>
      <c r="D868" s="2" t="str">
        <f t="shared" si="12"/>
        <v>OK</v>
      </c>
    </row>
    <row r="869" spans="1:4" x14ac:dyDescent="0.2">
      <c r="A869" s="5">
        <v>808</v>
      </c>
      <c r="B869" s="138">
        <f>'Expenditures 15-22'!E72</f>
        <v>54179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259718</v>
      </c>
      <c r="C871" s="2" t="s">
        <v>573</v>
      </c>
      <c r="D871" s="2" t="str">
        <f t="shared" si="12"/>
        <v>Error?</v>
      </c>
    </row>
    <row r="872" spans="1:4" x14ac:dyDescent="0.2">
      <c r="A872" s="5">
        <v>811</v>
      </c>
      <c r="B872" s="138">
        <f>'Expenditures 15-22'!E75</f>
        <v>6670</v>
      </c>
      <c r="D872" s="2" t="str">
        <f t="shared" si="12"/>
        <v>Error?</v>
      </c>
    </row>
    <row r="873" spans="1:4" x14ac:dyDescent="0.2">
      <c r="A873" s="5">
        <v>812</v>
      </c>
      <c r="B873" s="138">
        <f>'Expenditures 15-22'!E114</f>
        <v>479401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212590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16379</v>
      </c>
      <c r="D891" s="2" t="str">
        <f t="shared" si="12"/>
        <v>Error?</v>
      </c>
    </row>
    <row r="892" spans="1:4" x14ac:dyDescent="0.2">
      <c r="A892" s="5">
        <v>831</v>
      </c>
      <c r="B892" s="138">
        <f>'Expenditures 15-22'!F14</f>
        <v>25081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292382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18513</v>
      </c>
      <c r="D902" s="2" t="str">
        <f t="shared" si="13"/>
        <v>Error?</v>
      </c>
    </row>
    <row r="903" spans="1:4" x14ac:dyDescent="0.2">
      <c r="A903" s="5">
        <v>842</v>
      </c>
      <c r="B903" s="138">
        <f>'Expenditures 15-22'!F45</f>
        <v>7530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26043</v>
      </c>
      <c r="C905" s="2" t="s">
        <v>573</v>
      </c>
      <c r="D905" s="2" t="str">
        <f t="shared" si="13"/>
        <v>Error?</v>
      </c>
    </row>
    <row r="906" spans="1:4" x14ac:dyDescent="0.2">
      <c r="A906" s="5">
        <v>845</v>
      </c>
      <c r="B906" s="138">
        <f>'Expenditures 15-22'!F49</f>
        <v>3949</v>
      </c>
      <c r="D906" s="2" t="str">
        <f t="shared" si="13"/>
        <v>Error?</v>
      </c>
    </row>
    <row r="907" spans="1:4" x14ac:dyDescent="0.2">
      <c r="A907" s="5">
        <v>846</v>
      </c>
      <c r="B907" s="138">
        <f>'Expenditures 15-22'!F50</f>
        <v>931</v>
      </c>
      <c r="D907" s="2" t="str">
        <f t="shared" si="13"/>
        <v>Error?</v>
      </c>
    </row>
    <row r="908" spans="1:4" x14ac:dyDescent="0.2">
      <c r="A908" s="5">
        <v>847</v>
      </c>
      <c r="B908" s="138">
        <f>'Expenditures 15-22'!F53</f>
        <v>4880</v>
      </c>
      <c r="C908" s="2" t="s">
        <v>573</v>
      </c>
      <c r="D908" s="2" t="str">
        <f t="shared" si="13"/>
        <v>Error?</v>
      </c>
    </row>
    <row r="909" spans="1:4" x14ac:dyDescent="0.2">
      <c r="A909" s="5">
        <v>848</v>
      </c>
      <c r="B909" s="138">
        <f>'Expenditures 15-22'!F55</f>
        <v>19934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19934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2824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303797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306621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17452</v>
      </c>
      <c r="D925" s="2" t="str">
        <f t="shared" si="13"/>
        <v>Error?</v>
      </c>
    </row>
    <row r="926" spans="1:4" x14ac:dyDescent="0.2">
      <c r="A926" s="10">
        <v>865</v>
      </c>
      <c r="D926" s="2" t="str">
        <f t="shared" si="13"/>
        <v>OK</v>
      </c>
    </row>
    <row r="927" spans="1:4" x14ac:dyDescent="0.2">
      <c r="A927" s="5">
        <v>866</v>
      </c>
      <c r="B927" s="138">
        <f>'Expenditures 15-22'!F72</f>
        <v>17452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374930</v>
      </c>
      <c r="C929" s="2" t="s">
        <v>573</v>
      </c>
      <c r="D929" s="2" t="str">
        <f t="shared" si="13"/>
        <v>Error?</v>
      </c>
    </row>
    <row r="930" spans="1:4" x14ac:dyDescent="0.2">
      <c r="A930" s="5">
        <v>869</v>
      </c>
      <c r="B930" s="138">
        <f>'Expenditures 15-22'!F75</f>
        <v>3387</v>
      </c>
      <c r="D930" s="2" t="str">
        <f t="shared" si="13"/>
        <v>Error?</v>
      </c>
    </row>
    <row r="931" spans="1:4" x14ac:dyDescent="0.2">
      <c r="A931" s="5">
        <v>870</v>
      </c>
      <c r="B931" s="138">
        <f>'Expenditures 15-22'!F114</f>
        <v>670699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19550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63252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46416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46416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2765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2765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74072</v>
      </c>
      <c r="D983" s="2" t="str">
        <f t="shared" si="14"/>
        <v>Error?</v>
      </c>
    </row>
    <row r="984" spans="1:4" x14ac:dyDescent="0.2">
      <c r="A984" s="10">
        <v>923</v>
      </c>
      <c r="D984" s="2" t="str">
        <f t="shared" si="14"/>
        <v>OK</v>
      </c>
    </row>
    <row r="985" spans="1:4" x14ac:dyDescent="0.2">
      <c r="A985" s="5">
        <v>924</v>
      </c>
      <c r="B985" s="138">
        <f>'Expenditures 15-22'!G72</f>
        <v>74072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123253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186505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11989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468654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2458</v>
      </c>
      <c r="D1022" s="2" t="str">
        <f t="shared" si="14"/>
        <v>Error?</v>
      </c>
    </row>
    <row r="1023" spans="1:4" x14ac:dyDescent="0.2">
      <c r="A1023" s="5">
        <v>962</v>
      </c>
      <c r="B1023" s="138">
        <f>'Expenditures 15-22'!H50</f>
        <v>991</v>
      </c>
      <c r="D1023" s="2" t="str">
        <f t="shared" ref="D1023:D1086" si="15">IF(ISBLANK(B1023),"OK",IF(A1023-B1023=0,"OK","Error?"))</f>
        <v>Error?</v>
      </c>
    </row>
    <row r="1024" spans="1:4" x14ac:dyDescent="0.2">
      <c r="A1024" s="5">
        <v>963</v>
      </c>
      <c r="B1024" s="138">
        <f>'Expenditures 15-22'!H53</f>
        <v>3449</v>
      </c>
      <c r="C1024" s="2" t="s">
        <v>573</v>
      </c>
      <c r="D1024" s="2" t="str">
        <f t="shared" si="15"/>
        <v>Error?</v>
      </c>
    </row>
    <row r="1025" spans="1:4" x14ac:dyDescent="0.2">
      <c r="A1025" s="5">
        <v>964</v>
      </c>
      <c r="B1025" s="138">
        <f>'Expenditures 15-22'!H55</f>
        <v>2248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2248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1084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1084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6781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293885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769320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3845372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245684</v>
      </c>
      <c r="C1105" s="2" t="s">
        <v>573</v>
      </c>
      <c r="D1105" s="2" t="str">
        <f t="shared" si="16"/>
        <v>Error?</v>
      </c>
    </row>
    <row r="1106" spans="1:4" x14ac:dyDescent="0.2">
      <c r="A1106" s="5">
        <v>1045</v>
      </c>
      <c r="B1106" s="138">
        <f>'Expenditures 15-22'!K14</f>
        <v>327207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6688492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168190</v>
      </c>
      <c r="C1110" s="2" t="s">
        <v>573</v>
      </c>
      <c r="D1110" s="2" t="str">
        <f t="shared" si="16"/>
        <v>Error?</v>
      </c>
    </row>
    <row r="1111" spans="1:4" x14ac:dyDescent="0.2">
      <c r="A1111" s="5">
        <v>1050</v>
      </c>
      <c r="B1111" s="138">
        <f>'Expenditures 15-22'!K38</f>
        <v>27205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88165</v>
      </c>
      <c r="C1113" s="2" t="s">
        <v>573</v>
      </c>
      <c r="D1113" s="2" t="str">
        <f t="shared" si="16"/>
        <v>Error?</v>
      </c>
    </row>
    <row r="1114" spans="1:4" x14ac:dyDescent="0.2">
      <c r="A1114" s="5">
        <v>1053</v>
      </c>
      <c r="B1114" s="138">
        <f>'Expenditures 15-22'!K41</f>
        <v>5237</v>
      </c>
      <c r="C1114" s="2" t="s">
        <v>573</v>
      </c>
      <c r="D1114" s="2" t="str">
        <f t="shared" si="16"/>
        <v>Error?</v>
      </c>
    </row>
    <row r="1115" spans="1:4" x14ac:dyDescent="0.2">
      <c r="A1115" s="5">
        <v>1054</v>
      </c>
      <c r="B1115" s="138">
        <f>'Expenditures 15-22'!K42</f>
        <v>288797</v>
      </c>
      <c r="C1115" s="2" t="s">
        <v>573</v>
      </c>
      <c r="D1115" s="2" t="str">
        <f t="shared" si="16"/>
        <v>Error?</v>
      </c>
    </row>
    <row r="1116" spans="1:4" x14ac:dyDescent="0.2">
      <c r="A1116" s="5">
        <v>1055</v>
      </c>
      <c r="B1116" s="138">
        <f>'Expenditures 15-22'!K44</f>
        <v>123672</v>
      </c>
      <c r="C1116" s="2" t="s">
        <v>573</v>
      </c>
      <c r="D1116" s="2" t="str">
        <f t="shared" si="16"/>
        <v>Error?</v>
      </c>
    </row>
    <row r="1117" spans="1:4" x14ac:dyDescent="0.2">
      <c r="A1117" s="5">
        <v>1056</v>
      </c>
      <c r="B1117" s="138">
        <f>'Expenditures 15-22'!K45</f>
        <v>69998</v>
      </c>
      <c r="C1117" s="2" t="s">
        <v>573</v>
      </c>
      <c r="D1117" s="2" t="str">
        <f t="shared" si="16"/>
        <v>Error?</v>
      </c>
    </row>
    <row r="1118" spans="1:4" x14ac:dyDescent="0.2">
      <c r="A1118" s="5">
        <v>1057</v>
      </c>
      <c r="B1118" s="138">
        <f>'Expenditures 15-22'!K46</f>
        <v>16203</v>
      </c>
      <c r="C1118" s="2" t="s">
        <v>573</v>
      </c>
      <c r="D1118" s="2" t="str">
        <f t="shared" si="16"/>
        <v>Error?</v>
      </c>
    </row>
    <row r="1119" spans="1:4" x14ac:dyDescent="0.2">
      <c r="A1119" s="5">
        <v>1058</v>
      </c>
      <c r="B1119" s="138">
        <f>'Expenditures 15-22'!K47</f>
        <v>209873</v>
      </c>
      <c r="C1119" s="2" t="s">
        <v>573</v>
      </c>
      <c r="D1119" s="2" t="str">
        <f t="shared" si="16"/>
        <v>Error?</v>
      </c>
    </row>
    <row r="1120" spans="1:4" x14ac:dyDescent="0.2">
      <c r="A1120" s="5">
        <v>1059</v>
      </c>
      <c r="B1120" s="138">
        <f>'Expenditures 15-22'!K49</f>
        <v>90465</v>
      </c>
      <c r="C1120" s="2" t="s">
        <v>573</v>
      </c>
      <c r="D1120" s="2" t="str">
        <f t="shared" si="16"/>
        <v>Error?</v>
      </c>
    </row>
    <row r="1121" spans="1:4" x14ac:dyDescent="0.2">
      <c r="A1121" s="5">
        <v>1060</v>
      </c>
      <c r="B1121" s="138">
        <f>'Expenditures 15-22'!K50</f>
        <v>188023</v>
      </c>
      <c r="C1121" s="2" t="s">
        <v>573</v>
      </c>
      <c r="D1121" s="2" t="str">
        <f t="shared" si="16"/>
        <v>Error?</v>
      </c>
    </row>
    <row r="1122" spans="1:4" x14ac:dyDescent="0.2">
      <c r="A1122" s="5">
        <v>1061</v>
      </c>
      <c r="B1122" s="138">
        <f>'Expenditures 15-22'!K53</f>
        <v>278488</v>
      </c>
      <c r="C1122" s="2" t="s">
        <v>573</v>
      </c>
      <c r="D1122" s="2" t="str">
        <f t="shared" si="16"/>
        <v>Error?</v>
      </c>
    </row>
    <row r="1123" spans="1:4" x14ac:dyDescent="0.2">
      <c r="A1123" s="5">
        <v>1062</v>
      </c>
      <c r="B1123" s="138">
        <f>'Expenditures 15-22'!K55</f>
        <v>542617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542617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90471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547749</v>
      </c>
      <c r="C1130" s="2" t="s">
        <v>573</v>
      </c>
      <c r="D1130" s="2" t="str">
        <f t="shared" si="16"/>
        <v>Error?</v>
      </c>
    </row>
    <row r="1131" spans="1:4" x14ac:dyDescent="0.2">
      <c r="A1131" s="5">
        <v>1070</v>
      </c>
      <c r="B1131" s="138">
        <f>'Expenditures 15-22'!K64</f>
        <v>28993</v>
      </c>
      <c r="C1131" s="2" t="s">
        <v>573</v>
      </c>
      <c r="D1131" s="2" t="str">
        <f t="shared" si="16"/>
        <v>Error?</v>
      </c>
    </row>
    <row r="1132" spans="1:4" x14ac:dyDescent="0.2">
      <c r="A1132" s="10">
        <v>1071</v>
      </c>
      <c r="D1132" s="2" t="str">
        <f t="shared" si="16"/>
        <v>OK</v>
      </c>
    </row>
    <row r="1133" spans="1:4" x14ac:dyDescent="0.2">
      <c r="A1133" s="5">
        <v>1072</v>
      </c>
      <c r="B1133" s="138">
        <f>'Expenditures 15-22'!K65</f>
        <v>667213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214337</v>
      </c>
      <c r="C1139" s="2" t="s">
        <v>573</v>
      </c>
      <c r="D1139" s="2" t="str">
        <f t="shared" si="16"/>
        <v>Error?</v>
      </c>
    </row>
    <row r="1140" spans="1:4" x14ac:dyDescent="0.2">
      <c r="A1140" s="10">
        <v>1079</v>
      </c>
      <c r="D1140" s="2" t="str">
        <f t="shared" si="16"/>
        <v>OK</v>
      </c>
    </row>
    <row r="1141" spans="1:4" x14ac:dyDescent="0.2">
      <c r="A1141" s="5">
        <v>1080</v>
      </c>
      <c r="B1141" s="138">
        <f>'Expenditures 15-22'!K72</f>
        <v>214337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2201325</v>
      </c>
      <c r="C1143" s="2" t="s">
        <v>573</v>
      </c>
      <c r="D1143" s="2" t="str">
        <f t="shared" si="16"/>
        <v>Error?</v>
      </c>
    </row>
    <row r="1144" spans="1:4" x14ac:dyDescent="0.2">
      <c r="A1144" s="5">
        <v>1083</v>
      </c>
      <c r="B1144" s="138">
        <f>'Expenditures 15-22'!K75</f>
        <v>39594</v>
      </c>
      <c r="C1144" s="2" t="s">
        <v>573</v>
      </c>
      <c r="D1144" s="2" t="str">
        <f t="shared" si="16"/>
        <v>Error?</v>
      </c>
    </row>
    <row r="1145" spans="1:4" x14ac:dyDescent="0.2">
      <c r="A1145" s="5">
        <v>1084</v>
      </c>
      <c r="B1145" s="138">
        <f>'Expenditures 15-22'!K102</f>
        <v>413286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9342697</v>
      </c>
      <c r="C1152" s="2" t="s">
        <v>573</v>
      </c>
      <c r="D1152" s="2" t="str">
        <f t="shared" si="17"/>
        <v>Error?</v>
      </c>
    </row>
    <row r="1153" spans="1:4" x14ac:dyDescent="0.2">
      <c r="A1153" s="5">
        <v>1092</v>
      </c>
      <c r="B1153" s="138">
        <f>'Expenditures 15-22'!K115</f>
        <v>-357037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374389</v>
      </c>
      <c r="D1221" s="2" t="str">
        <f t="shared" si="18"/>
        <v>Error?</v>
      </c>
    </row>
    <row r="1222" spans="1:4" x14ac:dyDescent="0.2">
      <c r="A1222" s="10">
        <v>1161</v>
      </c>
      <c r="D1222" s="2" t="str">
        <f t="shared" si="18"/>
        <v>OK</v>
      </c>
    </row>
    <row r="1223" spans="1:4" x14ac:dyDescent="0.2">
      <c r="A1223" s="5">
        <v>1162</v>
      </c>
      <c r="B1223" s="138">
        <f>'Expenditures 15-22'!C127</f>
        <v>374389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374389</v>
      </c>
      <c r="C1225" s="2" t="s">
        <v>573</v>
      </c>
      <c r="D1225" s="2" t="str">
        <f t="shared" si="18"/>
        <v>Error?</v>
      </c>
    </row>
    <row r="1226" spans="1:4" x14ac:dyDescent="0.2">
      <c r="A1226" s="5">
        <v>1165</v>
      </c>
      <c r="B1226" s="138">
        <f>'Expenditures 15-22'!C151</f>
        <v>374389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48804</v>
      </c>
      <c r="D1229" s="2" t="str">
        <f t="shared" si="18"/>
        <v>Error?</v>
      </c>
    </row>
    <row r="1230" spans="1:4" x14ac:dyDescent="0.2">
      <c r="A1230" s="10">
        <v>1169</v>
      </c>
      <c r="D1230" s="2" t="str">
        <f t="shared" si="18"/>
        <v>OK</v>
      </c>
    </row>
    <row r="1231" spans="1:4" x14ac:dyDescent="0.2">
      <c r="A1231" s="5">
        <v>1170</v>
      </c>
      <c r="B1231" s="138">
        <f>'Expenditures 15-22'!D127</f>
        <v>48804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48804</v>
      </c>
      <c r="C1233" s="2" t="s">
        <v>573</v>
      </c>
      <c r="D1233" s="2" t="str">
        <f t="shared" si="18"/>
        <v>Error?</v>
      </c>
    </row>
    <row r="1234" spans="1:4" x14ac:dyDescent="0.2">
      <c r="A1234" s="5">
        <v>1173</v>
      </c>
      <c r="B1234" s="138">
        <f>'Expenditures 15-22'!D151</f>
        <v>48804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356181</v>
      </c>
      <c r="D1237" s="2" t="str">
        <f t="shared" si="18"/>
        <v>Error?</v>
      </c>
    </row>
    <row r="1238" spans="1:4" x14ac:dyDescent="0.2">
      <c r="A1238" s="10">
        <v>1177</v>
      </c>
      <c r="D1238" s="2" t="str">
        <f t="shared" si="18"/>
        <v>OK</v>
      </c>
    </row>
    <row r="1239" spans="1:4" x14ac:dyDescent="0.2">
      <c r="A1239" s="5">
        <v>1178</v>
      </c>
      <c r="B1239" s="138">
        <f>'Expenditures 15-22'!E127</f>
        <v>356181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356181</v>
      </c>
      <c r="C1241" s="2" t="s">
        <v>573</v>
      </c>
      <c r="D1241" s="2" t="str">
        <f t="shared" si="18"/>
        <v>Error?</v>
      </c>
    </row>
    <row r="1242" spans="1:4" x14ac:dyDescent="0.2">
      <c r="A1242" s="5">
        <v>1181</v>
      </c>
      <c r="B1242" s="138">
        <f>'Expenditures 15-22'!E151</f>
        <v>356181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404288</v>
      </c>
      <c r="D1245" s="2" t="str">
        <f t="shared" si="18"/>
        <v>Error?</v>
      </c>
    </row>
    <row r="1246" spans="1:4" x14ac:dyDescent="0.2">
      <c r="A1246" s="10">
        <v>1185</v>
      </c>
      <c r="D1246" s="2" t="str">
        <f t="shared" si="18"/>
        <v>OK</v>
      </c>
    </row>
    <row r="1247" spans="1:4" x14ac:dyDescent="0.2">
      <c r="A1247" s="5">
        <v>1186</v>
      </c>
      <c r="B1247" s="138">
        <f>'Expenditures 15-22'!F127</f>
        <v>404288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404288</v>
      </c>
      <c r="C1249" s="2" t="s">
        <v>573</v>
      </c>
      <c r="D1249" s="2" t="str">
        <f t="shared" si="18"/>
        <v>Error?</v>
      </c>
    </row>
    <row r="1250" spans="1:4" x14ac:dyDescent="0.2">
      <c r="A1250" s="5">
        <v>1189</v>
      </c>
      <c r="B1250" s="138">
        <f>'Expenditures 15-22'!F151</f>
        <v>404288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58782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58782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58782</v>
      </c>
      <c r="C1258" s="2" t="s">
        <v>573</v>
      </c>
      <c r="D1258" s="2" t="str">
        <f t="shared" si="18"/>
        <v>Error?</v>
      </c>
    </row>
    <row r="1259" spans="1:4" x14ac:dyDescent="0.2">
      <c r="A1259" s="5">
        <v>1198</v>
      </c>
      <c r="B1259" s="138">
        <f>'Expenditures 15-22'!G151</f>
        <v>58782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9524</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9524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1242444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1242444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1242444</v>
      </c>
      <c r="C1281" s="2" t="s">
        <v>573</v>
      </c>
      <c r="D1281" s="2" t="str">
        <f t="shared" si="19"/>
        <v>Error?</v>
      </c>
    </row>
    <row r="1282" spans="1:4" x14ac:dyDescent="0.2">
      <c r="A1282" s="5">
        <v>1221</v>
      </c>
      <c r="B1282" s="138">
        <f>'Expenditures 15-22'!K139</f>
        <v>9524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1251968</v>
      </c>
      <c r="C1288" s="2" t="s">
        <v>573</v>
      </c>
      <c r="D1288" s="2" t="str">
        <f t="shared" si="19"/>
        <v>Error?</v>
      </c>
    </row>
    <row r="1289" spans="1:4" x14ac:dyDescent="0.2">
      <c r="A1289" s="5">
        <v>1228</v>
      </c>
      <c r="B1289" s="138">
        <f>'Expenditures 15-22'!K152</f>
        <v>-50056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250000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255712</v>
      </c>
      <c r="C1317" s="2" t="s">
        <v>573</v>
      </c>
      <c r="D1317" s="2" t="str">
        <f t="shared" si="19"/>
        <v>Error?</v>
      </c>
    </row>
    <row r="1318" spans="1:4" x14ac:dyDescent="0.2">
      <c r="A1318" s="5">
        <v>1257</v>
      </c>
      <c r="B1318" s="138">
        <f>'Expenditures 15-22'!H174</f>
        <v>255712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4812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250000</v>
      </c>
      <c r="C1329" s="2" t="s">
        <v>573</v>
      </c>
      <c r="D1329" s="2" t="str">
        <f t="shared" si="19"/>
        <v>Error?</v>
      </c>
    </row>
    <row r="1330" spans="1:4" x14ac:dyDescent="0.2">
      <c r="A1330" s="5">
        <v>1269</v>
      </c>
      <c r="B1330" s="138">
        <f>'Expenditures 15-22'!K171</f>
        <v>900</v>
      </c>
      <c r="C1330" s="2" t="s">
        <v>573</v>
      </c>
      <c r="D1330" s="2" t="str">
        <f t="shared" si="19"/>
        <v>Error?</v>
      </c>
    </row>
    <row r="1331" spans="1:4" x14ac:dyDescent="0.2">
      <c r="A1331" s="5">
        <v>1270</v>
      </c>
      <c r="B1331" s="138">
        <f>'Expenditures 15-22'!K172</f>
        <v>255712</v>
      </c>
      <c r="C1331" s="2" t="s">
        <v>573</v>
      </c>
      <c r="D1331" s="2" t="str">
        <f t="shared" si="19"/>
        <v>Error?</v>
      </c>
    </row>
    <row r="1332" spans="1:4" x14ac:dyDescent="0.2">
      <c r="A1332" s="5">
        <v>1271</v>
      </c>
      <c r="B1332" s="138">
        <f>'Expenditures 15-22'!K174</f>
        <v>255712</v>
      </c>
      <c r="C1332" s="2" t="s">
        <v>573</v>
      </c>
      <c r="D1332" s="2" t="str">
        <f t="shared" si="19"/>
        <v>Error?</v>
      </c>
    </row>
    <row r="1333" spans="1:4" x14ac:dyDescent="0.2">
      <c r="A1333" s="5">
        <v>1272</v>
      </c>
      <c r="B1333" s="138">
        <f>'Expenditures 15-22'!K175</f>
        <v>6826</v>
      </c>
      <c r="C1333" s="2" t="s">
        <v>573</v>
      </c>
      <c r="D1333" s="2" t="str">
        <f t="shared" si="19"/>
        <v>Error?</v>
      </c>
    </row>
    <row r="1334" spans="1:4" x14ac:dyDescent="0.2">
      <c r="A1334" s="10">
        <v>1273</v>
      </c>
      <c r="D1334" s="2" t="str">
        <f t="shared" si="19"/>
        <v>OK</v>
      </c>
    </row>
    <row r="1335" spans="1:4" x14ac:dyDescent="0.2">
      <c r="A1335" s="5">
        <v>1274</v>
      </c>
      <c r="B1335" s="138">
        <f>'Expenditures 15-22'!C182</f>
        <v>650785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650785</v>
      </c>
      <c r="C1339" s="2" t="s">
        <v>573</v>
      </c>
      <c r="D1339" s="2" t="str">
        <f t="shared" si="19"/>
        <v>Error?</v>
      </c>
    </row>
    <row r="1340" spans="1:4" x14ac:dyDescent="0.2">
      <c r="A1340" s="5">
        <v>1279</v>
      </c>
      <c r="B1340" s="138">
        <f>'Expenditures 15-22'!C210</f>
        <v>650785</v>
      </c>
      <c r="C1340" s="2" t="s">
        <v>573</v>
      </c>
      <c r="D1340" s="2" t="str">
        <f t="shared" si="19"/>
        <v>Error?</v>
      </c>
    </row>
    <row r="1341" spans="1:4" x14ac:dyDescent="0.2">
      <c r="A1341" s="5">
        <v>1280</v>
      </c>
      <c r="B1341" s="138">
        <f>'Expenditures 15-22'!D182</f>
        <v>18404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18404</v>
      </c>
      <c r="C1345" s="2" t="s">
        <v>573</v>
      </c>
      <c r="D1345" s="2" t="str">
        <f t="shared" si="20"/>
        <v>Error?</v>
      </c>
    </row>
    <row r="1346" spans="1:4" x14ac:dyDescent="0.2">
      <c r="A1346" s="5">
        <v>1285</v>
      </c>
      <c r="B1346" s="138">
        <f>'Expenditures 15-22'!D210</f>
        <v>18404</v>
      </c>
      <c r="C1346" s="2" t="s">
        <v>573</v>
      </c>
      <c r="D1346" s="2" t="str">
        <f t="shared" si="20"/>
        <v>Error?</v>
      </c>
    </row>
    <row r="1347" spans="1:4" x14ac:dyDescent="0.2">
      <c r="A1347" s="5">
        <v>1286</v>
      </c>
      <c r="B1347" s="138">
        <f>'Expenditures 15-22'!E182</f>
        <v>99585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99585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99585</v>
      </c>
      <c r="C1353" s="2" t="s">
        <v>573</v>
      </c>
      <c r="D1353" s="2" t="str">
        <f t="shared" si="20"/>
        <v>Error?</v>
      </c>
    </row>
    <row r="1354" spans="1:4" x14ac:dyDescent="0.2">
      <c r="A1354" s="5">
        <v>1293</v>
      </c>
      <c r="B1354" s="138">
        <f>'Expenditures 15-22'!F182</f>
        <v>288607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288607</v>
      </c>
      <c r="C1358" s="2" t="s">
        <v>573</v>
      </c>
      <c r="D1358" s="2" t="str">
        <f t="shared" si="20"/>
        <v>Error?</v>
      </c>
    </row>
    <row r="1359" spans="1:4" x14ac:dyDescent="0.2">
      <c r="A1359" s="5">
        <v>1298</v>
      </c>
      <c r="B1359" s="138">
        <f>'Expenditures 15-22'!F210</f>
        <v>288607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132342</v>
      </c>
      <c r="C1375" s="2" t="s">
        <v>573</v>
      </c>
      <c r="D1375" s="2" t="str">
        <f t="shared" si="20"/>
        <v>Error?</v>
      </c>
    </row>
    <row r="1376" spans="1:4" x14ac:dyDescent="0.2">
      <c r="A1376" s="5">
        <v>1315</v>
      </c>
      <c r="B1376" s="138">
        <f>'Expenditures 15-22'!H210</f>
        <v>132407</v>
      </c>
      <c r="C1376" s="2" t="s">
        <v>573</v>
      </c>
      <c r="D1376" s="2" t="str">
        <f t="shared" si="20"/>
        <v>Error?</v>
      </c>
    </row>
    <row r="1377" spans="1:4" x14ac:dyDescent="0.2">
      <c r="A1377" s="5">
        <v>1316</v>
      </c>
      <c r="B1377" s="138">
        <f>'Expenditures 15-22'!K182</f>
        <v>1057446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1057446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132342</v>
      </c>
      <c r="C1387" s="2" t="s">
        <v>573</v>
      </c>
      <c r="D1387" s="2" t="str">
        <f t="shared" si="20"/>
        <v>Error?</v>
      </c>
    </row>
    <row r="1388" spans="1:4" x14ac:dyDescent="0.2">
      <c r="A1388" s="5">
        <v>1327</v>
      </c>
      <c r="B1388" s="138">
        <f>'Expenditures 15-22'!K210</f>
        <v>1189788</v>
      </c>
      <c r="C1388" s="2" t="s">
        <v>573</v>
      </c>
      <c r="D1388" s="2" t="str">
        <f t="shared" si="20"/>
        <v>Error?</v>
      </c>
    </row>
    <row r="1389" spans="1:4" x14ac:dyDescent="0.2">
      <c r="A1389" s="5">
        <v>1328</v>
      </c>
      <c r="B1389" s="138">
        <f>'Expenditures 15-22'!K211</f>
        <v>-86818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3035</v>
      </c>
      <c r="D1407" s="2" t="str">
        <f t="shared" ref="D1407:D1470" si="21">IF(ISBLANK(B1407),"OK",IF(A1407-B1407=0,"OK","Error?"))</f>
        <v>Error?</v>
      </c>
    </row>
    <row r="1408" spans="1:4" x14ac:dyDescent="0.2">
      <c r="A1408" s="5">
        <v>1347</v>
      </c>
      <c r="B1408" s="138">
        <f>'Expenditures 15-22'!D223</f>
        <v>7449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167252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5908</v>
      </c>
      <c r="D1412" s="2" t="str">
        <f t="shared" si="21"/>
        <v>Error?</v>
      </c>
    </row>
    <row r="1413" spans="1:4" x14ac:dyDescent="0.2">
      <c r="A1413" s="5">
        <v>1352</v>
      </c>
      <c r="B1413" s="138">
        <f>'Expenditures 15-22'!D234</f>
        <v>6650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4460</v>
      </c>
      <c r="D1415" s="2" t="str">
        <f t="shared" si="21"/>
        <v>Error?</v>
      </c>
    </row>
    <row r="1416" spans="1:4" x14ac:dyDescent="0.2">
      <c r="A1416" s="5">
        <v>1355</v>
      </c>
      <c r="B1416" s="138">
        <f>'Expenditures 15-22'!D237</f>
        <v>235</v>
      </c>
      <c r="D1416" s="2" t="str">
        <f t="shared" si="21"/>
        <v>Error?</v>
      </c>
    </row>
    <row r="1417" spans="1:4" x14ac:dyDescent="0.2">
      <c r="A1417" s="5">
        <v>1356</v>
      </c>
      <c r="B1417" s="138">
        <f>'Expenditures 15-22'!D238</f>
        <v>17253</v>
      </c>
      <c r="C1417" s="2" t="s">
        <v>573</v>
      </c>
      <c r="D1417" s="2" t="str">
        <f t="shared" si="21"/>
        <v>Error?</v>
      </c>
    </row>
    <row r="1418" spans="1:4" x14ac:dyDescent="0.2">
      <c r="A1418" s="5">
        <v>1357</v>
      </c>
      <c r="B1418" s="138">
        <f>'Expenditures 15-22'!D240</f>
        <v>1635</v>
      </c>
      <c r="D1418" s="2" t="str">
        <f t="shared" si="21"/>
        <v>Error?</v>
      </c>
    </row>
    <row r="1419" spans="1:4" x14ac:dyDescent="0.2">
      <c r="A1419" s="5">
        <v>1358</v>
      </c>
      <c r="B1419" s="138">
        <f>'Expenditures 15-22'!D241</f>
        <v>9070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10705</v>
      </c>
      <c r="C1421" s="2" t="s">
        <v>573</v>
      </c>
      <c r="D1421" s="2" t="str">
        <f t="shared" si="21"/>
        <v>Error?</v>
      </c>
    </row>
    <row r="1422" spans="1:4" x14ac:dyDescent="0.2">
      <c r="A1422" s="5">
        <v>1361</v>
      </c>
      <c r="B1422" s="138">
        <f>'Expenditures 15-22'!D245</f>
        <v>252</v>
      </c>
      <c r="D1422" s="2" t="str">
        <f t="shared" si="21"/>
        <v>Error?</v>
      </c>
    </row>
    <row r="1423" spans="1:4" x14ac:dyDescent="0.2">
      <c r="A1423" s="5">
        <v>1362</v>
      </c>
      <c r="B1423" s="138">
        <f>'Expenditures 15-22'!D246</f>
        <v>14643</v>
      </c>
      <c r="D1423" s="2" t="str">
        <f t="shared" si="21"/>
        <v>Error?</v>
      </c>
    </row>
    <row r="1424" spans="1:4" x14ac:dyDescent="0.2">
      <c r="A1424" s="5">
        <v>1363</v>
      </c>
      <c r="B1424" s="138">
        <f>'Expenditures 15-22'!D257</f>
        <v>15847</v>
      </c>
      <c r="C1424" s="2" t="s">
        <v>573</v>
      </c>
      <c r="D1424" s="2" t="str">
        <f t="shared" si="21"/>
        <v>Error?</v>
      </c>
    </row>
    <row r="1425" spans="1:4" x14ac:dyDescent="0.2">
      <c r="A1425" s="5">
        <v>1364</v>
      </c>
      <c r="B1425" s="138">
        <f>'Expenditures 15-22'!D259</f>
        <v>43376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43376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10880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67891</v>
      </c>
      <c r="D1431" s="2" t="str">
        <f t="shared" si="21"/>
        <v>Error?</v>
      </c>
    </row>
    <row r="1432" spans="1:4" x14ac:dyDescent="0.2">
      <c r="A1432" s="5">
        <v>1371</v>
      </c>
      <c r="B1432" s="138">
        <f>'Expenditures 15-22'!D267</f>
        <v>102837</v>
      </c>
      <c r="D1432" s="2" t="str">
        <f t="shared" si="21"/>
        <v>Error?</v>
      </c>
    </row>
    <row r="1433" spans="1:4" x14ac:dyDescent="0.2">
      <c r="A1433" s="5">
        <v>1372</v>
      </c>
      <c r="B1433" s="138">
        <f>'Expenditures 15-22'!D268</f>
        <v>37149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218757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12967</v>
      </c>
      <c r="D1442" s="2" t="str">
        <f t="shared" si="21"/>
        <v>Error?</v>
      </c>
    </row>
    <row r="1443" spans="1:4" x14ac:dyDescent="0.2">
      <c r="A1443" s="10">
        <v>1382</v>
      </c>
      <c r="D1443" s="2" t="str">
        <f t="shared" si="21"/>
        <v>OK</v>
      </c>
    </row>
    <row r="1444" spans="1:4" x14ac:dyDescent="0.2">
      <c r="A1444" s="5">
        <v>1383</v>
      </c>
      <c r="B1444" s="138">
        <f>'Expenditures 15-22'!D277</f>
        <v>12967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318905</v>
      </c>
      <c r="C1446" s="2" t="s">
        <v>573</v>
      </c>
      <c r="D1446" s="2" t="str">
        <f t="shared" si="21"/>
        <v>Error?</v>
      </c>
    </row>
    <row r="1447" spans="1:4" x14ac:dyDescent="0.2">
      <c r="A1447" s="5">
        <v>1386</v>
      </c>
      <c r="B1447" s="138">
        <f>'Expenditures 15-22'!D280</f>
        <v>4727</v>
      </c>
      <c r="D1447" s="2" t="str">
        <f t="shared" si="21"/>
        <v>Error?</v>
      </c>
    </row>
    <row r="1448" spans="1:4" x14ac:dyDescent="0.2">
      <c r="A1448" s="5">
        <v>1387</v>
      </c>
      <c r="B1448" s="138">
        <f>'Expenditures 15-22'!D295</f>
        <v>490884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3035</v>
      </c>
      <c r="C1471" s="2" t="s">
        <v>573</v>
      </c>
      <c r="D1471" s="2" t="str">
        <f t="shared" ref="D1471:D1534" si="22">IF(ISBLANK(B1471),"OK",IF(A1471-B1471=0,"OK","Error?"))</f>
        <v>Error?</v>
      </c>
    </row>
    <row r="1472" spans="1:4" x14ac:dyDescent="0.2">
      <c r="A1472" s="5">
        <v>1411</v>
      </c>
      <c r="B1472" s="138">
        <f>'Expenditures 15-22'!K223</f>
        <v>7449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167252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5908</v>
      </c>
      <c r="C1476" s="2" t="s">
        <v>573</v>
      </c>
      <c r="D1476" s="2" t="str">
        <f t="shared" si="22"/>
        <v>Error?</v>
      </c>
    </row>
    <row r="1477" spans="1:4" x14ac:dyDescent="0.2">
      <c r="A1477" s="5">
        <v>1416</v>
      </c>
      <c r="B1477" s="138">
        <f>'Expenditures 15-22'!K234</f>
        <v>6650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4460</v>
      </c>
      <c r="C1479" s="2" t="s">
        <v>573</v>
      </c>
      <c r="D1479" s="2" t="str">
        <f t="shared" si="22"/>
        <v>Error?</v>
      </c>
    </row>
    <row r="1480" spans="1:4" x14ac:dyDescent="0.2">
      <c r="A1480" s="5">
        <v>1419</v>
      </c>
      <c r="B1480" s="138">
        <f>'Expenditures 15-22'!K237</f>
        <v>235</v>
      </c>
      <c r="C1480" s="2" t="s">
        <v>573</v>
      </c>
      <c r="D1480" s="2" t="str">
        <f t="shared" si="22"/>
        <v>Error?</v>
      </c>
    </row>
    <row r="1481" spans="1:4" x14ac:dyDescent="0.2">
      <c r="A1481" s="5">
        <v>1420</v>
      </c>
      <c r="B1481" s="138">
        <f>'Expenditures 15-22'!K238</f>
        <v>17253</v>
      </c>
      <c r="C1481" s="2" t="s">
        <v>573</v>
      </c>
      <c r="D1481" s="2" t="str">
        <f t="shared" si="22"/>
        <v>Error?</v>
      </c>
    </row>
    <row r="1482" spans="1:4" x14ac:dyDescent="0.2">
      <c r="A1482" s="5">
        <v>1421</v>
      </c>
      <c r="B1482" s="138">
        <f>'Expenditures 15-22'!K240</f>
        <v>1635</v>
      </c>
      <c r="C1482" s="2" t="s">
        <v>573</v>
      </c>
      <c r="D1482" s="2" t="str">
        <f t="shared" si="22"/>
        <v>Error?</v>
      </c>
    </row>
    <row r="1483" spans="1:4" x14ac:dyDescent="0.2">
      <c r="A1483" s="5">
        <v>1422</v>
      </c>
      <c r="B1483" s="138">
        <f>'Expenditures 15-22'!K241</f>
        <v>9070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10705</v>
      </c>
      <c r="C1485" s="2" t="s">
        <v>573</v>
      </c>
      <c r="D1485" s="2" t="str">
        <f t="shared" si="22"/>
        <v>Error?</v>
      </c>
    </row>
    <row r="1486" spans="1:4" x14ac:dyDescent="0.2">
      <c r="A1486" s="5">
        <v>1425</v>
      </c>
      <c r="B1486" s="138">
        <f>'Expenditures 15-22'!K245</f>
        <v>252</v>
      </c>
      <c r="C1486" s="2" t="s">
        <v>573</v>
      </c>
      <c r="D1486" s="2" t="str">
        <f t="shared" si="22"/>
        <v>Error?</v>
      </c>
    </row>
    <row r="1487" spans="1:4" x14ac:dyDescent="0.2">
      <c r="A1487" s="5">
        <v>1426</v>
      </c>
      <c r="B1487" s="138">
        <f>'Expenditures 15-22'!K246</f>
        <v>14643</v>
      </c>
      <c r="C1487" s="2" t="s">
        <v>573</v>
      </c>
      <c r="D1487" s="2" t="str">
        <f t="shared" si="22"/>
        <v>Error?</v>
      </c>
    </row>
    <row r="1488" spans="1:4" x14ac:dyDescent="0.2">
      <c r="A1488" s="5">
        <v>1427</v>
      </c>
      <c r="B1488" s="138">
        <f>'Expenditures 15-22'!K257</f>
        <v>15847</v>
      </c>
      <c r="C1488" s="2" t="s">
        <v>573</v>
      </c>
      <c r="D1488" s="2" t="str">
        <f t="shared" si="22"/>
        <v>Error?</v>
      </c>
    </row>
    <row r="1489" spans="1:4" x14ac:dyDescent="0.2">
      <c r="A1489" s="5">
        <v>1428</v>
      </c>
      <c r="B1489" s="138">
        <f>'Expenditures 15-22'!K259</f>
        <v>43376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43376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10880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67891</v>
      </c>
      <c r="C1495" s="2" t="s">
        <v>573</v>
      </c>
      <c r="D1495" s="2" t="str">
        <f t="shared" si="22"/>
        <v>Error?</v>
      </c>
    </row>
    <row r="1496" spans="1:4" x14ac:dyDescent="0.2">
      <c r="A1496" s="5">
        <v>1435</v>
      </c>
      <c r="B1496" s="138">
        <f>'Expenditures 15-22'!K267</f>
        <v>102837</v>
      </c>
      <c r="C1496" s="2" t="s">
        <v>573</v>
      </c>
      <c r="D1496" s="2" t="str">
        <f t="shared" si="22"/>
        <v>Error?</v>
      </c>
    </row>
    <row r="1497" spans="1:4" x14ac:dyDescent="0.2">
      <c r="A1497" s="5">
        <v>1436</v>
      </c>
      <c r="B1497" s="138">
        <f>'Expenditures 15-22'!K268</f>
        <v>37149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218757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12967</v>
      </c>
      <c r="C1506" s="2" t="s">
        <v>573</v>
      </c>
      <c r="D1506" s="2" t="str">
        <f t="shared" si="22"/>
        <v>Error?</v>
      </c>
    </row>
    <row r="1507" spans="1:4" x14ac:dyDescent="0.2">
      <c r="A1507" s="10">
        <v>1446</v>
      </c>
      <c r="D1507" s="2" t="str">
        <f t="shared" si="22"/>
        <v>OK</v>
      </c>
    </row>
    <row r="1508" spans="1:4" x14ac:dyDescent="0.2">
      <c r="A1508" s="5">
        <v>1447</v>
      </c>
      <c r="B1508" s="138">
        <f>'Expenditures 15-22'!K277</f>
        <v>12967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318905</v>
      </c>
      <c r="C1510" s="2" t="s">
        <v>573</v>
      </c>
      <c r="D1510" s="2" t="str">
        <f t="shared" si="22"/>
        <v>Error?</v>
      </c>
    </row>
    <row r="1511" spans="1:4" x14ac:dyDescent="0.2">
      <c r="A1511" s="5">
        <v>1450</v>
      </c>
      <c r="B1511" s="138">
        <f>'Expenditures 15-22'!K280</f>
        <v>4727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490884</v>
      </c>
      <c r="C1517" s="2" t="s">
        <v>573</v>
      </c>
      <c r="D1517" s="2" t="str">
        <f t="shared" si="22"/>
        <v>Error?</v>
      </c>
    </row>
    <row r="1518" spans="1:4" x14ac:dyDescent="0.2">
      <c r="A1518" s="5">
        <v>1457</v>
      </c>
      <c r="B1518" s="138">
        <f>'Expenditures 15-22'!K296</f>
        <v>-14127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9548486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9548486</v>
      </c>
      <c r="C1547" s="2" t="s">
        <v>573</v>
      </c>
      <c r="D1547" s="2" t="str">
        <f t="shared" si="23"/>
        <v>Error?</v>
      </c>
    </row>
    <row r="1548" spans="1:4" x14ac:dyDescent="0.2">
      <c r="A1548" s="5">
        <v>1487</v>
      </c>
      <c r="B1548" s="138">
        <f>'Expenditures 15-22'!G312</f>
        <v>9548486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9548486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9548486</v>
      </c>
      <c r="C1559" s="2" t="s">
        <v>573</v>
      </c>
      <c r="D1559" s="2" t="str">
        <f t="shared" si="23"/>
        <v>Error?</v>
      </c>
    </row>
    <row r="1560" spans="1:4" x14ac:dyDescent="0.2">
      <c r="A1560" s="5">
        <v>1499</v>
      </c>
      <c r="B1560" s="138">
        <f>'Expenditures 15-22'!K312</f>
        <v>9548486</v>
      </c>
      <c r="C1560" s="2" t="s">
        <v>573</v>
      </c>
      <c r="D1560" s="2" t="str">
        <f t="shared" si="23"/>
        <v>Error?</v>
      </c>
    </row>
    <row r="1561" spans="1:4" x14ac:dyDescent="0.2">
      <c r="A1561" s="5">
        <v>1500</v>
      </c>
      <c r="B1561" s="138">
        <f>'Expenditures 15-22'!K313</f>
        <v>-9404181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219553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143419</v>
      </c>
      <c r="C1630" s="2" t="s">
        <v>573</v>
      </c>
      <c r="D1630" s="2" t="str">
        <f t="shared" si="24"/>
        <v>Error?</v>
      </c>
    </row>
    <row r="1631" spans="1:4" x14ac:dyDescent="0.2">
      <c r="A1631" s="5">
        <v>1570</v>
      </c>
      <c r="B1631" s="138">
        <f>'Acct Summary 7-8'!D79</f>
        <v>102197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153241</v>
      </c>
      <c r="C1644" s="2" t="s">
        <v>573</v>
      </c>
      <c r="D1644" s="2" t="str">
        <f t="shared" si="24"/>
        <v>Error?</v>
      </c>
    </row>
    <row r="1645" spans="1:4" x14ac:dyDescent="0.2">
      <c r="A1645" s="5">
        <v>1584</v>
      </c>
      <c r="B1645" s="138">
        <f>'Acct Summary 7-8'!E79</f>
        <v>121250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128076</v>
      </c>
      <c r="C1658" s="2" t="s">
        <v>573</v>
      </c>
      <c r="D1658" s="2" t="str">
        <f t="shared" si="24"/>
        <v>Error?</v>
      </c>
    </row>
    <row r="1659" spans="1:4" x14ac:dyDescent="0.2">
      <c r="A1659" s="5">
        <v>1598</v>
      </c>
      <c r="B1659" s="138">
        <f>'Acct Summary 7-8'!F79</f>
        <v>281040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196972</v>
      </c>
      <c r="C1672" s="2" t="s">
        <v>573</v>
      </c>
      <c r="D1672" s="2" t="str">
        <f t="shared" si="25"/>
        <v>Error?</v>
      </c>
    </row>
    <row r="1673" spans="1:4" x14ac:dyDescent="0.2">
      <c r="A1673" s="5">
        <v>1612</v>
      </c>
      <c r="B1673" s="138">
        <f>'Acct Summary 7-8'!G79</f>
        <v>166640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152513</v>
      </c>
      <c r="C1686" s="2" t="s">
        <v>573</v>
      </c>
      <c r="D1686" s="2" t="str">
        <f t="shared" si="25"/>
        <v>Error?</v>
      </c>
    </row>
    <row r="1687" spans="1:4" x14ac:dyDescent="0.2">
      <c r="A1687" s="5">
        <v>1626</v>
      </c>
      <c r="B1687" s="138">
        <f>'Acct Summary 7-8'!H79</f>
        <v>11289800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1885619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3883187</v>
      </c>
      <c r="C1744" s="2" t="s">
        <v>573</v>
      </c>
      <c r="D1744" s="2" t="str">
        <f t="shared" si="26"/>
        <v>Error?</v>
      </c>
    </row>
    <row r="1745" spans="1:5" x14ac:dyDescent="0.2">
      <c r="A1745" s="5">
        <v>1684</v>
      </c>
      <c r="B1745" s="138">
        <f>'Tax Sched 23'!B5</f>
        <v>706134</v>
      </c>
      <c r="C1745" s="2" t="s">
        <v>573</v>
      </c>
      <c r="D1745" s="2" t="str">
        <f t="shared" si="26"/>
        <v>Error?</v>
      </c>
    </row>
    <row r="1746" spans="1:5" x14ac:dyDescent="0.2">
      <c r="A1746" s="5">
        <v>1685</v>
      </c>
      <c r="B1746" s="138">
        <f>'Tax Sched 23'!B6</f>
        <v>260446</v>
      </c>
      <c r="C1746" s="2" t="s">
        <v>573</v>
      </c>
      <c r="D1746" s="2" t="str">
        <f t="shared" si="26"/>
        <v>Error?</v>
      </c>
    </row>
    <row r="1747" spans="1:5" x14ac:dyDescent="0.2">
      <c r="A1747" s="5">
        <v>1686</v>
      </c>
      <c r="B1747" s="138">
        <f>'Tax Sched 23'!B7</f>
        <v>353072</v>
      </c>
      <c r="C1747" s="2" t="s">
        <v>573</v>
      </c>
      <c r="D1747" s="2" t="str">
        <f t="shared" si="26"/>
        <v>Error?</v>
      </c>
    </row>
    <row r="1748" spans="1:5" x14ac:dyDescent="0.2">
      <c r="A1748" s="5">
        <v>1687</v>
      </c>
      <c r="B1748" s="138">
        <f>'Tax Sched 23'!B8</f>
        <v>229382</v>
      </c>
      <c r="C1748" s="2" t="s">
        <v>573</v>
      </c>
      <c r="D1748" s="2" t="str">
        <f t="shared" si="26"/>
        <v>Error?</v>
      </c>
    </row>
    <row r="1749" spans="1:5" x14ac:dyDescent="0.2">
      <c r="A1749" s="5">
        <v>1688</v>
      </c>
      <c r="B1749" s="138">
        <f>'Tax Sched 23'!B10</f>
        <v>70617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1074525</v>
      </c>
      <c r="C1752" s="2" t="s">
        <v>573</v>
      </c>
      <c r="D1752" s="2" t="str">
        <f t="shared" si="26"/>
        <v>Error?</v>
      </c>
    </row>
    <row r="1753" spans="1:5" x14ac:dyDescent="0.2">
      <c r="A1753" s="5">
        <v>1692</v>
      </c>
      <c r="B1753" s="138">
        <f>'Tax Sched 23'!B12</f>
        <v>70612</v>
      </c>
      <c r="C1753" s="2" t="s">
        <v>573</v>
      </c>
      <c r="D1753" s="2" t="str">
        <f t="shared" si="26"/>
        <v>Error?</v>
      </c>
    </row>
    <row r="1754" spans="1:5" x14ac:dyDescent="0.2">
      <c r="A1754" s="5">
        <v>1693</v>
      </c>
      <c r="B1754" s="138">
        <f>'Tax Sched 23'!B14</f>
        <v>56495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7004585</v>
      </c>
      <c r="C1759" s="2" t="s">
        <v>573</v>
      </c>
      <c r="D1759" s="2" t="str">
        <f t="shared" si="26"/>
        <v>Error?</v>
      </c>
    </row>
    <row r="1760" spans="1:5" x14ac:dyDescent="0.2">
      <c r="A1760" s="5">
        <v>1699</v>
      </c>
      <c r="B1760" s="138">
        <f>'Tax Sched 23'!D4</f>
        <v>3883187</v>
      </c>
      <c r="C1760" s="2" t="s">
        <v>573</v>
      </c>
      <c r="D1760" s="2" t="str">
        <f t="shared" si="26"/>
        <v>Error?</v>
      </c>
    </row>
    <row r="1761" spans="1:5" x14ac:dyDescent="0.2">
      <c r="A1761" s="5">
        <v>1700</v>
      </c>
      <c r="B1761" s="138">
        <f>'Tax Sched 23'!D5</f>
        <v>706134</v>
      </c>
      <c r="C1761" s="2" t="s">
        <v>573</v>
      </c>
      <c r="D1761" s="2" t="str">
        <f t="shared" si="26"/>
        <v>Error?</v>
      </c>
    </row>
    <row r="1762" spans="1:5" s="8" customFormat="1" x14ac:dyDescent="0.2">
      <c r="A1762" s="5">
        <v>1701</v>
      </c>
      <c r="B1762" s="138">
        <f>'Tax Sched 23'!D6</f>
        <v>260446</v>
      </c>
      <c r="C1762" s="2" t="s">
        <v>573</v>
      </c>
      <c r="D1762" s="2" t="str">
        <f t="shared" si="26"/>
        <v>Error?</v>
      </c>
      <c r="E1762" s="9"/>
    </row>
    <row r="1763" spans="1:5" x14ac:dyDescent="0.2">
      <c r="A1763" s="5">
        <v>1702</v>
      </c>
      <c r="B1763" s="138">
        <f>'Tax Sched 23'!D7</f>
        <v>353072</v>
      </c>
      <c r="C1763" s="2" t="s">
        <v>573</v>
      </c>
      <c r="D1763" s="2" t="str">
        <f t="shared" si="26"/>
        <v>Error?</v>
      </c>
    </row>
    <row r="1764" spans="1:5" x14ac:dyDescent="0.2">
      <c r="A1764" s="5">
        <v>1703</v>
      </c>
      <c r="B1764" s="138">
        <f>'Tax Sched 23'!D8</f>
        <v>229382</v>
      </c>
      <c r="C1764" s="2" t="s">
        <v>573</v>
      </c>
      <c r="D1764" s="2" t="str">
        <f t="shared" si="26"/>
        <v>Error?</v>
      </c>
    </row>
    <row r="1765" spans="1:5" x14ac:dyDescent="0.2">
      <c r="A1765" s="5">
        <v>1704</v>
      </c>
      <c r="B1765" s="138">
        <f>'Tax Sched 23'!D10</f>
        <v>70617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1074525</v>
      </c>
      <c r="C1768" s="2" t="s">
        <v>573</v>
      </c>
      <c r="D1768" s="2" t="str">
        <f t="shared" si="26"/>
        <v>Error?</v>
      </c>
    </row>
    <row r="1769" spans="1:5" x14ac:dyDescent="0.2">
      <c r="A1769" s="5">
        <v>1708</v>
      </c>
      <c r="B1769" s="138">
        <f>'Tax Sched 23'!D12</f>
        <v>70612</v>
      </c>
      <c r="C1769" s="2" t="s">
        <v>573</v>
      </c>
      <c r="D1769" s="2" t="str">
        <f t="shared" si="26"/>
        <v>Error?</v>
      </c>
    </row>
    <row r="1770" spans="1:5" x14ac:dyDescent="0.2">
      <c r="A1770" s="5">
        <v>1709</v>
      </c>
      <c r="B1770" s="138">
        <f>'Tax Sched 23'!D14</f>
        <v>56495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7004585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4105823</v>
      </c>
      <c r="C1792" s="2" t="s">
        <v>573</v>
      </c>
      <c r="D1792" s="2" t="str">
        <f t="shared" si="27"/>
        <v>Error?</v>
      </c>
    </row>
    <row r="1793" spans="1:4" x14ac:dyDescent="0.2">
      <c r="A1793" s="5">
        <v>1732</v>
      </c>
      <c r="B1793" s="138">
        <f>'Tax Sched 23'!F5</f>
        <v>759578</v>
      </c>
      <c r="C1793" s="2" t="s">
        <v>573</v>
      </c>
      <c r="D1793" s="2" t="str">
        <f t="shared" si="27"/>
        <v>Error?</v>
      </c>
    </row>
    <row r="1794" spans="1:4" x14ac:dyDescent="0.2">
      <c r="A1794" s="5">
        <v>1733</v>
      </c>
      <c r="B1794" s="138">
        <f>'Tax Sched 23'!F6</f>
        <v>1315589</v>
      </c>
      <c r="C1794" s="2" t="s">
        <v>573</v>
      </c>
      <c r="D1794" s="2" t="str">
        <f t="shared" si="27"/>
        <v>Error?</v>
      </c>
    </row>
    <row r="1795" spans="1:4" x14ac:dyDescent="0.2">
      <c r="A1795" s="5">
        <v>1734</v>
      </c>
      <c r="B1795" s="138">
        <f>'Tax Sched 23'!F7</f>
        <v>379789</v>
      </c>
      <c r="C1795" s="2" t="s">
        <v>573</v>
      </c>
      <c r="D1795" s="2" t="str">
        <f t="shared" si="27"/>
        <v>Error?</v>
      </c>
    </row>
    <row r="1796" spans="1:4" x14ac:dyDescent="0.2">
      <c r="A1796" s="5">
        <v>1735</v>
      </c>
      <c r="B1796" s="138">
        <f>'Tax Sched 23'!F8</f>
        <v>230000</v>
      </c>
      <c r="C1796" s="2" t="s">
        <v>573</v>
      </c>
      <c r="D1796" s="2" t="str">
        <f t="shared" si="27"/>
        <v>Error?</v>
      </c>
    </row>
    <row r="1797" spans="1:4" x14ac:dyDescent="0.2">
      <c r="A1797" s="5">
        <v>1736</v>
      </c>
      <c r="B1797" s="138">
        <f>'Tax Sched 23'!F10</f>
        <v>75958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1500015</v>
      </c>
      <c r="C1800" s="2" t="s">
        <v>573</v>
      </c>
      <c r="D1800" s="2" t="str">
        <f t="shared" si="27"/>
        <v>Error?</v>
      </c>
    </row>
    <row r="1801" spans="1:4" x14ac:dyDescent="0.2">
      <c r="A1801" s="5">
        <v>1740</v>
      </c>
      <c r="B1801" s="138">
        <f>'Tax Sched 23'!F12</f>
        <v>75958</v>
      </c>
      <c r="C1801" s="2" t="s">
        <v>573</v>
      </c>
      <c r="D1801" s="2" t="str">
        <f t="shared" si="27"/>
        <v>Error?</v>
      </c>
    </row>
    <row r="1802" spans="1:4" x14ac:dyDescent="0.2">
      <c r="A1802" s="5">
        <v>1741</v>
      </c>
      <c r="B1802" s="138">
        <f>'Tax Sched 23'!F14</f>
        <v>60766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8829487</v>
      </c>
      <c r="C1807" s="2" t="s">
        <v>573</v>
      </c>
      <c r="D1807" s="2" t="str">
        <f t="shared" si="27"/>
        <v>Error?</v>
      </c>
    </row>
    <row r="1808" spans="1:4" x14ac:dyDescent="0.2">
      <c r="A1808" s="5">
        <v>1747</v>
      </c>
      <c r="B1808" s="138">
        <f>'Tax Sched 23'!E4</f>
        <v>4105823</v>
      </c>
      <c r="D1808" s="2" t="str">
        <f t="shared" si="27"/>
        <v>Error?</v>
      </c>
    </row>
    <row r="1809" spans="1:4" x14ac:dyDescent="0.2">
      <c r="A1809" s="5">
        <v>1748</v>
      </c>
      <c r="B1809" s="138">
        <f>'Tax Sched 23'!E5</f>
        <v>759578</v>
      </c>
      <c r="D1809" s="2" t="str">
        <f t="shared" si="27"/>
        <v>Error?</v>
      </c>
    </row>
    <row r="1810" spans="1:4" x14ac:dyDescent="0.2">
      <c r="A1810" s="5">
        <v>1749</v>
      </c>
      <c r="B1810" s="138">
        <f>'Tax Sched 23'!E6</f>
        <v>1315589</v>
      </c>
      <c r="D1810" s="2" t="str">
        <f t="shared" si="27"/>
        <v>Error?</v>
      </c>
    </row>
    <row r="1811" spans="1:4" x14ac:dyDescent="0.2">
      <c r="A1811" s="5">
        <v>1750</v>
      </c>
      <c r="B1811" s="138">
        <f>'Tax Sched 23'!E7</f>
        <v>379789</v>
      </c>
      <c r="D1811" s="2" t="str">
        <f t="shared" si="27"/>
        <v>Error?</v>
      </c>
    </row>
    <row r="1812" spans="1:4" x14ac:dyDescent="0.2">
      <c r="A1812" s="5">
        <v>1751</v>
      </c>
      <c r="B1812" s="138">
        <f>'Tax Sched 23'!E8</f>
        <v>230000</v>
      </c>
      <c r="D1812" s="2" t="str">
        <f t="shared" si="27"/>
        <v>Error?</v>
      </c>
    </row>
    <row r="1813" spans="1:4" x14ac:dyDescent="0.2">
      <c r="A1813" s="5">
        <v>1752</v>
      </c>
      <c r="B1813" s="138">
        <f>'Tax Sched 23'!E10</f>
        <v>75958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1500015</v>
      </c>
      <c r="D1816" s="2" t="str">
        <f t="shared" si="27"/>
        <v>Error?</v>
      </c>
    </row>
    <row r="1817" spans="1:4" x14ac:dyDescent="0.2">
      <c r="A1817" s="5">
        <v>1756</v>
      </c>
      <c r="B1817" s="138">
        <f>'Tax Sched 23'!E12</f>
        <v>75958</v>
      </c>
      <c r="D1817" s="2" t="str">
        <f t="shared" si="27"/>
        <v>Error?</v>
      </c>
    </row>
    <row r="1818" spans="1:4" x14ac:dyDescent="0.2">
      <c r="A1818" s="5">
        <v>1757</v>
      </c>
      <c r="B1818" s="138">
        <f>'Tax Sched 23'!E14</f>
        <v>60766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8829487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12297305</v>
      </c>
      <c r="C1939" s="2" t="s">
        <v>573</v>
      </c>
      <c r="D1939" s="2" t="str">
        <f t="shared" si="29"/>
        <v>Error?</v>
      </c>
    </row>
    <row r="1940" spans="1:5" x14ac:dyDescent="0.2">
      <c r="A1940" s="5">
        <v>1879</v>
      </c>
      <c r="B1940" s="138">
        <f>'Short-Term Long-Term Debt 24'!F49</f>
        <v>297200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56495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56495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56495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754625</v>
      </c>
      <c r="D2008" s="2" t="str">
        <f t="shared" si="30"/>
        <v>Error?</v>
      </c>
    </row>
    <row r="2009" spans="1:4" x14ac:dyDescent="0.2">
      <c r="A2009" s="5">
        <v>1948</v>
      </c>
      <c r="B2009" s="138">
        <f>'Cap Outlay Deprec 26'!C8</f>
        <v>18186127</v>
      </c>
      <c r="D2009" s="2" t="str">
        <f t="shared" si="30"/>
        <v>Error?</v>
      </c>
    </row>
    <row r="2010" spans="1:4" x14ac:dyDescent="0.2">
      <c r="A2010" s="5">
        <v>1949</v>
      </c>
      <c r="B2010" s="138">
        <f>'Cap Outlay Deprec 26'!C10</f>
        <v>1878894</v>
      </c>
      <c r="D2010" s="2" t="str">
        <f t="shared" si="30"/>
        <v>Error?</v>
      </c>
    </row>
    <row r="2011" spans="1:4" x14ac:dyDescent="0.2">
      <c r="A2011" s="5">
        <v>1950</v>
      </c>
      <c r="B2011" s="138">
        <f>'Cap Outlay Deprec 26'!C12</f>
        <v>1238557</v>
      </c>
      <c r="D2011" s="2" t="str">
        <f t="shared" si="30"/>
        <v>Error?</v>
      </c>
    </row>
    <row r="2012" spans="1:4" x14ac:dyDescent="0.2">
      <c r="A2012" s="5">
        <v>1951</v>
      </c>
      <c r="B2012" s="138">
        <f>'Cap Outlay Deprec 26'!C13</f>
        <v>2876211</v>
      </c>
      <c r="D2012" s="2" t="str">
        <f t="shared" si="30"/>
        <v>Error?</v>
      </c>
    </row>
    <row r="2013" spans="1:4" x14ac:dyDescent="0.2">
      <c r="A2013" s="5">
        <v>1952</v>
      </c>
      <c r="B2013" s="138">
        <f>'Cap Outlay Deprec 26'!C16</f>
        <v>25648427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54091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84838</v>
      </c>
      <c r="D2017" s="2" t="str">
        <f t="shared" si="30"/>
        <v>Error?</v>
      </c>
    </row>
    <row r="2018" spans="1:4" x14ac:dyDescent="0.2">
      <c r="A2018" s="5">
        <v>1957</v>
      </c>
      <c r="B2018" s="138">
        <f>'Cap Outlay Deprec 26'!D13</f>
        <v>164190</v>
      </c>
      <c r="D2018" s="2" t="str">
        <f t="shared" si="30"/>
        <v>Error?</v>
      </c>
    </row>
    <row r="2019" spans="1:4" x14ac:dyDescent="0.2">
      <c r="A2019" s="5">
        <v>1958</v>
      </c>
      <c r="B2019" s="138">
        <f>'Cap Outlay Deprec 26'!D16</f>
        <v>9851605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754625</v>
      </c>
      <c r="C2026" s="2" t="s">
        <v>573</v>
      </c>
      <c r="D2026" s="2" t="str">
        <f t="shared" si="30"/>
        <v>Error?</v>
      </c>
    </row>
    <row r="2027" spans="1:4" x14ac:dyDescent="0.2">
      <c r="A2027" s="5">
        <v>1966</v>
      </c>
      <c r="B2027" s="138">
        <f>'Cap Outlay Deprec 26'!F8</f>
        <v>18240218</v>
      </c>
      <c r="C2027" s="2" t="s">
        <v>573</v>
      </c>
      <c r="D2027" s="2" t="str">
        <f t="shared" si="30"/>
        <v>Error?</v>
      </c>
    </row>
    <row r="2028" spans="1:4" x14ac:dyDescent="0.2">
      <c r="A2028" s="5">
        <v>1967</v>
      </c>
      <c r="B2028" s="138">
        <f>'Cap Outlay Deprec 26'!F10</f>
        <v>1878894</v>
      </c>
      <c r="C2028" s="2" t="s">
        <v>573</v>
      </c>
      <c r="D2028" s="2" t="str">
        <f t="shared" si="30"/>
        <v>Error?</v>
      </c>
    </row>
    <row r="2029" spans="1:4" x14ac:dyDescent="0.2">
      <c r="A2029" s="5">
        <v>1968</v>
      </c>
      <c r="B2029" s="138">
        <f>'Cap Outlay Deprec 26'!F12</f>
        <v>1323395</v>
      </c>
      <c r="C2029" s="2" t="s">
        <v>573</v>
      </c>
      <c r="D2029" s="2" t="str">
        <f t="shared" si="30"/>
        <v>Error?</v>
      </c>
    </row>
    <row r="2030" spans="1:4" x14ac:dyDescent="0.2">
      <c r="A2030" s="5">
        <v>1969</v>
      </c>
      <c r="B2030" s="138">
        <f>'Cap Outlay Deprec 26'!F13</f>
        <v>3040401</v>
      </c>
      <c r="C2030" s="2" t="s">
        <v>573</v>
      </c>
      <c r="D2030" s="2" t="str">
        <f t="shared" si="30"/>
        <v>Error?</v>
      </c>
    </row>
    <row r="2031" spans="1:4" x14ac:dyDescent="0.2">
      <c r="A2031" s="5">
        <v>1970</v>
      </c>
      <c r="B2031" s="138">
        <f>'Cap Outlay Deprec 26'!F16</f>
        <v>35500032</v>
      </c>
      <c r="C2031" s="2" t="s">
        <v>573</v>
      </c>
      <c r="D2031" s="2" t="str">
        <f t="shared" si="30"/>
        <v>Error?</v>
      </c>
    </row>
    <row r="2032" spans="1:4" x14ac:dyDescent="0.2">
      <c r="A2032" s="10">
        <v>1971</v>
      </c>
      <c r="D2032" s="2" t="str">
        <f t="shared" si="30"/>
        <v>OK</v>
      </c>
    </row>
    <row r="2033" spans="1:4" x14ac:dyDescent="0.2">
      <c r="A2033" s="5">
        <v>1972</v>
      </c>
      <c r="B2033" s="138">
        <f>'Cap Outlay Deprec 26'!H8</f>
        <v>9295098</v>
      </c>
      <c r="D2033" s="2" t="str">
        <f t="shared" si="30"/>
        <v>Error?</v>
      </c>
    </row>
    <row r="2034" spans="1:4" x14ac:dyDescent="0.2">
      <c r="A2034" s="5">
        <v>1973</v>
      </c>
      <c r="B2034" s="138">
        <f>'Cap Outlay Deprec 26'!H10</f>
        <v>1501183</v>
      </c>
      <c r="D2034" s="2" t="str">
        <f t="shared" si="30"/>
        <v>Error?</v>
      </c>
    </row>
    <row r="2035" spans="1:4" x14ac:dyDescent="0.2">
      <c r="A2035" s="5">
        <v>1974</v>
      </c>
      <c r="B2035" s="138">
        <f>'Cap Outlay Deprec 26'!H12</f>
        <v>994605</v>
      </c>
      <c r="D2035" s="2" t="str">
        <f t="shared" si="30"/>
        <v>Error?</v>
      </c>
    </row>
    <row r="2036" spans="1:4" x14ac:dyDescent="0.2">
      <c r="A2036" s="5">
        <v>1975</v>
      </c>
      <c r="B2036" s="138">
        <f>'Cap Outlay Deprec 26'!H13</f>
        <v>2448659</v>
      </c>
      <c r="D2036" s="2" t="str">
        <f t="shared" si="30"/>
        <v>Error?</v>
      </c>
    </row>
    <row r="2037" spans="1:4" x14ac:dyDescent="0.2">
      <c r="A2037" s="5">
        <v>1976</v>
      </c>
      <c r="B2037" s="138">
        <f>'Cap Outlay Deprec 26'!H16</f>
        <v>14239545</v>
      </c>
      <c r="C2037" s="2" t="s">
        <v>573</v>
      </c>
      <c r="D2037" s="2" t="str">
        <f t="shared" si="30"/>
        <v>Error?</v>
      </c>
    </row>
    <row r="2038" spans="1:4" x14ac:dyDescent="0.2">
      <c r="A2038" s="10">
        <v>1977</v>
      </c>
      <c r="D2038" s="2" t="str">
        <f t="shared" si="30"/>
        <v>OK</v>
      </c>
    </row>
    <row r="2039" spans="1:4" x14ac:dyDescent="0.2">
      <c r="A2039" s="5">
        <v>1978</v>
      </c>
      <c r="B2039" s="138">
        <f>'Cap Outlay Deprec 26'!I8</f>
        <v>313436</v>
      </c>
      <c r="D2039" s="2" t="str">
        <f t="shared" si="30"/>
        <v>Error?</v>
      </c>
    </row>
    <row r="2040" spans="1:4" x14ac:dyDescent="0.2">
      <c r="A2040" s="5">
        <v>1979</v>
      </c>
      <c r="B2040" s="138">
        <f>'Cap Outlay Deprec 26'!I10</f>
        <v>72956</v>
      </c>
      <c r="D2040" s="2" t="str">
        <f t="shared" si="30"/>
        <v>Error?</v>
      </c>
    </row>
    <row r="2041" spans="1:4" x14ac:dyDescent="0.2">
      <c r="A2041" s="5">
        <v>1980</v>
      </c>
      <c r="B2041" s="138">
        <f>'Cap Outlay Deprec 26'!I12</f>
        <v>72533</v>
      </c>
      <c r="D2041" s="2" t="str">
        <f t="shared" si="30"/>
        <v>Error?</v>
      </c>
    </row>
    <row r="2042" spans="1:4" x14ac:dyDescent="0.2">
      <c r="A2042" s="5">
        <v>1981</v>
      </c>
      <c r="B2042" s="138">
        <f>'Cap Outlay Deprec 26'!I13</f>
        <v>168504</v>
      </c>
      <c r="D2042" s="2" t="str">
        <f t="shared" si="30"/>
        <v>Error?</v>
      </c>
    </row>
    <row r="2043" spans="1:4" x14ac:dyDescent="0.2">
      <c r="A2043" s="5">
        <v>1982</v>
      </c>
      <c r="B2043" s="138">
        <f>'Cap Outlay Deprec 26'!I16</f>
        <v>627429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9608534</v>
      </c>
      <c r="C2051" s="2" t="s">
        <v>573</v>
      </c>
      <c r="D2051" s="2" t="str">
        <f t="shared" si="31"/>
        <v>Error?</v>
      </c>
    </row>
    <row r="2052" spans="1:4" x14ac:dyDescent="0.2">
      <c r="A2052" s="5">
        <v>1991</v>
      </c>
      <c r="B2052" s="138">
        <f>'Cap Outlay Deprec 26'!K10</f>
        <v>1574139</v>
      </c>
      <c r="C2052" s="2" t="s">
        <v>573</v>
      </c>
      <c r="D2052" s="2" t="str">
        <f t="shared" si="31"/>
        <v>Error?</v>
      </c>
    </row>
    <row r="2053" spans="1:4" x14ac:dyDescent="0.2">
      <c r="A2053" s="5">
        <v>1992</v>
      </c>
      <c r="B2053" s="138">
        <f>'Cap Outlay Deprec 26'!K12</f>
        <v>1067138</v>
      </c>
      <c r="C2053" s="2" t="s">
        <v>573</v>
      </c>
      <c r="D2053" s="2" t="str">
        <f t="shared" si="31"/>
        <v>Error?</v>
      </c>
    </row>
    <row r="2054" spans="1:4" x14ac:dyDescent="0.2">
      <c r="A2054" s="5">
        <v>1993</v>
      </c>
      <c r="B2054" s="138">
        <f>'Cap Outlay Deprec 26'!K13</f>
        <v>2617163</v>
      </c>
      <c r="C2054" s="2" t="s">
        <v>573</v>
      </c>
      <c r="D2054" s="2" t="str">
        <f t="shared" si="31"/>
        <v>Error?</v>
      </c>
    </row>
    <row r="2055" spans="1:4" x14ac:dyDescent="0.2">
      <c r="A2055" s="5">
        <v>1994</v>
      </c>
      <c r="B2055" s="138">
        <f>'Cap Outlay Deprec 26'!K16</f>
        <v>14866974</v>
      </c>
      <c r="C2055" s="2" t="s">
        <v>573</v>
      </c>
      <c r="D2055" s="2" t="str">
        <f t="shared" si="31"/>
        <v>Error?</v>
      </c>
    </row>
    <row r="2056" spans="1:4" x14ac:dyDescent="0.2">
      <c r="A2056" s="5">
        <v>1995</v>
      </c>
      <c r="B2056" s="138">
        <f>'Cap Outlay Deprec 26'!L5</f>
        <v>754625</v>
      </c>
      <c r="C2056" s="2" t="s">
        <v>573</v>
      </c>
      <c r="D2056" s="2" t="str">
        <f t="shared" si="31"/>
        <v>Error?</v>
      </c>
    </row>
    <row r="2057" spans="1:4" x14ac:dyDescent="0.2">
      <c r="A2057" s="5">
        <v>1996</v>
      </c>
      <c r="B2057" s="138">
        <f>'Cap Outlay Deprec 26'!L8</f>
        <v>8631684</v>
      </c>
      <c r="C2057" s="2" t="s">
        <v>573</v>
      </c>
      <c r="D2057" s="2" t="str">
        <f t="shared" si="31"/>
        <v>Error?</v>
      </c>
    </row>
    <row r="2058" spans="1:4" x14ac:dyDescent="0.2">
      <c r="A2058" s="5">
        <v>1997</v>
      </c>
      <c r="B2058" s="138">
        <f>'Cap Outlay Deprec 26'!L10</f>
        <v>304755</v>
      </c>
      <c r="C2058" s="2" t="s">
        <v>573</v>
      </c>
      <c r="D2058" s="2" t="str">
        <f t="shared" si="31"/>
        <v>Error?</v>
      </c>
    </row>
    <row r="2059" spans="1:4" x14ac:dyDescent="0.2">
      <c r="A2059" s="5">
        <v>1998</v>
      </c>
      <c r="B2059" s="138">
        <f>'Cap Outlay Deprec 26'!L12</f>
        <v>256257</v>
      </c>
      <c r="C2059" s="2" t="s">
        <v>573</v>
      </c>
      <c r="D2059" s="2" t="str">
        <f t="shared" si="31"/>
        <v>Error?</v>
      </c>
    </row>
    <row r="2060" spans="1:4" x14ac:dyDescent="0.2">
      <c r="A2060" s="5">
        <v>1999</v>
      </c>
      <c r="B2060" s="138">
        <f>'Cap Outlay Deprec 26'!L13</f>
        <v>423238</v>
      </c>
      <c r="C2060" s="2" t="s">
        <v>573</v>
      </c>
      <c r="D2060" s="2" t="str">
        <f t="shared" si="31"/>
        <v>Error?</v>
      </c>
    </row>
    <row r="2061" spans="1:4" x14ac:dyDescent="0.2">
      <c r="A2061" s="5">
        <v>2000</v>
      </c>
      <c r="B2061" s="138">
        <f>'Cap Outlay Deprec 26'!L16</f>
        <v>20633058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119401</v>
      </c>
      <c r="C2088" s="2" t="s">
        <v>573</v>
      </c>
      <c r="D2088" s="2" t="str">
        <f t="shared" si="31"/>
        <v>Error?</v>
      </c>
    </row>
    <row r="2089" spans="1:4" x14ac:dyDescent="0.2">
      <c r="A2089" s="5">
        <v>2028</v>
      </c>
      <c r="B2089" s="138">
        <f>'Expenditures 15-22'!K92</f>
        <v>293885</v>
      </c>
      <c r="C2089" s="2" t="s">
        <v>573</v>
      </c>
      <c r="D2089" s="2" t="str">
        <f t="shared" si="31"/>
        <v>Error?</v>
      </c>
    </row>
    <row r="2090" spans="1:4" x14ac:dyDescent="0.2">
      <c r="A2090" s="10">
        <v>2029</v>
      </c>
      <c r="D2090" s="2" t="str">
        <f t="shared" si="31"/>
        <v>OK</v>
      </c>
    </row>
    <row r="2091" spans="1:4" x14ac:dyDescent="0.2">
      <c r="A2091" s="5">
        <v>2030</v>
      </c>
      <c r="B2091" s="138">
        <f>'Expenditures 15-22'!H137</f>
        <v>9524</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9524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378753</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20576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4825859</v>
      </c>
      <c r="C2551" s="2" t="s">
        <v>573</v>
      </c>
      <c r="D2551" s="2" t="str">
        <f t="shared" si="38"/>
        <v>Error?</v>
      </c>
    </row>
    <row r="2552" spans="1:4" x14ac:dyDescent="0.2">
      <c r="A2552" s="10">
        <v>2491</v>
      </c>
      <c r="D2552" s="2" t="str">
        <f t="shared" si="38"/>
        <v>OK</v>
      </c>
    </row>
    <row r="2553" spans="1:4" x14ac:dyDescent="0.2">
      <c r="A2553" s="5">
        <v>2492</v>
      </c>
      <c r="B2553" s="138">
        <f>'Acct Summary 7-8'!C6</f>
        <v>3497715</v>
      </c>
      <c r="C2553" s="2" t="s">
        <v>573</v>
      </c>
      <c r="D2553" s="2" t="str">
        <f t="shared" si="38"/>
        <v>Error?</v>
      </c>
    </row>
    <row r="2554" spans="1:4" x14ac:dyDescent="0.2">
      <c r="A2554" s="5">
        <v>2493</v>
      </c>
      <c r="B2554" s="138">
        <f>'Acct Summary 7-8'!C7</f>
        <v>662086</v>
      </c>
      <c r="C2554" s="2" t="s">
        <v>573</v>
      </c>
      <c r="D2554" s="2" t="str">
        <f t="shared" si="38"/>
        <v>Error?</v>
      </c>
    </row>
    <row r="2555" spans="1:4" x14ac:dyDescent="0.2">
      <c r="A2555" s="5">
        <v>2494</v>
      </c>
      <c r="B2555" s="138">
        <f>'Acct Summary 7-8'!C8</f>
        <v>8985660</v>
      </c>
      <c r="C2555" s="2" t="s">
        <v>573</v>
      </c>
      <c r="D2555" s="2" t="str">
        <f t="shared" si="38"/>
        <v>Error?</v>
      </c>
    </row>
    <row r="2556" spans="1:4" x14ac:dyDescent="0.2">
      <c r="A2556" s="5">
        <v>2495</v>
      </c>
      <c r="B2556" s="138">
        <f>'Acct Summary 7-8'!C12</f>
        <v>6688492</v>
      </c>
      <c r="C2556" s="2" t="s">
        <v>573</v>
      </c>
      <c r="D2556" s="2" t="str">
        <f t="shared" si="38"/>
        <v>Error?</v>
      </c>
    </row>
    <row r="2557" spans="1:4" x14ac:dyDescent="0.2">
      <c r="A2557" s="5">
        <v>2496</v>
      </c>
      <c r="B2557" s="138">
        <f>'Acct Summary 7-8'!C13</f>
        <v>2201325</v>
      </c>
      <c r="C2557" s="2" t="s">
        <v>573</v>
      </c>
      <c r="D2557" s="2" t="str">
        <f t="shared" si="38"/>
        <v>Error?</v>
      </c>
    </row>
    <row r="2558" spans="1:4" x14ac:dyDescent="0.2">
      <c r="A2558" s="5">
        <v>2497</v>
      </c>
      <c r="B2558" s="138">
        <f>'Acct Summary 7-8'!C14</f>
        <v>39594</v>
      </c>
      <c r="C2558" s="2" t="s">
        <v>573</v>
      </c>
      <c r="D2558" s="2" t="str">
        <f t="shared" si="38"/>
        <v>Error?</v>
      </c>
    </row>
    <row r="2559" spans="1:4" x14ac:dyDescent="0.2">
      <c r="A2559" s="5">
        <v>2498</v>
      </c>
      <c r="B2559" s="138">
        <f>'Acct Summary 7-8'!C15</f>
        <v>413286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9342697</v>
      </c>
      <c r="C2561" s="2" t="s">
        <v>573</v>
      </c>
      <c r="D2561" s="2" t="str">
        <f t="shared" si="39"/>
        <v>Error?</v>
      </c>
    </row>
    <row r="2562" spans="1:4" x14ac:dyDescent="0.2">
      <c r="A2562" s="5">
        <v>2501</v>
      </c>
      <c r="B2562" s="138">
        <f>'Acct Summary 7-8'!C20</f>
        <v>-357037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1201912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1201912</v>
      </c>
      <c r="C2568" s="2" t="s">
        <v>573</v>
      </c>
      <c r="D2568" s="2" t="str">
        <f t="shared" si="39"/>
        <v>Error?</v>
      </c>
    </row>
    <row r="2569" spans="1:4" x14ac:dyDescent="0.2">
      <c r="A2569" s="5">
        <v>2508</v>
      </c>
      <c r="B2569" s="138">
        <f>'Acct Summary 7-8'!D13</f>
        <v>1242444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9524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1251968</v>
      </c>
      <c r="C2573" s="2" t="s">
        <v>573</v>
      </c>
      <c r="D2573" s="2" t="str">
        <f t="shared" si="39"/>
        <v>Error?</v>
      </c>
    </row>
    <row r="2574" spans="1:4" x14ac:dyDescent="0.2">
      <c r="A2574" s="5">
        <v>2513</v>
      </c>
      <c r="B2574" s="138">
        <f>'Acct Summary 7-8'!D20</f>
        <v>-50056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370124</v>
      </c>
      <c r="C2591" s="2" t="s">
        <v>573</v>
      </c>
      <c r="D2591" s="2" t="str">
        <f t="shared" si="39"/>
        <v>Error?</v>
      </c>
    </row>
    <row r="2592" spans="1:4" x14ac:dyDescent="0.2">
      <c r="A2592" s="10">
        <v>2531</v>
      </c>
      <c r="D2592" s="2" t="str">
        <f t="shared" si="39"/>
        <v>OK</v>
      </c>
    </row>
    <row r="2593" spans="1:4" x14ac:dyDescent="0.2">
      <c r="A2593" s="5">
        <v>2532</v>
      </c>
      <c r="B2593" s="138">
        <f>'Acct Summary 7-8'!F6</f>
        <v>729046</v>
      </c>
      <c r="C2593" s="2" t="s">
        <v>573</v>
      </c>
      <c r="D2593" s="2" t="str">
        <f t="shared" si="39"/>
        <v>Error?</v>
      </c>
    </row>
    <row r="2594" spans="1:4" x14ac:dyDescent="0.2">
      <c r="A2594" s="5">
        <v>2533</v>
      </c>
      <c r="B2594" s="138">
        <f>'Acct Summary 7-8'!F7</f>
        <v>3800</v>
      </c>
      <c r="C2594" s="2" t="s">
        <v>573</v>
      </c>
      <c r="D2594" s="2" t="str">
        <f t="shared" si="39"/>
        <v>Error?</v>
      </c>
    </row>
    <row r="2595" spans="1:4" x14ac:dyDescent="0.2">
      <c r="A2595" s="5">
        <v>2534</v>
      </c>
      <c r="B2595" s="138">
        <f>'Acct Summary 7-8'!F8</f>
        <v>1102970</v>
      </c>
      <c r="C2595" s="2" t="s">
        <v>573</v>
      </c>
      <c r="D2595" s="2" t="str">
        <f t="shared" si="39"/>
        <v>Error?</v>
      </c>
    </row>
    <row r="2596" spans="1:4" x14ac:dyDescent="0.2">
      <c r="A2596" s="5">
        <v>2535</v>
      </c>
      <c r="B2596" s="138">
        <f>'Acct Summary 7-8'!F13</f>
        <v>1057446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132342</v>
      </c>
      <c r="C2599" s="2" t="s">
        <v>573</v>
      </c>
      <c r="D2599" s="2" t="str">
        <f t="shared" si="39"/>
        <v>Error?</v>
      </c>
    </row>
    <row r="2600" spans="1:4" x14ac:dyDescent="0.2">
      <c r="A2600" s="5">
        <v>2539</v>
      </c>
      <c r="B2600" s="138">
        <f>'Acct Summary 7-8'!F17</f>
        <v>1189788</v>
      </c>
      <c r="C2600" s="2" t="s">
        <v>573</v>
      </c>
      <c r="D2600" s="2" t="str">
        <f t="shared" si="39"/>
        <v>Error?</v>
      </c>
    </row>
    <row r="2601" spans="1:4" x14ac:dyDescent="0.2">
      <c r="A2601" s="5">
        <v>2540</v>
      </c>
      <c r="B2601" s="138">
        <f>'Acct Summary 7-8'!F20</f>
        <v>-86818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463530</v>
      </c>
      <c r="C2603" s="2" t="s">
        <v>573</v>
      </c>
      <c r="D2603" s="2" t="str">
        <f t="shared" si="39"/>
        <v>Error?</v>
      </c>
    </row>
    <row r="2604" spans="1:4" x14ac:dyDescent="0.2">
      <c r="A2604" s="5">
        <v>2543</v>
      </c>
      <c r="B2604" s="138">
        <f>'Acct Summary 7-8'!G6</f>
        <v>12024</v>
      </c>
      <c r="C2604" s="2" t="s">
        <v>573</v>
      </c>
      <c r="D2604" s="2" t="str">
        <f t="shared" si="39"/>
        <v>Error?</v>
      </c>
    </row>
    <row r="2605" spans="1:4" x14ac:dyDescent="0.2">
      <c r="A2605" s="5">
        <v>2544</v>
      </c>
      <c r="B2605" s="138">
        <f>'Acct Summary 7-8'!G7</f>
        <v>1203</v>
      </c>
      <c r="C2605" s="2" t="s">
        <v>573</v>
      </c>
      <c r="D2605" s="2" t="str">
        <f t="shared" si="39"/>
        <v>Error?</v>
      </c>
    </row>
    <row r="2606" spans="1:4" x14ac:dyDescent="0.2">
      <c r="A2606" s="5">
        <v>2545</v>
      </c>
      <c r="B2606" s="138">
        <f>'Acct Summary 7-8'!G8</f>
        <v>476757</v>
      </c>
      <c r="C2606" s="2" t="s">
        <v>573</v>
      </c>
      <c r="D2606" s="2" t="str">
        <f t="shared" si="39"/>
        <v>Error?</v>
      </c>
    </row>
    <row r="2607" spans="1:4" x14ac:dyDescent="0.2">
      <c r="A2607" s="5">
        <v>2546</v>
      </c>
      <c r="B2607" s="138">
        <f>'Acct Summary 7-8'!G12</f>
        <v>167252</v>
      </c>
      <c r="C2607" s="2" t="s">
        <v>573</v>
      </c>
      <c r="D2607" s="2" t="str">
        <f t="shared" si="39"/>
        <v>Error?</v>
      </c>
    </row>
    <row r="2608" spans="1:4" x14ac:dyDescent="0.2">
      <c r="A2608" s="5">
        <v>2547</v>
      </c>
      <c r="B2608" s="138">
        <f>'Acct Summary 7-8'!G13</f>
        <v>318905</v>
      </c>
      <c r="C2608" s="2" t="s">
        <v>573</v>
      </c>
      <c r="D2608" s="2" t="str">
        <f t="shared" si="39"/>
        <v>Error?</v>
      </c>
    </row>
    <row r="2609" spans="1:4" x14ac:dyDescent="0.2">
      <c r="A2609" s="5">
        <v>2548</v>
      </c>
      <c r="B2609" s="138">
        <f>'Acct Summary 7-8'!G14</f>
        <v>4727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490884</v>
      </c>
      <c r="C2612" s="2" t="s">
        <v>573</v>
      </c>
      <c r="D2612" s="2" t="str">
        <f t="shared" si="39"/>
        <v>Error?</v>
      </c>
    </row>
    <row r="2613" spans="1:4" x14ac:dyDescent="0.2">
      <c r="A2613" s="5">
        <v>2552</v>
      </c>
      <c r="B2613" s="138">
        <f>'Acct Summary 7-8'!G20</f>
        <v>-14127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262538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262538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255712</v>
      </c>
      <c r="C2634" s="2" t="s">
        <v>573</v>
      </c>
      <c r="D2634" s="2" t="str">
        <f t="shared" si="40"/>
        <v>Error?</v>
      </c>
    </row>
    <row r="2635" spans="1:4" x14ac:dyDescent="0.2">
      <c r="A2635" s="5">
        <v>2574</v>
      </c>
      <c r="B2635" s="138">
        <f>'Acct Summary 7-8'!E17</f>
        <v>255712</v>
      </c>
      <c r="C2635" s="2" t="s">
        <v>573</v>
      </c>
      <c r="D2635" s="2" t="str">
        <f t="shared" si="40"/>
        <v>Error?</v>
      </c>
    </row>
    <row r="2636" spans="1:4" x14ac:dyDescent="0.2">
      <c r="A2636" s="5">
        <v>2575</v>
      </c>
      <c r="B2636" s="138">
        <f>'Acct Summary 7-8'!E20</f>
        <v>6826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144305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144305</v>
      </c>
      <c r="C2658" s="2" t="s">
        <v>573</v>
      </c>
      <c r="D2658" s="2" t="str">
        <f t="shared" si="40"/>
        <v>Error?</v>
      </c>
    </row>
    <row r="2659" spans="1:4" x14ac:dyDescent="0.2">
      <c r="A2659" s="5">
        <v>2598</v>
      </c>
      <c r="B2659" s="138">
        <f>'Acct Summary 7-8'!H13</f>
        <v>9548486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9548486</v>
      </c>
      <c r="C2661" s="2" t="s">
        <v>573</v>
      </c>
      <c r="D2661" s="2" t="str">
        <f t="shared" si="40"/>
        <v>Error?</v>
      </c>
    </row>
    <row r="2662" spans="1:4" x14ac:dyDescent="0.2">
      <c r="A2662" s="5">
        <v>2601</v>
      </c>
      <c r="B2662" s="138">
        <f>'Acct Summary 7-8'!H20</f>
        <v>-9404181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119401</v>
      </c>
      <c r="C2789" s="2" t="s">
        <v>573</v>
      </c>
      <c r="D2789" s="2" t="str">
        <f t="shared" si="42"/>
        <v>Error?</v>
      </c>
    </row>
    <row r="2790" spans="1:4" x14ac:dyDescent="0.2">
      <c r="A2790" s="5">
        <v>2729</v>
      </c>
      <c r="B2790" s="138">
        <f>'Expenditures 15-22'!E102</f>
        <v>119401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10262499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325231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258283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325231</v>
      </c>
      <c r="D2912" s="2" t="str">
        <f t="shared" si="44"/>
        <v>Error?</v>
      </c>
    </row>
    <row r="2913" spans="1:4" x14ac:dyDescent="0.2">
      <c r="A2913" s="5">
        <v>2852</v>
      </c>
      <c r="B2913" s="138">
        <f>'Assets-Liab 5-6'!I41</f>
        <v>325231</v>
      </c>
      <c r="C2913" s="2" t="s">
        <v>573</v>
      </c>
      <c r="D2913" s="2" t="str">
        <f t="shared" si="44"/>
        <v>Error?</v>
      </c>
    </row>
    <row r="2914" spans="1:4" x14ac:dyDescent="0.2">
      <c r="A2914" s="5">
        <v>2853</v>
      </c>
      <c r="B2914" s="138">
        <f>'Assets-Liab 5-6'!L33</f>
        <v>179900</v>
      </c>
      <c r="D2914" s="2" t="str">
        <f t="shared" si="44"/>
        <v>Error?</v>
      </c>
    </row>
    <row r="2915" spans="1:4" x14ac:dyDescent="0.2">
      <c r="A2915" s="10">
        <v>2854</v>
      </c>
      <c r="D2915" s="2" t="str">
        <f t="shared" si="44"/>
        <v>OK</v>
      </c>
    </row>
    <row r="2916" spans="1:4" x14ac:dyDescent="0.2">
      <c r="A2916" s="5">
        <v>2855</v>
      </c>
      <c r="B2916" s="138">
        <f>'Assets-Liab 5-6'!L34</f>
        <v>179900</v>
      </c>
      <c r="C2916" s="2" t="s">
        <v>573</v>
      </c>
      <c r="D2916" s="2" t="str">
        <f t="shared" si="44"/>
        <v>Error?</v>
      </c>
    </row>
    <row r="2917" spans="1:4" x14ac:dyDescent="0.2">
      <c r="A2917" s="5">
        <v>2856</v>
      </c>
      <c r="B2917" s="138">
        <f>'Assets-Liab 5-6'!L41</f>
        <v>258283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114901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4500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114901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4500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9524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9524</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134875</v>
      </c>
      <c r="D3055" s="2" t="str">
        <f t="shared" si="46"/>
        <v>Error?</v>
      </c>
    </row>
    <row r="3056" spans="1:4" x14ac:dyDescent="0.2">
      <c r="A3056" s="5">
        <v>2995</v>
      </c>
      <c r="B3056" s="138">
        <f>'Expenditures 15-22'!D10</f>
        <v>16237</v>
      </c>
      <c r="D3056" s="2" t="str">
        <f t="shared" si="46"/>
        <v>Error?</v>
      </c>
    </row>
    <row r="3057" spans="1:4" x14ac:dyDescent="0.2">
      <c r="A3057" s="5">
        <v>2996</v>
      </c>
      <c r="B3057" s="138">
        <f>'Expenditures 15-22'!E10</f>
        <v>10330</v>
      </c>
      <c r="D3057" s="2" t="str">
        <f t="shared" si="46"/>
        <v>Error?</v>
      </c>
    </row>
    <row r="3058" spans="1:4" x14ac:dyDescent="0.2">
      <c r="A3058" s="5">
        <v>2997</v>
      </c>
      <c r="B3058" s="138">
        <f>'Expenditures 15-22'!F10</f>
        <v>16769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178211</v>
      </c>
      <c r="C3062" s="2" t="s">
        <v>573</v>
      </c>
      <c r="D3062" s="2" t="str">
        <f t="shared" si="46"/>
        <v>Error?</v>
      </c>
    </row>
    <row r="3063" spans="1:4" x14ac:dyDescent="0.2">
      <c r="A3063" s="10">
        <v>3002</v>
      </c>
      <c r="D3063" s="2" t="str">
        <f t="shared" si="46"/>
        <v>OK</v>
      </c>
    </row>
    <row r="3064" spans="1:4" x14ac:dyDescent="0.2">
      <c r="A3064" s="5">
        <v>3003</v>
      </c>
      <c r="B3064" s="138">
        <f>'Expenditures 15-22'!D219</f>
        <v>1966</v>
      </c>
      <c r="D3064" s="2" t="str">
        <f t="shared" si="46"/>
        <v>Error?</v>
      </c>
    </row>
    <row r="3065" spans="1:4" x14ac:dyDescent="0.2">
      <c r="A3065" s="5">
        <v>3004</v>
      </c>
      <c r="B3065" s="138">
        <f>'Expenditures 15-22'!K219</f>
        <v>1966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29323</v>
      </c>
      <c r="D3071" s="2" t="str">
        <f t="shared" ref="D3071:D3134" si="47">IF(ISBLANK(B3071),"OK",IF(A3071-B3071=0,"OK","Error?"))</f>
        <v>Error?</v>
      </c>
    </row>
    <row r="3072" spans="1:4" x14ac:dyDescent="0.2">
      <c r="A3072" s="5">
        <v>3011</v>
      </c>
      <c r="B3072" s="138">
        <f>'Assets-Liab 5-6'!L39</f>
        <v>49060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79694</v>
      </c>
      <c r="C3225" s="2" t="s">
        <v>573</v>
      </c>
      <c r="D3225" s="2" t="str">
        <f t="shared" si="49"/>
        <v>Error?</v>
      </c>
    </row>
    <row r="3226" spans="1:4" x14ac:dyDescent="0.2">
      <c r="A3226" s="5">
        <v>3165</v>
      </c>
      <c r="B3226" s="138">
        <f>'Acct Summary 7-8'!I8</f>
        <v>79694</v>
      </c>
      <c r="C3226" s="2" t="s">
        <v>573</v>
      </c>
      <c r="D3226" s="2" t="str">
        <f t="shared" si="49"/>
        <v>Error?</v>
      </c>
    </row>
    <row r="3227" spans="1:4" x14ac:dyDescent="0.2">
      <c r="A3227" s="5">
        <v>3166</v>
      </c>
      <c r="B3227" s="138">
        <f>'Acct Summary 7-8'!I20</f>
        <v>79694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280903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280903</v>
      </c>
      <c r="C3232" s="2" t="s">
        <v>573</v>
      </c>
      <c r="D3232" s="2" t="str">
        <f t="shared" si="49"/>
        <v>Error?</v>
      </c>
    </row>
    <row r="3233" spans="1:4" x14ac:dyDescent="0.2">
      <c r="A3233" s="5">
        <v>3172</v>
      </c>
      <c r="B3233" s="138">
        <f>'Acct Summary 7-8'!C78</f>
        <v>-76134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101100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101100</v>
      </c>
      <c r="C3238" s="2" t="s">
        <v>573</v>
      </c>
      <c r="D3238" s="2" t="str">
        <f t="shared" si="49"/>
        <v>Error?</v>
      </c>
    </row>
    <row r="3239" spans="1:4" x14ac:dyDescent="0.2">
      <c r="A3239" s="5">
        <v>3178</v>
      </c>
      <c r="B3239" s="138">
        <f>'Acct Summary 7-8'!D78</f>
        <v>51044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2750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2750</v>
      </c>
      <c r="C3255" s="2" t="s">
        <v>573</v>
      </c>
      <c r="D3255" s="2" t="str">
        <f t="shared" si="49"/>
        <v>Error?</v>
      </c>
    </row>
    <row r="3256" spans="1:4" x14ac:dyDescent="0.2">
      <c r="A3256" s="5">
        <v>3195</v>
      </c>
      <c r="B3256" s="138">
        <f>'Acct Summary 7-8'!F78</f>
        <v>-84068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-14127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6826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-9404181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378753</v>
      </c>
      <c r="C3318" s="2" t="s">
        <v>573</v>
      </c>
      <c r="D3318" s="2" t="str">
        <f t="shared" si="50"/>
        <v>Error?</v>
      </c>
    </row>
    <row r="3319" spans="1:4" x14ac:dyDescent="0.2">
      <c r="A3319" s="5">
        <v>3258</v>
      </c>
      <c r="B3319" s="138">
        <f>'Acct Summary 7-8'!I77</f>
        <v>-378753</v>
      </c>
      <c r="C3319" s="2" t="s">
        <v>573</v>
      </c>
      <c r="D3319" s="2" t="str">
        <f t="shared" si="50"/>
        <v>Error?</v>
      </c>
    </row>
    <row r="3320" spans="1:4" x14ac:dyDescent="0.2">
      <c r="A3320" s="5">
        <v>3259</v>
      </c>
      <c r="B3320" s="138">
        <f>'Acct Summary 7-8'!I78</f>
        <v>-299059</v>
      </c>
      <c r="C3320" s="2" t="s">
        <v>573</v>
      </c>
      <c r="D3320" s="2" t="str">
        <f t="shared" si="50"/>
        <v>Error?</v>
      </c>
    </row>
    <row r="3321" spans="1:4" x14ac:dyDescent="0.2">
      <c r="A3321" s="5">
        <v>3260</v>
      </c>
      <c r="B3321" s="138">
        <f>'Acct Summary 7-8'!I79</f>
        <v>624290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325231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1194153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86217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19909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16086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19206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1335571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49000</v>
      </c>
      <c r="D3387" s="2" t="str">
        <f t="shared" si="51"/>
        <v>Error?</v>
      </c>
    </row>
    <row r="3388" spans="1:4" x14ac:dyDescent="0.2">
      <c r="A3388" s="5">
        <v>3327</v>
      </c>
      <c r="B3388" s="138">
        <f>'Expenditures 15-22'!D217</f>
        <v>97314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49000</v>
      </c>
      <c r="C3390" s="2" t="s">
        <v>573</v>
      </c>
      <c r="D3390" s="2" t="str">
        <f t="shared" si="51"/>
        <v>Error?</v>
      </c>
    </row>
    <row r="3391" spans="1:4" x14ac:dyDescent="0.2">
      <c r="A3391" s="5">
        <v>3330</v>
      </c>
      <c r="B3391" s="138">
        <f>'Expenditures 15-22'!K217</f>
        <v>97314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149012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153241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128076</v>
      </c>
      <c r="D3417" s="2" t="str">
        <f t="shared" si="52"/>
        <v>Error?</v>
      </c>
    </row>
    <row r="3418" spans="1:4" x14ac:dyDescent="0.2">
      <c r="A3418" s="10">
        <v>3357</v>
      </c>
      <c r="D3418" s="2" t="str">
        <f t="shared" si="52"/>
        <v>OK</v>
      </c>
    </row>
    <row r="3419" spans="1:4" x14ac:dyDescent="0.2">
      <c r="A3419" s="5">
        <v>3358</v>
      </c>
      <c r="B3419" s="138">
        <f>'Assets-Liab 5-6'!F4</f>
        <v>196972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152513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1885619</v>
      </c>
      <c r="D3425" s="2" t="str">
        <f t="shared" si="52"/>
        <v>Error?</v>
      </c>
    </row>
    <row r="3426" spans="1:4" x14ac:dyDescent="0.2">
      <c r="A3426" s="10">
        <v>3365</v>
      </c>
      <c r="D3426" s="2" t="str">
        <f t="shared" si="52"/>
        <v>OK</v>
      </c>
    </row>
    <row r="3427" spans="1:4" x14ac:dyDescent="0.2">
      <c r="A3427" s="5">
        <v>3366</v>
      </c>
      <c r="B3427" s="138">
        <f>'Assets-Liab 5-6'!I4</f>
        <v>325231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258283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229497</v>
      </c>
      <c r="C3446" s="2" t="s">
        <v>573</v>
      </c>
      <c r="D3446" s="2" t="str">
        <f t="shared" si="52"/>
        <v>Error?</v>
      </c>
    </row>
    <row r="3447" spans="1:4" x14ac:dyDescent="0.2">
      <c r="A3447" s="5">
        <v>3386</v>
      </c>
      <c r="B3447" s="138">
        <f>'Tax Sched 23'!D16</f>
        <v>229497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250053</v>
      </c>
      <c r="C3449" s="2" t="s">
        <v>573</v>
      </c>
      <c r="D3449" s="2" t="str">
        <f t="shared" si="52"/>
        <v>Error?</v>
      </c>
    </row>
    <row r="3450" spans="1:4" x14ac:dyDescent="0.2">
      <c r="A3450" s="5">
        <v>3389</v>
      </c>
      <c r="B3450" s="138">
        <f>'Tax Sched 23'!E16</f>
        <v>250053</v>
      </c>
      <c r="D3450" s="2" t="str">
        <f t="shared" si="52"/>
        <v>Error?</v>
      </c>
    </row>
    <row r="3451" spans="1:4" x14ac:dyDescent="0.2">
      <c r="A3451" s="5">
        <v>3390</v>
      </c>
      <c r="B3451" s="138">
        <f>'Cap Outlay Deprec 26'!C15</f>
        <v>714013</v>
      </c>
      <c r="D3451" s="2" t="str">
        <f t="shared" si="52"/>
        <v>Error?</v>
      </c>
    </row>
    <row r="3452" spans="1:4" x14ac:dyDescent="0.2">
      <c r="A3452" s="5">
        <v>3391</v>
      </c>
      <c r="B3452" s="138">
        <f>'Cap Outlay Deprec 26'!D15</f>
        <v>9548486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10262499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10262499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2150</v>
      </c>
      <c r="D3530" s="2" t="str">
        <f t="shared" si="54"/>
        <v>Error?</v>
      </c>
    </row>
    <row r="3531" spans="1:4" x14ac:dyDescent="0.2">
      <c r="A3531" s="5">
        <v>3470</v>
      </c>
      <c r="B3531" s="138">
        <f>'Acct Summary 7-8'!D36</f>
        <v>1100</v>
      </c>
      <c r="D3531" s="2" t="str">
        <f t="shared" si="54"/>
        <v>Error?</v>
      </c>
    </row>
    <row r="3532" spans="1:4" x14ac:dyDescent="0.2">
      <c r="A3532" s="5">
        <v>3471</v>
      </c>
      <c r="B3532" s="138">
        <f>'Acct Summary 7-8'!F36</f>
        <v>2750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155459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155459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155459</v>
      </c>
      <c r="D3567" s="2" t="str">
        <f t="shared" si="54"/>
        <v>Error?</v>
      </c>
    </row>
    <row r="3568" spans="1:4" x14ac:dyDescent="0.2">
      <c r="A3568" s="5">
        <v>3507</v>
      </c>
      <c r="B3568" s="138">
        <f>'Assets-Liab 5-6'!K41</f>
        <v>155459</v>
      </c>
      <c r="C3568" s="2" t="s">
        <v>573</v>
      </c>
      <c r="D3568" s="2" t="str">
        <f t="shared" si="54"/>
        <v>Error?</v>
      </c>
    </row>
    <row r="3569" spans="1:4" x14ac:dyDescent="0.2">
      <c r="A3569" s="5">
        <v>3508</v>
      </c>
      <c r="B3569" s="138">
        <f>'Acct Summary 7-8'!K4</f>
        <v>73397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73397</v>
      </c>
      <c r="C3571" s="2" t="s">
        <v>573</v>
      </c>
      <c r="D3571" s="2" t="str">
        <f t="shared" si="54"/>
        <v>Error?</v>
      </c>
    </row>
    <row r="3572" spans="1:4" x14ac:dyDescent="0.2">
      <c r="A3572" s="5">
        <v>3511</v>
      </c>
      <c r="B3572" s="138">
        <f>'Acct Summary 7-8'!K13</f>
        <v>40009</v>
      </c>
      <c r="C3572" s="2" t="s">
        <v>573</v>
      </c>
      <c r="D3572" s="2" t="str">
        <f t="shared" si="54"/>
        <v>Error?</v>
      </c>
    </row>
    <row r="3573" spans="1:4" x14ac:dyDescent="0.2">
      <c r="A3573" s="5">
        <v>3512</v>
      </c>
      <c r="B3573" s="138">
        <f>'Acct Summary 7-8'!K15</f>
        <v>4966</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44975</v>
      </c>
      <c r="C3575" s="2" t="s">
        <v>573</v>
      </c>
      <c r="D3575" s="2" t="str">
        <f t="shared" si="54"/>
        <v>Error?</v>
      </c>
    </row>
    <row r="3576" spans="1:4" x14ac:dyDescent="0.2">
      <c r="A3576" s="5">
        <v>3515</v>
      </c>
      <c r="B3576" s="138">
        <f>'Acct Summary 7-8'!K20</f>
        <v>28422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28422</v>
      </c>
      <c r="C3588" s="2" t="s">
        <v>573</v>
      </c>
      <c r="D3588" s="2" t="str">
        <f t="shared" si="55"/>
        <v>Error?</v>
      </c>
    </row>
    <row r="3589" spans="1:4" x14ac:dyDescent="0.2">
      <c r="A3589" s="5">
        <v>3528</v>
      </c>
      <c r="B3589" s="138">
        <f>'Acct Summary 7-8'!K79</f>
        <v>127037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155459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40009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40009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40009</v>
      </c>
      <c r="C3649" s="2" t="s">
        <v>573</v>
      </c>
      <c r="D3649" s="2" t="str">
        <f t="shared" si="56"/>
        <v>Error?</v>
      </c>
    </row>
    <row r="3650" spans="1:4" x14ac:dyDescent="0.2">
      <c r="A3650" s="5">
        <v>3589</v>
      </c>
      <c r="B3650" s="138">
        <f>'Expenditures 15-22'!G367</f>
        <v>40009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4966</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40009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40009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40009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44975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28422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70618</v>
      </c>
      <c r="C3725" s="2" t="s">
        <v>573</v>
      </c>
      <c r="D3725" s="2" t="str">
        <f t="shared" si="57"/>
        <v>Error?</v>
      </c>
    </row>
    <row r="3726" spans="1:4" x14ac:dyDescent="0.2">
      <c r="A3726" s="5">
        <v>3665</v>
      </c>
      <c r="B3726" s="138">
        <f>'Tax Sched 23'!D13</f>
        <v>70618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75958</v>
      </c>
      <c r="C3728" s="2" t="s">
        <v>573</v>
      </c>
      <c r="D3728" s="2" t="str">
        <f t="shared" si="57"/>
        <v>Error?</v>
      </c>
    </row>
    <row r="3729" spans="1:4" x14ac:dyDescent="0.2">
      <c r="A3729" s="5">
        <v>3668</v>
      </c>
      <c r="B3729" s="138">
        <f>'Tax Sched 23'!E13</f>
        <v>75958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3972001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12957661</v>
      </c>
      <c r="C4122" s="2" t="s">
        <v>573</v>
      </c>
      <c r="D4122" s="2" t="str">
        <f t="shared" si="63"/>
        <v>Error?</v>
      </c>
    </row>
    <row r="4123" spans="1:4" x14ac:dyDescent="0.2">
      <c r="A4123" s="5">
        <v>4062</v>
      </c>
      <c r="B4123" s="138">
        <f>'Acct Summary 7-8'!D10</f>
        <v>1201912</v>
      </c>
      <c r="C4123" s="2" t="s">
        <v>573</v>
      </c>
      <c r="D4123" s="2" t="str">
        <f t="shared" si="63"/>
        <v>Error?</v>
      </c>
    </row>
    <row r="4124" spans="1:4" x14ac:dyDescent="0.2">
      <c r="A4124" s="5">
        <v>4063</v>
      </c>
      <c r="B4124" s="138">
        <f>'Acct Summary 7-8'!E10</f>
        <v>262538</v>
      </c>
      <c r="C4124" s="2" t="s">
        <v>573</v>
      </c>
      <c r="D4124" s="2" t="str">
        <f t="shared" si="63"/>
        <v>Error?</v>
      </c>
    </row>
    <row r="4125" spans="1:4" x14ac:dyDescent="0.2">
      <c r="A4125" s="5">
        <v>4064</v>
      </c>
      <c r="B4125" s="138">
        <f>'Acct Summary 7-8'!F10</f>
        <v>1102970</v>
      </c>
      <c r="C4125" s="2" t="s">
        <v>573</v>
      </c>
      <c r="D4125" s="2" t="str">
        <f t="shared" si="63"/>
        <v>Error?</v>
      </c>
    </row>
    <row r="4126" spans="1:4" x14ac:dyDescent="0.2">
      <c r="A4126" s="5">
        <v>4065</v>
      </c>
      <c r="B4126" s="138">
        <f>'Acct Summary 7-8'!G10</f>
        <v>476757</v>
      </c>
      <c r="C4126" s="2" t="s">
        <v>573</v>
      </c>
      <c r="D4126" s="2" t="str">
        <f t="shared" si="63"/>
        <v>Error?</v>
      </c>
    </row>
    <row r="4127" spans="1:4" x14ac:dyDescent="0.2">
      <c r="A4127" s="5">
        <v>4066</v>
      </c>
      <c r="B4127" s="138">
        <f>'Acct Summary 7-8'!H10</f>
        <v>144305</v>
      </c>
      <c r="C4127" s="2" t="s">
        <v>573</v>
      </c>
      <c r="D4127" s="2" t="str">
        <f t="shared" si="63"/>
        <v>Error?</v>
      </c>
    </row>
    <row r="4128" spans="1:4" x14ac:dyDescent="0.2">
      <c r="A4128" s="5">
        <v>4067</v>
      </c>
      <c r="B4128" s="138">
        <f>'Acct Summary 7-8'!I10</f>
        <v>79694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73397</v>
      </c>
      <c r="C4130" s="2" t="s">
        <v>573</v>
      </c>
      <c r="D4130" s="2" t="str">
        <f t="shared" si="63"/>
        <v>Error?</v>
      </c>
    </row>
    <row r="4131" spans="1:4" x14ac:dyDescent="0.2">
      <c r="A4131" s="5">
        <v>4070</v>
      </c>
      <c r="B4131" s="138">
        <f>'Acct Summary 7-8'!C18</f>
        <v>3972001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13314698</v>
      </c>
      <c r="C4136" s="2" t="s">
        <v>573</v>
      </c>
      <c r="D4136" s="2" t="str">
        <f t="shared" si="63"/>
        <v>Error?</v>
      </c>
    </row>
    <row r="4137" spans="1:4" x14ac:dyDescent="0.2">
      <c r="A4137" s="5">
        <v>4076</v>
      </c>
      <c r="B4137" s="138">
        <f>'Acct Summary 7-8'!D19</f>
        <v>1251968</v>
      </c>
      <c r="C4137" s="2" t="s">
        <v>573</v>
      </c>
      <c r="D4137" s="2" t="str">
        <f t="shared" si="63"/>
        <v>Error?</v>
      </c>
    </row>
    <row r="4138" spans="1:4" x14ac:dyDescent="0.2">
      <c r="A4138" s="5">
        <v>4077</v>
      </c>
      <c r="B4138" s="138">
        <f>'Acct Summary 7-8'!E19</f>
        <v>255712</v>
      </c>
      <c r="C4138" s="2" t="s">
        <v>573</v>
      </c>
      <c r="D4138" s="2" t="str">
        <f t="shared" si="63"/>
        <v>Error?</v>
      </c>
    </row>
    <row r="4139" spans="1:4" x14ac:dyDescent="0.2">
      <c r="A4139" s="5">
        <v>4078</v>
      </c>
      <c r="B4139" s="138">
        <f>'Acct Summary 7-8'!F19</f>
        <v>1189788</v>
      </c>
      <c r="C4139" s="2" t="s">
        <v>573</v>
      </c>
      <c r="D4139" s="2" t="str">
        <f t="shared" si="63"/>
        <v>Error?</v>
      </c>
    </row>
    <row r="4140" spans="1:4" x14ac:dyDescent="0.2">
      <c r="A4140" s="5">
        <v>4079</v>
      </c>
      <c r="B4140" s="138">
        <f>'Acct Summary 7-8'!G19</f>
        <v>490884</v>
      </c>
      <c r="C4140" s="2" t="s">
        <v>573</v>
      </c>
      <c r="D4140" s="2" t="str">
        <f t="shared" si="63"/>
        <v>Error?</v>
      </c>
    </row>
    <row r="4141" spans="1:4" x14ac:dyDescent="0.2">
      <c r="A4141" s="5">
        <v>4080</v>
      </c>
      <c r="B4141" s="138">
        <f>'Acct Summary 7-8'!H19</f>
        <v>9548486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44975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12213599</v>
      </c>
      <c r="C4171" s="2" t="s">
        <v>573</v>
      </c>
      <c r="D4171" s="2" t="str">
        <f t="shared" si="64"/>
        <v>Error?</v>
      </c>
    </row>
    <row r="4172" spans="1:4" x14ac:dyDescent="0.2">
      <c r="A4172" s="5">
        <v>4111</v>
      </c>
      <c r="B4172" s="138">
        <f>'Short-Term Long-Term Debt 24'!J49</f>
        <v>12085523</v>
      </c>
      <c r="C4172" s="2" t="s">
        <v>573</v>
      </c>
      <c r="D4172" s="2" t="str">
        <f t="shared" si="64"/>
        <v>Error?</v>
      </c>
    </row>
    <row r="4173" spans="1:4" x14ac:dyDescent="0.2">
      <c r="A4173" s="5">
        <v>4112</v>
      </c>
      <c r="B4173" s="138">
        <f>'Short-Term Long-Term Debt 24'!H49</f>
        <v>380906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130906</v>
      </c>
      <c r="D4210" s="2" t="str">
        <f t="shared" si="64"/>
        <v>Error?</v>
      </c>
    </row>
    <row r="4211" spans="1:4" x14ac:dyDescent="0.2">
      <c r="A4211" s="5">
        <v>4150</v>
      </c>
      <c r="B4211" s="138">
        <f>'Expenditures 15-22'!K206</f>
        <v>130906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31271</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2715.12</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250</v>
      </c>
      <c r="C4267" s="2" t="s">
        <v>573</v>
      </c>
      <c r="D4267" s="2" t="str">
        <f t="shared" si="65"/>
        <v>Error?</v>
      </c>
      <c r="E4267" s="128"/>
    </row>
    <row r="4268" spans="1:5" x14ac:dyDescent="0.2">
      <c r="A4268" s="12">
        <v>4207</v>
      </c>
      <c r="B4268" s="138">
        <f>('FP Info 3'!J10)*100000</f>
        <v>3465</v>
      </c>
      <c r="C4268" s="2" t="s">
        <v>573</v>
      </c>
      <c r="D4268" s="2" t="str">
        <f t="shared" si="65"/>
        <v>Error?</v>
      </c>
    </row>
    <row r="4269" spans="1:5" x14ac:dyDescent="0.2">
      <c r="A4269" s="12">
        <v>4208</v>
      </c>
      <c r="B4269" s="138">
        <f>'FP Info 3'!J16</f>
        <v>818863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10943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119086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15811</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3800</v>
      </c>
      <c r="D4409" s="2" t="str">
        <f t="shared" si="67"/>
        <v>Error?</v>
      </c>
    </row>
    <row r="4410" spans="1:5" x14ac:dyDescent="0.2">
      <c r="A4410" s="5">
        <v>4349</v>
      </c>
      <c r="B4410" s="138">
        <f>'Revenues 9-14'!G207</f>
        <v>1203</v>
      </c>
      <c r="D4410" s="2" t="str">
        <f t="shared" si="67"/>
        <v>Error?</v>
      </c>
    </row>
    <row r="4411" spans="1:5" x14ac:dyDescent="0.2">
      <c r="A4411" s="5">
        <v>4350</v>
      </c>
      <c r="B4411" s="138">
        <f>'Revenues 9-14'!C209</f>
        <v>30049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3800</v>
      </c>
      <c r="C4413" s="2" t="s">
        <v>573</v>
      </c>
      <c r="D4413" s="2" t="str">
        <f t="shared" si="67"/>
        <v>Error?</v>
      </c>
    </row>
    <row r="4414" spans="1:5" x14ac:dyDescent="0.2">
      <c r="A4414" s="5">
        <v>4353</v>
      </c>
      <c r="B4414" s="138">
        <f>'Revenues 9-14'!G209</f>
        <v>1203</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17943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1268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3072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151915602</v>
      </c>
      <c r="D4995" s="2" t="str">
        <f t="shared" si="77"/>
        <v>Error?</v>
      </c>
    </row>
    <row r="4996" spans="1:4" x14ac:dyDescent="0.2">
      <c r="A4996" s="12">
        <v>4935</v>
      </c>
      <c r="B4996" s="138">
        <f>'FP Info 3'!H31</f>
        <v>20964353.076000001</v>
      </c>
      <c r="D4996" s="2" t="str">
        <f t="shared" si="77"/>
        <v>Error?</v>
      </c>
    </row>
    <row r="4997" spans="1:4" x14ac:dyDescent="0.2">
      <c r="A4997" s="12">
        <v>4936</v>
      </c>
      <c r="B4997" s="138">
        <f>'FP Info 3'!H37</f>
        <v>12213599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61476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3883187</v>
      </c>
      <c r="D5061" s="2" t="str">
        <f t="shared" si="78"/>
        <v>Error?</v>
      </c>
    </row>
    <row r="5062" spans="1:4" x14ac:dyDescent="0.2">
      <c r="A5062" s="10">
        <v>5001</v>
      </c>
      <c r="D5062" s="2" t="str">
        <f t="shared" si="78"/>
        <v>OK</v>
      </c>
    </row>
    <row r="5063" spans="1:4" x14ac:dyDescent="0.2">
      <c r="A5063" s="5">
        <v>5002</v>
      </c>
      <c r="B5063" s="138">
        <f>'Revenues 9-14'!C7</f>
        <v>56495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4001158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337739</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337739</v>
      </c>
      <c r="C5087" s="2" t="s">
        <v>573</v>
      </c>
      <c r="D5087" s="2" t="str">
        <f t="shared" si="78"/>
        <v>Error?</v>
      </c>
    </row>
    <row r="5088" spans="1:4" x14ac:dyDescent="0.2">
      <c r="A5088" s="5">
        <v>5027</v>
      </c>
      <c r="B5088" s="138">
        <f>'Revenues 9-14'!C65</f>
        <v>17043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17043</v>
      </c>
      <c r="C5090" s="2" t="s">
        <v>573</v>
      </c>
      <c r="D5090" s="2" t="str">
        <f t="shared" si="78"/>
        <v>Error?</v>
      </c>
    </row>
    <row r="5091" spans="1:4" x14ac:dyDescent="0.2">
      <c r="A5091" s="5">
        <v>5030</v>
      </c>
      <c r="B5091" s="138">
        <f>'Revenues 9-14'!C70</f>
        <v>23470</v>
      </c>
      <c r="D5091" s="2" t="str">
        <f t="shared" si="78"/>
        <v>Error?</v>
      </c>
    </row>
    <row r="5092" spans="1:4" x14ac:dyDescent="0.2">
      <c r="A5092" s="5">
        <v>5031</v>
      </c>
      <c r="B5092" s="138">
        <f>'Revenues 9-14'!C71</f>
        <v>54013</v>
      </c>
      <c r="D5092" s="2" t="str">
        <f t="shared" si="78"/>
        <v>Error?</v>
      </c>
    </row>
    <row r="5093" spans="1:4" x14ac:dyDescent="0.2">
      <c r="A5093" s="5">
        <v>5032</v>
      </c>
      <c r="B5093" s="138">
        <f>'Revenues 9-14'!C72</f>
        <v>12756</v>
      </c>
      <c r="D5093" s="2" t="str">
        <f t="shared" si="78"/>
        <v>Error?</v>
      </c>
    </row>
    <row r="5094" spans="1:4" x14ac:dyDescent="0.2">
      <c r="A5094" s="5">
        <v>5033</v>
      </c>
      <c r="B5094" s="138">
        <f>'Revenues 9-14'!C73</f>
        <v>17338</v>
      </c>
      <c r="D5094" s="2" t="str">
        <f t="shared" si="78"/>
        <v>Error?</v>
      </c>
    </row>
    <row r="5095" spans="1:4" x14ac:dyDescent="0.2">
      <c r="A5095" s="5">
        <v>5034</v>
      </c>
      <c r="B5095" s="138">
        <f>'Revenues 9-14'!C74</f>
        <v>12358</v>
      </c>
      <c r="D5095" s="2" t="str">
        <f t="shared" si="78"/>
        <v>Error?</v>
      </c>
    </row>
    <row r="5096" spans="1:4" x14ac:dyDescent="0.2">
      <c r="A5096" s="5">
        <v>5035</v>
      </c>
      <c r="B5096" s="138">
        <f>'Revenues 9-14'!C75</f>
        <v>245724</v>
      </c>
      <c r="C5096" s="2" t="s">
        <v>573</v>
      </c>
      <c r="D5096" s="2" t="str">
        <f t="shared" si="78"/>
        <v>Error?</v>
      </c>
    </row>
    <row r="5097" spans="1:4" x14ac:dyDescent="0.2">
      <c r="A5097" s="5">
        <v>5036</v>
      </c>
      <c r="B5097" s="138">
        <f>'Revenues 9-14'!C77</f>
        <v>45593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57961</v>
      </c>
      <c r="D5099" s="2" t="str">
        <f t="shared" si="78"/>
        <v>Error?</v>
      </c>
    </row>
    <row r="5100" spans="1:4" x14ac:dyDescent="0.2">
      <c r="A5100" s="5">
        <v>5039</v>
      </c>
      <c r="B5100" s="138">
        <f>'Revenues 9-14'!C80</f>
        <v>4752</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108306</v>
      </c>
      <c r="C5102" s="2" t="s">
        <v>573</v>
      </c>
      <c r="D5102" s="2" t="str">
        <f t="shared" si="78"/>
        <v>Error?</v>
      </c>
    </row>
    <row r="5103" spans="1:4" x14ac:dyDescent="0.2">
      <c r="A5103" s="5">
        <v>5042</v>
      </c>
      <c r="B5103" s="138">
        <f>'Revenues 9-14'!C84</f>
        <v>54992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54992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36777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11812</v>
      </c>
      <c r="D5119" s="2" t="str">
        <f t="shared" ref="D5119:D5182" si="79">IF(ISBLANK(B5119),"OK",IF(A5119-B5119=0,"OK","Error?"))</f>
        <v>Error?</v>
      </c>
    </row>
    <row r="5120" spans="1:4" x14ac:dyDescent="0.2">
      <c r="A5120" s="5">
        <v>5059</v>
      </c>
      <c r="B5120" s="138">
        <f>'Revenues 9-14'!C108</f>
        <v>60897</v>
      </c>
      <c r="C5120" s="2" t="s">
        <v>573</v>
      </c>
      <c r="D5120" s="2" t="str">
        <f t="shared" si="79"/>
        <v>Error?</v>
      </c>
    </row>
    <row r="5121" spans="1:4" x14ac:dyDescent="0.2">
      <c r="A5121" s="5">
        <v>5060</v>
      </c>
      <c r="B5121" s="138">
        <f>'Revenues 9-14'!C109</f>
        <v>4825859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2930481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2930481</v>
      </c>
      <c r="C5132" s="2" t="s">
        <v>573</v>
      </c>
      <c r="D5132" s="2" t="str">
        <f t="shared" si="79"/>
        <v>Error?</v>
      </c>
    </row>
    <row r="5133" spans="1:4" x14ac:dyDescent="0.2">
      <c r="A5133" s="5">
        <v>5072</v>
      </c>
      <c r="B5133" s="138">
        <f>'Revenues 9-14'!C125</f>
        <v>116751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14217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130968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67009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4904</v>
      </c>
      <c r="D5167" s="2" t="str">
        <f t="shared" si="79"/>
        <v>Error?</v>
      </c>
    </row>
    <row r="5168" spans="1:4" x14ac:dyDescent="0.2">
      <c r="A5168" s="5">
        <v>5107</v>
      </c>
      <c r="B5168" s="138">
        <f>'Revenues 9-14'!C148</f>
        <v>14654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348431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567234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3497715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223032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68018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291050</v>
      </c>
      <c r="C5246" s="2" t="s">
        <v>573</v>
      </c>
      <c r="D5246" s="2" t="str">
        <f t="shared" si="80"/>
        <v>Error?</v>
      </c>
    </row>
    <row r="5247" spans="1:4" x14ac:dyDescent="0.2">
      <c r="A5247" s="5">
        <v>5186</v>
      </c>
      <c r="B5247" s="138">
        <f>'Revenues 9-14'!C200</f>
        <v>187225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14238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187225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2718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2718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662086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662086</v>
      </c>
      <c r="C5326" s="2" t="s">
        <v>573</v>
      </c>
      <c r="D5326" s="2" t="str">
        <f t="shared" si="82"/>
        <v>Error?</v>
      </c>
    </row>
    <row r="5327" spans="1:5" x14ac:dyDescent="0.2">
      <c r="A5327" s="5">
        <v>5266</v>
      </c>
      <c r="B5327" s="138">
        <f>'Revenues 9-14'!C268</f>
        <v>8985660</v>
      </c>
      <c r="C5327" s="2" t="s">
        <v>573</v>
      </c>
      <c r="D5327" s="2" t="str">
        <f t="shared" si="82"/>
        <v>Error?</v>
      </c>
    </row>
    <row r="5328" spans="1:5" x14ac:dyDescent="0.2">
      <c r="A5328" s="5">
        <v>5267</v>
      </c>
      <c r="B5328" s="138">
        <f>'Revenues 9-14'!D5</f>
        <v>706134</v>
      </c>
      <c r="D5328" s="2" t="str">
        <f t="shared" si="82"/>
        <v>Error?</v>
      </c>
    </row>
    <row r="5329" spans="1:4" x14ac:dyDescent="0.2">
      <c r="A5329" s="10">
        <v>5268</v>
      </c>
      <c r="D5329" s="2" t="str">
        <f t="shared" si="82"/>
        <v>OK</v>
      </c>
    </row>
    <row r="5330" spans="1:4" x14ac:dyDescent="0.2">
      <c r="A5330" s="5">
        <v>5269</v>
      </c>
      <c r="B5330" s="138">
        <f>'Revenues 9-14'!D6</f>
        <v>9142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715276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436265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436265</v>
      </c>
      <c r="C5339" s="2" t="s">
        <v>573</v>
      </c>
      <c r="D5339" s="2" t="str">
        <f t="shared" si="82"/>
        <v>Error?</v>
      </c>
    </row>
    <row r="5340" spans="1:4" x14ac:dyDescent="0.2">
      <c r="A5340" s="5">
        <v>5279</v>
      </c>
      <c r="B5340" s="138">
        <f>'Revenues 9-14'!D65</f>
        <v>4883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4883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26777</v>
      </c>
      <c r="D5354" s="2" t="str">
        <f t="shared" si="82"/>
        <v>Error?</v>
      </c>
    </row>
    <row r="5355" spans="1:4" x14ac:dyDescent="0.2">
      <c r="A5355" s="5">
        <v>5294</v>
      </c>
      <c r="B5355" s="138">
        <f>'Revenues 9-14'!D108</f>
        <v>45488</v>
      </c>
      <c r="C5355" s="2" t="s">
        <v>573</v>
      </c>
      <c r="D5355" s="2" t="str">
        <f t="shared" si="82"/>
        <v>Error?</v>
      </c>
    </row>
    <row r="5356" spans="1:4" x14ac:dyDescent="0.2">
      <c r="A5356" s="5">
        <v>5295</v>
      </c>
      <c r="B5356" s="138">
        <f>'Revenues 9-14'!D109</f>
        <v>1201912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1201912</v>
      </c>
      <c r="C5508" s="2" t="s">
        <v>573</v>
      </c>
      <c r="D5508" s="2" t="str">
        <f t="shared" si="85"/>
        <v>Error?</v>
      </c>
    </row>
    <row r="5509" spans="1:4" x14ac:dyDescent="0.2">
      <c r="A5509" s="5">
        <v>5448</v>
      </c>
      <c r="B5509" s="138">
        <f>'Revenues 9-14'!E5</f>
        <v>260446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260446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2092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2092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262538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262538</v>
      </c>
      <c r="C5552" s="2" t="s">
        <v>573</v>
      </c>
      <c r="D5552" s="2" t="str">
        <f t="shared" si="85"/>
        <v>Error?</v>
      </c>
    </row>
    <row r="5553" spans="1:4" x14ac:dyDescent="0.2">
      <c r="A5553" s="5">
        <v>5492</v>
      </c>
      <c r="B5553" s="138">
        <f>'Revenues 9-14'!F5</f>
        <v>353072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353072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11980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12086</v>
      </c>
      <c r="C5579" s="2" t="s">
        <v>573</v>
      </c>
      <c r="D5579" s="2" t="str">
        <f t="shared" si="86"/>
        <v>Error?</v>
      </c>
    </row>
    <row r="5580" spans="1:4" x14ac:dyDescent="0.2">
      <c r="A5580" s="5">
        <v>5519</v>
      </c>
      <c r="B5580" s="138">
        <f>'Revenues 9-14'!F65</f>
        <v>4916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4916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v>
      </c>
      <c r="D5586" s="2" t="str">
        <f t="shared" si="86"/>
        <v>Error?</v>
      </c>
    </row>
    <row r="5587" spans="1:4" x14ac:dyDescent="0.2">
      <c r="A5587" s="5">
        <v>5526</v>
      </c>
      <c r="B5587" s="138">
        <f>'Revenues 9-14'!F108</f>
        <v>50</v>
      </c>
      <c r="C5587" s="2" t="s">
        <v>573</v>
      </c>
      <c r="D5587" s="2" t="str">
        <f t="shared" si="86"/>
        <v>Error?</v>
      </c>
    </row>
    <row r="5588" spans="1:4" x14ac:dyDescent="0.2">
      <c r="A5588" s="5">
        <v>5527</v>
      </c>
      <c r="B5588" s="138">
        <f>'Revenues 9-14'!F109</f>
        <v>370124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440359</v>
      </c>
      <c r="D5615" s="2" t="str">
        <f t="shared" si="86"/>
        <v>Error?</v>
      </c>
    </row>
    <row r="5616" spans="1:4" x14ac:dyDescent="0.2">
      <c r="A5616" s="10">
        <v>5555</v>
      </c>
      <c r="D5616" s="2" t="str">
        <f t="shared" si="86"/>
        <v>OK</v>
      </c>
    </row>
    <row r="5617" spans="1:5" x14ac:dyDescent="0.2">
      <c r="A5617" s="5">
        <v>5556</v>
      </c>
      <c r="B5617" s="138">
        <f>'Revenues 9-14'!F153</f>
        <v>278817</v>
      </c>
      <c r="D5617" s="2" t="str">
        <f t="shared" si="86"/>
        <v>Error?</v>
      </c>
    </row>
    <row r="5618" spans="1:5" x14ac:dyDescent="0.2">
      <c r="A5618" s="5">
        <v>5557</v>
      </c>
      <c r="B5618" s="138">
        <f>'Revenues 9-14'!F155</f>
        <v>719176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9870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729046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729046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3800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3800</v>
      </c>
      <c r="C5719" s="2" t="s">
        <v>573</v>
      </c>
      <c r="D5719" s="2" t="str">
        <f t="shared" si="88"/>
        <v>Error?</v>
      </c>
    </row>
    <row r="5720" spans="1:4" x14ac:dyDescent="0.2">
      <c r="A5720" s="5">
        <v>5659</v>
      </c>
      <c r="B5720" s="138">
        <f>'Revenues 9-14'!F268</f>
        <v>1102970</v>
      </c>
      <c r="C5720" s="2" t="s">
        <v>573</v>
      </c>
      <c r="D5720" s="2" t="str">
        <f t="shared" si="88"/>
        <v>Error?</v>
      </c>
    </row>
    <row r="5721" spans="1:4" x14ac:dyDescent="0.2">
      <c r="A5721" s="5">
        <v>5660</v>
      </c>
      <c r="B5721" s="138">
        <f>'Revenues 9-14'!G5</f>
        <v>229382</v>
      </c>
      <c r="D5721" s="2" t="str">
        <f t="shared" si="88"/>
        <v>Error?</v>
      </c>
    </row>
    <row r="5722" spans="1:4" x14ac:dyDescent="0.2">
      <c r="A5722" s="5">
        <v>5661</v>
      </c>
      <c r="B5722" s="138">
        <f>'Revenues 9-14'!G7</f>
        <v>0</v>
      </c>
      <c r="D5722" s="2" t="str">
        <f t="shared" si="88"/>
        <v>Error?</v>
      </c>
    </row>
    <row r="5723" spans="1:4" x14ac:dyDescent="0.2">
      <c r="A5723" s="5">
        <v>5662</v>
      </c>
      <c r="B5723" s="138">
        <f>'Revenues 9-14'!G8</f>
        <v>229497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458879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4651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4651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12024</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12024</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12024</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1203</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1203</v>
      </c>
      <c r="C5869" s="2" t="s">
        <v>573</v>
      </c>
      <c r="D5869" s="2" t="str">
        <f t="shared" si="90"/>
        <v>Error?</v>
      </c>
    </row>
    <row r="5870" spans="1:4" x14ac:dyDescent="0.2">
      <c r="A5870" s="5">
        <v>5809</v>
      </c>
      <c r="B5870" s="138">
        <f>'Revenues 9-14'!G268</f>
        <v>476757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101805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101805</v>
      </c>
      <c r="C5881" s="2" t="s">
        <v>573</v>
      </c>
      <c r="D5881" s="2" t="str">
        <f t="shared" si="90"/>
        <v>Error?</v>
      </c>
    </row>
    <row r="5882" spans="1:4" x14ac:dyDescent="0.2">
      <c r="A5882" s="5">
        <v>5821</v>
      </c>
      <c r="B5882" s="138">
        <f>'Revenues 9-14'!H96</f>
        <v>42500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42500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144305</v>
      </c>
      <c r="C5915" s="2" t="s">
        <v>573</v>
      </c>
      <c r="D5915" s="2" t="str">
        <f t="shared" si="91"/>
        <v>Error?</v>
      </c>
    </row>
    <row r="5916" spans="1:4" x14ac:dyDescent="0.2">
      <c r="A5916" s="5">
        <v>5855</v>
      </c>
      <c r="B5916" s="138">
        <f>'Revenues 9-14'!I5</f>
        <v>70617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70617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9077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9077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79694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70612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70612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2785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2785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73397</v>
      </c>
      <c r="C6023" s="2" t="s">
        <v>573</v>
      </c>
      <c r="D6023" s="2" t="str">
        <f t="shared" si="93"/>
        <v>Error?</v>
      </c>
    </row>
    <row r="6024" spans="1:5" x14ac:dyDescent="0.2">
      <c r="A6024" s="5">
        <v>5963</v>
      </c>
      <c r="B6024" s="138">
        <f>'Revenues 9-14'!G109</f>
        <v>463530</v>
      </c>
      <c r="C6024" s="2" t="s">
        <v>573</v>
      </c>
      <c r="D6024" s="2" t="str">
        <f t="shared" si="93"/>
        <v>Error?</v>
      </c>
    </row>
    <row r="6025" spans="1:5" x14ac:dyDescent="0.2">
      <c r="A6025" s="5">
        <v>5964</v>
      </c>
      <c r="B6025" s="138">
        <f>'Revenues 9-14'!H109</f>
        <v>144305</v>
      </c>
      <c r="C6025" s="2" t="s">
        <v>573</v>
      </c>
      <c r="D6025" s="2" t="str">
        <f t="shared" si="93"/>
        <v>Error?</v>
      </c>
    </row>
    <row r="6026" spans="1:5" x14ac:dyDescent="0.2">
      <c r="A6026" s="5">
        <v>5965</v>
      </c>
      <c r="B6026" s="138">
        <f>'Revenues 9-14'!I109</f>
        <v>79694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73397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125789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44320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981.21600000000001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37673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5593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37673</v>
      </c>
      <c r="D6215" s="2" t="str">
        <f t="shared" si="96"/>
        <v>Error?</v>
      </c>
      <c r="E6215" s="2" t="s">
        <v>190</v>
      </c>
    </row>
    <row r="6216" spans="1:5" x14ac:dyDescent="0.2">
      <c r="A6216">
        <v>6155</v>
      </c>
      <c r="B6216" s="138">
        <f>'Assets-Liab 5-6'!J41</f>
        <v>37673</v>
      </c>
      <c r="D6216" s="2" t="str">
        <f t="shared" si="96"/>
        <v>Error?</v>
      </c>
      <c r="E6216" s="2" t="s">
        <v>190</v>
      </c>
    </row>
    <row r="6217" spans="1:5" x14ac:dyDescent="0.2">
      <c r="A6217">
        <v>6156</v>
      </c>
      <c r="B6217" s="138">
        <f>'Assets-Liab 5-6'!J4</f>
        <v>37673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1080420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1080420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1080420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1116767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1116767</v>
      </c>
      <c r="D6229" s="2" t="str">
        <f t="shared" si="96"/>
        <v>Error?</v>
      </c>
      <c r="E6229" s="2" t="s">
        <v>190</v>
      </c>
    </row>
    <row r="6230" spans="1:5" x14ac:dyDescent="0.2">
      <c r="A6230">
        <v>6169</v>
      </c>
      <c r="B6230" s="138">
        <f>'Acct Summary 7-8'!J20</f>
        <v>-36347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-36347</v>
      </c>
      <c r="D6263" s="2" t="str">
        <f t="shared" si="96"/>
        <v>Error?</v>
      </c>
      <c r="E6263" s="2" t="s">
        <v>190</v>
      </c>
    </row>
    <row r="6264" spans="1:5" x14ac:dyDescent="0.2">
      <c r="A6264">
        <v>6203</v>
      </c>
      <c r="B6264" s="138">
        <f>'Acct Summary 7-8'!J79</f>
        <v>74020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37673</v>
      </c>
      <c r="D6266" s="2" t="str">
        <f t="shared" si="96"/>
        <v>Error?</v>
      </c>
      <c r="E6266" s="2" t="s">
        <v>190</v>
      </c>
    </row>
    <row r="6267" spans="1:5" x14ac:dyDescent="0.2">
      <c r="A6267">
        <v>6206</v>
      </c>
      <c r="B6267" s="138">
        <f>'Acct Summary 7-8'!C82</f>
        <v>-76134</v>
      </c>
      <c r="D6267" s="2" t="str">
        <f t="shared" si="96"/>
        <v>Error?</v>
      </c>
      <c r="E6267" s="2" t="s">
        <v>190</v>
      </c>
    </row>
    <row r="6268" spans="1:5" x14ac:dyDescent="0.2">
      <c r="A6268">
        <v>6207</v>
      </c>
      <c r="B6268" s="138">
        <f>'Acct Summary 7-8'!D82</f>
        <v>51044</v>
      </c>
      <c r="D6268" s="2" t="str">
        <f t="shared" si="96"/>
        <v>Error?</v>
      </c>
      <c r="E6268" s="2" t="s">
        <v>190</v>
      </c>
    </row>
    <row r="6269" spans="1:5" x14ac:dyDescent="0.2">
      <c r="A6269">
        <v>6208</v>
      </c>
      <c r="B6269" s="138">
        <f>'Acct Summary 7-8'!E82</f>
        <v>6826</v>
      </c>
      <c r="D6269" s="2" t="str">
        <f t="shared" si="96"/>
        <v>Error?</v>
      </c>
      <c r="E6269" s="2" t="s">
        <v>190</v>
      </c>
    </row>
    <row r="6270" spans="1:5" x14ac:dyDescent="0.2">
      <c r="A6270">
        <v>6209</v>
      </c>
      <c r="B6270" s="138">
        <f>'Acct Summary 7-8'!F82</f>
        <v>-84068</v>
      </c>
      <c r="D6270" s="2" t="str">
        <f t="shared" si="96"/>
        <v>Error?</v>
      </c>
      <c r="E6270" s="2" t="s">
        <v>190</v>
      </c>
    </row>
    <row r="6271" spans="1:5" x14ac:dyDescent="0.2">
      <c r="A6271">
        <v>6210</v>
      </c>
      <c r="B6271" s="138">
        <f>'Acct Summary 7-8'!G82</f>
        <v>-14127</v>
      </c>
      <c r="D6271" s="2" t="str">
        <f t="shared" ref="D6271:D6334" si="97">IF(ISBLANK(B6271),"OK",IF(A6271-B6271=0,"OK","Error?"))</f>
        <v>Error?</v>
      </c>
      <c r="E6271" s="2" t="s">
        <v>190</v>
      </c>
    </row>
    <row r="6272" spans="1:5" x14ac:dyDescent="0.2">
      <c r="A6272">
        <v>6211</v>
      </c>
      <c r="B6272" s="138">
        <f>'Acct Summary 7-8'!H82</f>
        <v>-9404181</v>
      </c>
      <c r="D6272" s="2" t="str">
        <f t="shared" si="97"/>
        <v>Error?</v>
      </c>
      <c r="E6272" s="2" t="s">
        <v>190</v>
      </c>
    </row>
    <row r="6273" spans="1:5" x14ac:dyDescent="0.2">
      <c r="A6273">
        <v>6212</v>
      </c>
      <c r="B6273" s="138">
        <f>'Acct Summary 7-8'!I82</f>
        <v>-299059</v>
      </c>
      <c r="D6273" s="2" t="str">
        <f t="shared" si="97"/>
        <v>Error?</v>
      </c>
      <c r="E6273" s="2" t="s">
        <v>190</v>
      </c>
    </row>
    <row r="6274" spans="1:5" x14ac:dyDescent="0.2">
      <c r="A6274">
        <v>6213</v>
      </c>
      <c r="B6274" s="138">
        <f>'Acct Summary 7-8'!J82</f>
        <v>-36347</v>
      </c>
      <c r="D6274" s="2" t="str">
        <f t="shared" si="97"/>
        <v>Error?</v>
      </c>
      <c r="E6274" s="2" t="s">
        <v>190</v>
      </c>
    </row>
    <row r="6275" spans="1:5" x14ac:dyDescent="0.2">
      <c r="A6275">
        <v>6214</v>
      </c>
      <c r="B6275" s="138">
        <f>'Acct Summary 7-8'!K82</f>
        <v>28422</v>
      </c>
      <c r="D6275" s="2" t="str">
        <f t="shared" si="97"/>
        <v>Error?</v>
      </c>
      <c r="E6275" s="2" t="s">
        <v>190</v>
      </c>
    </row>
    <row r="6276" spans="1:5" x14ac:dyDescent="0.2">
      <c r="A6276">
        <v>6215</v>
      </c>
      <c r="B6276" s="138">
        <f>'Acct Summary 7-8'!C83</f>
        <v>-0.53085016629595805</v>
      </c>
      <c r="D6276" s="2" t="str">
        <f t="shared" si="97"/>
        <v>Error?</v>
      </c>
      <c r="E6276" s="2" t="s">
        <v>190</v>
      </c>
    </row>
    <row r="6277" spans="1:5" x14ac:dyDescent="0.2">
      <c r="A6277">
        <v>6216</v>
      </c>
      <c r="B6277" s="138">
        <f>'Acct Summary 7-8'!D83</f>
        <v>0.33309623403658289</v>
      </c>
      <c r="D6277" s="2" t="str">
        <f t="shared" si="97"/>
        <v>Error?</v>
      </c>
      <c r="E6277" s="2" t="s">
        <v>190</v>
      </c>
    </row>
    <row r="6278" spans="1:5" x14ac:dyDescent="0.2">
      <c r="A6278">
        <v>6217</v>
      </c>
      <c r="B6278" s="138">
        <f>'Acct Summary 7-8'!E83</f>
        <v>5.3296480214872419E-2</v>
      </c>
      <c r="D6278" s="2" t="str">
        <f t="shared" si="97"/>
        <v>Error?</v>
      </c>
      <c r="E6278" s="2" t="s">
        <v>190</v>
      </c>
    </row>
    <row r="6279" spans="1:5" x14ac:dyDescent="0.2">
      <c r="A6279">
        <v>6218</v>
      </c>
      <c r="B6279" s="138">
        <f>'Acct Summary 7-8'!F83</f>
        <v>-0.42680177893304633</v>
      </c>
      <c r="D6279" s="2" t="str">
        <f t="shared" si="97"/>
        <v>Error?</v>
      </c>
      <c r="E6279" s="2" t="s">
        <v>190</v>
      </c>
    </row>
    <row r="6280" spans="1:5" x14ac:dyDescent="0.2">
      <c r="A6280">
        <v>6219</v>
      </c>
      <c r="B6280" s="138">
        <f>'Acct Summary 7-8'!G83</f>
        <v>-9.262816940195262E-2</v>
      </c>
      <c r="D6280" s="2" t="str">
        <f t="shared" si="97"/>
        <v>Error?</v>
      </c>
      <c r="E6280" s="2" t="s">
        <v>190</v>
      </c>
    </row>
    <row r="6281" spans="1:5" x14ac:dyDescent="0.2">
      <c r="A6281">
        <v>6220</v>
      </c>
      <c r="B6281" s="138">
        <f>'Acct Summary 7-8'!H83</f>
        <v>-4.9873176924924918</v>
      </c>
      <c r="D6281" s="2" t="str">
        <f t="shared" si="97"/>
        <v>Error?</v>
      </c>
      <c r="E6281" s="2" t="s">
        <v>190</v>
      </c>
    </row>
    <row r="6282" spans="1:5" x14ac:dyDescent="0.2">
      <c r="A6282">
        <v>6221</v>
      </c>
      <c r="B6282" s="138">
        <f>'Acct Summary 7-8'!I83</f>
        <v>-0.91952796627627753</v>
      </c>
      <c r="D6282" s="2" t="str">
        <f t="shared" si="97"/>
        <v>Error?</v>
      </c>
      <c r="E6282" s="2" t="s">
        <v>190</v>
      </c>
    </row>
    <row r="6283" spans="1:5" x14ac:dyDescent="0.2">
      <c r="A6283">
        <v>6222</v>
      </c>
      <c r="B6283" s="138">
        <f>'Acct Summary 7-8'!J83</f>
        <v>-0.96480237836116056</v>
      </c>
      <c r="D6283" s="2" t="str">
        <f t="shared" si="97"/>
        <v>Error?</v>
      </c>
      <c r="E6283" s="2" t="s">
        <v>190</v>
      </c>
    </row>
    <row r="6284" spans="1:5" x14ac:dyDescent="0.2">
      <c r="A6284">
        <v>6223</v>
      </c>
      <c r="B6284" s="138">
        <f>'Acct Summary 7-8'!K83</f>
        <v>0.18282634006393969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1074525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1074525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5895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5895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16646</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10855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1080420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35738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181310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14223</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200596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99186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456665</v>
      </c>
      <c r="D6880" s="2" t="str">
        <f t="shared" si="106"/>
        <v>Error?</v>
      </c>
    </row>
    <row r="6881" spans="1:4" x14ac:dyDescent="0.2">
      <c r="A6881">
        <v>6820</v>
      </c>
      <c r="B6881" s="138">
        <f>'Expenditures 15-22'!K22</f>
        <v>456665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14223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265946</v>
      </c>
      <c r="D6983" s="2" t="str">
        <f t="shared" si="108"/>
        <v>Error?</v>
      </c>
    </row>
    <row r="6984" spans="1:4" x14ac:dyDescent="0.2">
      <c r="A6984">
        <v>6923</v>
      </c>
      <c r="B6984" s="138">
        <f>'Expenditures 15-22'!K86</f>
        <v>265946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27939</v>
      </c>
      <c r="D6987" s="2" t="str">
        <f t="shared" si="108"/>
        <v>Error?</v>
      </c>
    </row>
    <row r="6988" spans="1:4" x14ac:dyDescent="0.2">
      <c r="A6988">
        <v>6927</v>
      </c>
      <c r="B6988" s="138">
        <f>'Expenditures 15-22'!K88</f>
        <v>27939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293885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14223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1116767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1080420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1436</v>
      </c>
      <c r="D7067" s="2" t="str">
        <f t="shared" si="109"/>
        <v>Error?</v>
      </c>
    </row>
    <row r="7068" spans="1:4" x14ac:dyDescent="0.2">
      <c r="A7068">
        <v>7007</v>
      </c>
      <c r="B7068" s="138">
        <f>'Expenditures 15-22'!K205</f>
        <v>1436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7333</v>
      </c>
      <c r="D7073" s="2" t="str">
        <f t="shared" si="109"/>
        <v>Error?</v>
      </c>
    </row>
    <row r="7074" spans="1:4" x14ac:dyDescent="0.2">
      <c r="A7074">
        <v>7013</v>
      </c>
      <c r="B7074" s="138">
        <f>'Expenditures 15-22'!K216</f>
        <v>7333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1155</v>
      </c>
      <c r="D7079" s="2" t="str">
        <f t="shared" si="109"/>
        <v>Error?</v>
      </c>
    </row>
    <row r="7080" spans="1:4" x14ac:dyDescent="0.2">
      <c r="A7080">
        <v>7019</v>
      </c>
      <c r="B7080" s="138">
        <f>'Expenditures 15-22'!K226</f>
        <v>1155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952</v>
      </c>
      <c r="D7093" s="2" t="str">
        <f t="shared" si="109"/>
        <v>Error?</v>
      </c>
    </row>
    <row r="7094" spans="1:4" x14ac:dyDescent="0.2">
      <c r="A7094">
        <v>7033</v>
      </c>
      <c r="B7094" s="138">
        <f>'Expenditures 15-22'!K254</f>
        <v>952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73823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73823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11718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11718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106702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106702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840681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44402</v>
      </c>
      <c r="D7174" s="2" t="str">
        <f t="shared" si="111"/>
        <v>Error?</v>
      </c>
    </row>
    <row r="7175" spans="1:4" x14ac:dyDescent="0.2">
      <c r="A7175">
        <v>7114</v>
      </c>
      <c r="B7175" s="138">
        <f>'Expenditures 15-22'!F325</f>
        <v>1617</v>
      </c>
      <c r="D7175" s="2" t="str">
        <f t="shared" si="111"/>
        <v>Error?</v>
      </c>
    </row>
    <row r="7176" spans="1:4" x14ac:dyDescent="0.2">
      <c r="A7176">
        <v>7115</v>
      </c>
      <c r="B7176" s="138">
        <f>'Expenditures 15-22'!G325</f>
        <v>17824</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904524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20000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20000</v>
      </c>
      <c r="D7198" s="2" t="str">
        <f t="shared" si="111"/>
        <v>Error?</v>
      </c>
    </row>
    <row r="7199" spans="1:4" x14ac:dyDescent="0.2">
      <c r="A7199">
        <v>7138</v>
      </c>
      <c r="B7199" s="138">
        <f>'Expenditures 15-22'!C330</f>
        <v>840681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256645</v>
      </c>
      <c r="D7201" s="2" t="str">
        <f t="shared" si="111"/>
        <v>Error?</v>
      </c>
    </row>
    <row r="7202" spans="1:4" x14ac:dyDescent="0.2">
      <c r="A7202">
        <v>7141</v>
      </c>
      <c r="B7202" s="138">
        <f>'Expenditures 15-22'!F330</f>
        <v>1617</v>
      </c>
      <c r="D7202" s="2" t="str">
        <f t="shared" si="111"/>
        <v>Error?</v>
      </c>
    </row>
    <row r="7203" spans="1:4" x14ac:dyDescent="0.2">
      <c r="A7203">
        <v>7142</v>
      </c>
      <c r="B7203" s="138">
        <f>'Expenditures 15-22'!G330</f>
        <v>17824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1116767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840681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256645</v>
      </c>
      <c r="D7218" s="2" t="str">
        <f t="shared" si="111"/>
        <v>Error?</v>
      </c>
    </row>
    <row r="7219" spans="1:4" x14ac:dyDescent="0.2">
      <c r="A7219">
        <v>7158</v>
      </c>
      <c r="B7219" s="138">
        <f>'Expenditures 15-22'!F342</f>
        <v>1617</v>
      </c>
      <c r="D7219" s="2" t="str">
        <f t="shared" si="111"/>
        <v>Error?</v>
      </c>
    </row>
    <row r="7220" spans="1:4" x14ac:dyDescent="0.2">
      <c r="A7220">
        <v>7159</v>
      </c>
      <c r="B7220" s="138">
        <f>'Expenditures 15-22'!G342</f>
        <v>17824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1116767</v>
      </c>
      <c r="D7224" s="2" t="str">
        <f t="shared" si="111"/>
        <v>Error?</v>
      </c>
    </row>
    <row r="7225" spans="1:4" x14ac:dyDescent="0.2">
      <c r="A7225">
        <v>7164</v>
      </c>
      <c r="B7225" s="138">
        <f>'Expenditures 15-22'!K343</f>
        <v>-36347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12315</v>
      </c>
      <c r="D7246" s="2" t="str">
        <f t="shared" si="112"/>
        <v>Error?</v>
      </c>
    </row>
    <row r="7247" spans="1:4" x14ac:dyDescent="0.2">
      <c r="A7247">
        <f t="shared" si="113"/>
        <v>7186</v>
      </c>
      <c r="B7247" s="138">
        <f>'Expenditures 15-22'!E7</f>
        <v>1895</v>
      </c>
      <c r="D7247" s="2" t="str">
        <f t="shared" si="112"/>
        <v>Error?</v>
      </c>
    </row>
    <row r="7248" spans="1:4" x14ac:dyDescent="0.2">
      <c r="A7248">
        <f t="shared" si="113"/>
        <v>7187</v>
      </c>
      <c r="B7248" s="138">
        <f>'Expenditures 15-22'!F7</f>
        <v>5076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72565</v>
      </c>
      <c r="D7263" s="2" t="str">
        <f t="shared" si="112"/>
        <v>Error?</v>
      </c>
    </row>
    <row r="7264" spans="1:4" x14ac:dyDescent="0.2">
      <c r="A7264">
        <f t="shared" si="113"/>
        <v>7203</v>
      </c>
      <c r="B7264" s="138">
        <f>'Expenditures 15-22'!D17</f>
        <v>1724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401</v>
      </c>
      <c r="D7266" s="2" t="str">
        <f t="shared" si="112"/>
        <v>Error?</v>
      </c>
    </row>
    <row r="7267" spans="1:5" x14ac:dyDescent="0.2">
      <c r="A7267">
        <f t="shared" si="113"/>
        <v>7206</v>
      </c>
      <c r="B7267" s="138">
        <f>'Expenditures 15-22'!G17</f>
        <v>24496</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627429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10855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14654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25509</v>
      </c>
      <c r="D7719" s="2" t="str">
        <f t="shared" si="126"/>
        <v>Error?</v>
      </c>
      <c r="E7719" s="2" t="s">
        <v>827</v>
      </c>
    </row>
    <row r="7720" spans="1:6" x14ac:dyDescent="0.2">
      <c r="A7720">
        <v>7659</v>
      </c>
      <c r="B7720" s="138">
        <f>'Rest Tax Levies-Tort Im 25'!H14</f>
        <v>56495</v>
      </c>
      <c r="D7720" s="2" t="str">
        <f t="shared" si="126"/>
        <v>Error?</v>
      </c>
      <c r="E7720" s="2" t="s">
        <v>827</v>
      </c>
    </row>
    <row r="7721" spans="1:6" x14ac:dyDescent="0.2">
      <c r="A7721">
        <v>7660</v>
      </c>
      <c r="B7721" s="138">
        <f>'Rest Tax Levies-Tort Im 25'!K14</f>
        <v>25509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278753</v>
      </c>
      <c r="D7748" s="2" t="str">
        <f t="shared" si="127"/>
        <v>Error?</v>
      </c>
      <c r="E7748" s="4" t="s">
        <v>1333</v>
      </c>
    </row>
    <row r="7749" spans="1:6" x14ac:dyDescent="0.2">
      <c r="A7749">
        <v>7688</v>
      </c>
      <c r="B7749" s="138">
        <f>'Acct Summary 7-8'!D25</f>
        <v>100000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29'!D140</f>
        <v>189439.12</v>
      </c>
      <c r="D7797" s="2" t="str">
        <f t="shared" si="127"/>
        <v>Error?</v>
      </c>
      <c r="E7797" s="4" t="s">
        <v>1903</v>
      </c>
    </row>
    <row r="7798" spans="1:5" x14ac:dyDescent="0.2">
      <c r="A7798">
        <v>7737</v>
      </c>
      <c r="B7798" s="138">
        <f>'Contracts Paid in CY 29'!F140</f>
        <v>127169.12</v>
      </c>
      <c r="D7798" s="2" t="str">
        <f t="shared" si="127"/>
        <v>Error?</v>
      </c>
      <c r="E7798" s="4" t="s">
        <v>1903</v>
      </c>
    </row>
    <row r="7799" spans="1:5" x14ac:dyDescent="0.2">
      <c r="A7799">
        <v>7738</v>
      </c>
      <c r="B7799" s="138">
        <f>'Contracts Paid in CY 29'!G140</f>
        <v>62270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1988</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Bureau Valley CUSD 340</v>
      </c>
      <c r="B7" s="2403"/>
      <c r="C7" s="2403"/>
      <c r="D7" s="2404"/>
      <c r="E7" s="2405">
        <f>COVER!A13</f>
        <v>28006340026</v>
      </c>
      <c r="F7" s="2406"/>
      <c r="G7" s="2412" t="str">
        <f>COVER!T23</f>
        <v>066-004501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 xml:space="preserve">HOPKINS &amp; ASSOCIATES, CPAS </v>
      </c>
      <c r="H9" s="2418"/>
      <c r="I9" s="2418"/>
      <c r="J9" s="2418"/>
      <c r="K9" s="2418"/>
      <c r="L9" s="2419"/>
    </row>
    <row r="10" spans="1:29" ht="13.5" customHeight="1" x14ac:dyDescent="0.2">
      <c r="A10" s="2392" t="str">
        <f>COVER!A38</f>
        <v>JASON STABLER</v>
      </c>
      <c r="B10" s="2393"/>
      <c r="C10" s="2393"/>
      <c r="D10" s="2393"/>
      <c r="E10" s="2393"/>
      <c r="F10" s="2394"/>
      <c r="G10" s="2386" t="str">
        <f>COVER!T17</f>
        <v>314 S MCCOY STREET</v>
      </c>
      <c r="H10" s="2387"/>
      <c r="I10" s="2387"/>
      <c r="J10" s="2387"/>
      <c r="K10" s="2387"/>
      <c r="L10" s="2388"/>
    </row>
    <row r="11" spans="1:29" ht="13.5" customHeight="1" x14ac:dyDescent="0.2">
      <c r="A11" s="1184" t="s">
        <v>1519</v>
      </c>
      <c r="B11" s="1185"/>
      <c r="C11" s="1186"/>
      <c r="D11" s="1191"/>
      <c r="E11" s="1186"/>
      <c r="F11" s="1190"/>
      <c r="G11" s="2386" t="str">
        <f>COVER!T19</f>
        <v>GRANVILLE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JOEL@HOPKINSOFFICE.COM</v>
      </c>
      <c r="J13" s="2399"/>
      <c r="K13" s="2399"/>
      <c r="L13" s="2400"/>
    </row>
    <row r="14" spans="1:29" ht="13.5" customHeight="1" x14ac:dyDescent="0.2">
      <c r="A14" s="2386" t="str">
        <f>COVER!A19</f>
        <v>PO BOX 289</v>
      </c>
      <c r="B14" s="2387"/>
      <c r="C14" s="2387"/>
      <c r="D14" s="2387"/>
      <c r="E14" s="2387"/>
      <c r="F14" s="2388"/>
      <c r="G14" s="1195" t="s">
        <v>1185</v>
      </c>
      <c r="H14" s="1193"/>
      <c r="I14" s="1193"/>
      <c r="J14" s="1193"/>
      <c r="K14" s="1193"/>
      <c r="L14" s="1194"/>
    </row>
    <row r="15" spans="1:29" ht="13.5" customHeight="1" x14ac:dyDescent="0.2">
      <c r="A15" s="2386" t="str">
        <f>COVER!A21</f>
        <v>MANLIUS</v>
      </c>
      <c r="B15" s="2387"/>
      <c r="C15" s="2387"/>
      <c r="D15" s="2387"/>
      <c r="E15" s="2387"/>
      <c r="F15" s="2388"/>
      <c r="G15" s="2383" t="str">
        <f>COVER!T15</f>
        <v xml:space="preserve">JOEL HOPKINS </v>
      </c>
      <c r="H15" s="2384"/>
      <c r="I15" s="2384"/>
      <c r="J15" s="2384"/>
      <c r="K15" s="2384"/>
      <c r="L15" s="2385"/>
    </row>
    <row r="16" spans="1:29" ht="12.2" customHeight="1" x14ac:dyDescent="0.2">
      <c r="A16" s="2408">
        <f>COVER!A25</f>
        <v>61338</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815-339-6630</v>
      </c>
      <c r="H18" s="2403"/>
      <c r="I18" s="2403"/>
      <c r="J18" s="2403"/>
      <c r="K18" s="2402" t="str">
        <f>COVER!X21</f>
        <v>815-339-6643</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Bureau Valley CUSD 340</v>
      </c>
      <c r="B1" s="2401"/>
      <c r="C1" s="2401"/>
      <c r="D1" s="2401"/>
    </row>
    <row r="2" spans="1:11" s="1212" customFormat="1" ht="12.75" x14ac:dyDescent="0.2">
      <c r="A2" s="2425">
        <f>'Single Audit Cover'!E7</f>
        <v>28006340026</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Bureau Valley CUSD 340</v>
      </c>
      <c r="B1" s="2428"/>
      <c r="C1" s="2428"/>
      <c r="D1" s="2428"/>
      <c r="E1" s="2428"/>
    </row>
    <row r="2" spans="1:5" x14ac:dyDescent="0.2">
      <c r="A2" s="2429">
        <f>'Single Audit Cover'!E7</f>
        <v>28006340026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667089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44320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-119086</v>
      </c>
    </row>
    <row r="19" spans="1:4" ht="13.5" thickBot="1" x14ac:dyDescent="0.25">
      <c r="A19" s="1262" t="s">
        <v>1235</v>
      </c>
      <c r="D19" s="1263">
        <f>SUM(D10:D17)</f>
        <v>592323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592323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592323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Bureau Valley CUSD 340</v>
      </c>
      <c r="C1" s="2432"/>
      <c r="D1" s="2432"/>
      <c r="E1" s="2432"/>
      <c r="F1" s="2432"/>
      <c r="G1" s="2432"/>
      <c r="H1" s="2432"/>
      <c r="I1" s="2432"/>
      <c r="J1" s="2432"/>
      <c r="K1" s="2432"/>
      <c r="L1" s="2432"/>
      <c r="M1" s="2432"/>
    </row>
    <row r="2" spans="2:14" ht="15" x14ac:dyDescent="0.2">
      <c r="B2" s="2433">
        <f>'Single Audit Cover'!E7</f>
        <v>28006340026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Bureau Valley CUSD 340</v>
      </c>
      <c r="B1" s="2445"/>
      <c r="C1" s="2445"/>
      <c r="D1" s="2445"/>
      <c r="E1" s="2445"/>
      <c r="F1" s="2445"/>
    </row>
    <row r="2" spans="1:7" ht="13.5" customHeight="1" x14ac:dyDescent="0.2">
      <c r="A2" s="2433">
        <f>'Single Audit Cover'!E7</f>
        <v>28006340026</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Bureau Valley CUSD 340</v>
      </c>
      <c r="C1" s="2460"/>
      <c r="D1" s="2460"/>
      <c r="E1" s="2460"/>
      <c r="F1" s="2460"/>
      <c r="G1" s="2460"/>
      <c r="H1" s="2460"/>
      <c r="I1" s="2460"/>
      <c r="J1" s="1406"/>
    </row>
    <row r="2" spans="2:10" s="317" customFormat="1" ht="12.75" customHeight="1" x14ac:dyDescent="0.2">
      <c r="B2" s="2461">
        <f>'Single Audit Cover'!E7</f>
        <v>28006340026</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2073</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Bureau Valley CUSD 340</v>
      </c>
      <c r="C1" s="2459"/>
      <c r="D1" s="2459"/>
      <c r="E1" s="2459"/>
      <c r="F1" s="2459"/>
      <c r="G1" s="2459"/>
      <c r="H1" s="2459"/>
      <c r="I1" s="2459"/>
      <c r="J1" s="2459"/>
      <c r="K1" s="2459"/>
      <c r="L1" s="1371"/>
      <c r="M1" s="1371"/>
    </row>
    <row r="2" spans="1:13" ht="12" customHeight="1" x14ac:dyDescent="0.2">
      <c r="B2" s="2461">
        <f>'Single Audit Cover'!E7</f>
        <v>28006340026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Bureau Valley CUSD 340</v>
      </c>
      <c r="C1" s="2482"/>
      <c r="D1" s="2482"/>
      <c r="E1" s="2482"/>
      <c r="F1" s="2482"/>
      <c r="G1" s="2482"/>
      <c r="H1" s="2482"/>
      <c r="I1" s="2482"/>
      <c r="J1" s="2482"/>
      <c r="K1" s="2482"/>
      <c r="L1" s="1449"/>
    </row>
    <row r="2" spans="1:12" ht="12.75" customHeight="1" x14ac:dyDescent="0.2">
      <c r="B2" s="2483">
        <f>'Single Audit Cover'!E7</f>
        <v>28006340026</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Bureau Valley CUSD 340</v>
      </c>
      <c r="C1" s="2459"/>
      <c r="D1" s="2459"/>
      <c r="E1" s="1469"/>
    </row>
    <row r="2" spans="2:5" s="1279" customFormat="1" ht="12.75" customHeight="1" x14ac:dyDescent="0.2">
      <c r="B2" s="2461">
        <f>'Single Audit Cover'!E7</f>
        <v>28006340026</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151915602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2.71512E-2</v>
      </c>
      <c r="E10" s="356" t="s">
        <v>1005</v>
      </c>
      <c r="F10" s="355">
        <v>5.0000000000000001E-3</v>
      </c>
      <c r="G10" s="356" t="s">
        <v>1005</v>
      </c>
      <c r="H10" s="355">
        <v>2.5000000000000001E-3</v>
      </c>
      <c r="I10" s="356" t="s">
        <v>1006</v>
      </c>
      <c r="J10" s="1732">
        <f>ROUND(D10+F10+H10,5)</f>
        <v>3.465E-2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11370236</v>
      </c>
      <c r="E16" s="356"/>
      <c r="F16" s="1733">
        <f>SUM('Acct Summary 7-8'!C17,'Acct Summary 7-8'!D17,'Acct Summary 7-8'!F17)</f>
        <v>11784453</v>
      </c>
      <c r="G16" s="356"/>
      <c r="H16" s="1733">
        <f>SUM(D16-F16)</f>
        <v>-414217</v>
      </c>
      <c r="I16" s="222"/>
      <c r="J16" s="1733">
        <f>SUM('Acct Summary 7-8'!C81,'Acct Summary 7-8'!D81,'Acct Summary 7-8'!F81,'Acct Summary 7-8'!I81)</f>
        <v>818863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20964353.076000001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12213599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Bureau Valley CUSD 340</v>
      </c>
      <c r="E7" s="391"/>
      <c r="G7" s="252"/>
      <c r="H7" s="387"/>
      <c r="I7" s="387"/>
      <c r="J7" s="387"/>
      <c r="K7" s="387"/>
      <c r="L7" s="329"/>
      <c r="M7" s="329"/>
      <c r="N7" s="329"/>
      <c r="O7" s="329"/>
      <c r="P7" s="329"/>
    </row>
    <row r="8" spans="1:18" ht="12.75" x14ac:dyDescent="0.2">
      <c r="A8" s="329"/>
      <c r="B8" s="329"/>
      <c r="C8" s="389" t="s">
        <v>1125</v>
      </c>
      <c r="D8" s="392">
        <f>COVER!A13</f>
        <v>28006340026</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818863</v>
      </c>
      <c r="I12" s="404"/>
      <c r="J12" s="404"/>
      <c r="K12" s="405">
        <f>TRUNC((H12/H13*100000),5)/100000</f>
        <v>7.20181181E-2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11370236</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11784453</v>
      </c>
      <c r="I17" s="404"/>
      <c r="J17" s="416"/>
      <c r="K17" s="405">
        <f>TRUNC((H17/H18*100000),5)/100000</f>
        <v>1.0364299386</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11370236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-0.76810119999999993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824456</v>
      </c>
      <c r="I24" s="422"/>
      <c r="J24" s="422"/>
      <c r="K24" s="423">
        <f>TRUNC(((H24/H25*100000)/100000),2)</f>
        <v>25.18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32734.591670000002</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4474294.2679099999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12213599</v>
      </c>
      <c r="I32" s="420"/>
      <c r="J32" s="420"/>
      <c r="K32" s="423">
        <f>TRUNC(100-((((H32/H33*100))*100)/100),2)</f>
        <v>41.74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20964353.076000001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2.4500000000000002</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L40" sqref="L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149012</v>
      </c>
      <c r="D4" s="466">
        <v>153241</v>
      </c>
      <c r="E4" s="466">
        <v>128076</v>
      </c>
      <c r="F4" s="466">
        <v>196972</v>
      </c>
      <c r="G4" s="466">
        <f>309+152204</f>
        <v>152513</v>
      </c>
      <c r="H4" s="466">
        <f>96928+1788691</f>
        <v>1885619</v>
      </c>
      <c r="I4" s="466">
        <f>438+324793</f>
        <v>325231</v>
      </c>
      <c r="J4" s="467">
        <v>37673</v>
      </c>
      <c r="K4" s="466">
        <v>155459</v>
      </c>
      <c r="L4" s="466">
        <f>108451+39894+6989+18235+6331+78383</f>
        <v>258283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149012</v>
      </c>
      <c r="D13" s="1737">
        <f t="shared" ref="D13:L13" si="0">SUM(D4:D12)</f>
        <v>153241</v>
      </c>
      <c r="E13" s="1737">
        <f t="shared" si="0"/>
        <v>128076</v>
      </c>
      <c r="F13" s="1737">
        <f t="shared" si="0"/>
        <v>196972</v>
      </c>
      <c r="G13" s="1737">
        <f t="shared" si="0"/>
        <v>152513</v>
      </c>
      <c r="H13" s="1737">
        <f t="shared" si="0"/>
        <v>1885619</v>
      </c>
      <c r="I13" s="1737">
        <f t="shared" si="0"/>
        <v>325231</v>
      </c>
      <c r="J13" s="1737">
        <f t="shared" si="0"/>
        <v>37673</v>
      </c>
      <c r="K13" s="1737">
        <f t="shared" si="0"/>
        <v>155459</v>
      </c>
      <c r="L13" s="1737">
        <f t="shared" si="0"/>
        <v>258283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754625</v>
      </c>
      <c r="N16" s="484"/>
    </row>
    <row r="17" spans="1:14" s="485" customFormat="1" ht="12.75" customHeight="1" x14ac:dyDescent="0.2">
      <c r="A17" s="482" t="s">
        <v>1403</v>
      </c>
      <c r="B17" s="483">
        <v>230</v>
      </c>
      <c r="C17" s="477"/>
      <c r="D17" s="477"/>
      <c r="E17" s="477"/>
      <c r="F17" s="477"/>
      <c r="G17" s="477"/>
      <c r="H17" s="477"/>
      <c r="I17" s="477"/>
      <c r="J17" s="477"/>
      <c r="K17" s="477"/>
      <c r="L17" s="477"/>
      <c r="M17" s="467">
        <v>18240218</v>
      </c>
      <c r="N17" s="484"/>
    </row>
    <row r="18" spans="1:14" s="485" customFormat="1" ht="12.75" customHeight="1" x14ac:dyDescent="0.2">
      <c r="A18" s="482" t="s">
        <v>1404</v>
      </c>
      <c r="B18" s="483">
        <v>240</v>
      </c>
      <c r="C18" s="477"/>
      <c r="D18" s="477"/>
      <c r="E18" s="477"/>
      <c r="F18" s="477"/>
      <c r="G18" s="477"/>
      <c r="H18" s="477"/>
      <c r="I18" s="477"/>
      <c r="J18" s="477"/>
      <c r="K18" s="477"/>
      <c r="L18" s="477"/>
      <c r="M18" s="467">
        <v>1878894</v>
      </c>
      <c r="N18" s="484"/>
    </row>
    <row r="19" spans="1:14" s="485" customFormat="1" ht="12.75" customHeight="1" x14ac:dyDescent="0.2">
      <c r="A19" s="482" t="s">
        <v>1405</v>
      </c>
      <c r="B19" s="483">
        <v>250</v>
      </c>
      <c r="C19" s="477"/>
      <c r="D19" s="477"/>
      <c r="E19" s="477"/>
      <c r="F19" s="477"/>
      <c r="G19" s="477"/>
      <c r="H19" s="477"/>
      <c r="I19" s="477"/>
      <c r="J19" s="477"/>
      <c r="K19" s="477"/>
      <c r="L19" s="477"/>
      <c r="M19" s="467">
        <f>2841916+1521880</f>
        <v>4363796</v>
      </c>
      <c r="N19" s="484"/>
    </row>
    <row r="20" spans="1:14" s="485" customFormat="1" ht="12.75" customHeight="1" x14ac:dyDescent="0.2">
      <c r="A20" s="482" t="s">
        <v>1406</v>
      </c>
      <c r="B20" s="483">
        <v>260</v>
      </c>
      <c r="C20" s="477"/>
      <c r="D20" s="477"/>
      <c r="E20" s="477"/>
      <c r="F20" s="477"/>
      <c r="G20" s="477"/>
      <c r="H20" s="477"/>
      <c r="I20" s="477"/>
      <c r="J20" s="477"/>
      <c r="K20" s="477"/>
      <c r="L20" s="477"/>
      <c r="M20" s="467">
        <v>10262499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128076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12085523</v>
      </c>
    </row>
    <row r="23" spans="1:14" ht="13.5" customHeight="1" thickBot="1" x14ac:dyDescent="0.25">
      <c r="A23" s="1736" t="s">
        <v>643</v>
      </c>
      <c r="B23" s="1741"/>
      <c r="C23" s="468"/>
      <c r="D23" s="468"/>
      <c r="E23" s="468"/>
      <c r="F23" s="468"/>
      <c r="G23" s="468"/>
      <c r="H23" s="468"/>
      <c r="I23" s="468"/>
      <c r="J23" s="468"/>
      <c r="K23" s="468"/>
      <c r="L23" s="468"/>
      <c r="M23" s="1688">
        <f>SUM(M15:M22)</f>
        <v>35500032</v>
      </c>
      <c r="N23" s="1688">
        <f>SUM(N21:N22)</f>
        <v>12213599</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5593</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179900</v>
      </c>
      <c r="M33" s="468"/>
      <c r="N33" s="469"/>
    </row>
    <row r="34" spans="1:14" ht="13.5" customHeight="1" thickBot="1" x14ac:dyDescent="0.25">
      <c r="A34" s="1738" t="s">
        <v>654</v>
      </c>
      <c r="B34" s="1739"/>
      <c r="C34" s="1740">
        <f>SUM(C25:C33)</f>
        <v>5593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179900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12213599</v>
      </c>
    </row>
    <row r="37" spans="1:14" ht="13.5" thickBot="1" x14ac:dyDescent="0.25">
      <c r="A37" s="1736" t="s">
        <v>653</v>
      </c>
      <c r="B37" s="1741"/>
      <c r="C37" s="477"/>
      <c r="D37" s="477"/>
      <c r="E37" s="477"/>
      <c r="F37" s="477"/>
      <c r="G37" s="477"/>
      <c r="H37" s="477"/>
      <c r="I37" s="477"/>
      <c r="J37" s="477"/>
      <c r="K37" s="477"/>
      <c r="L37" s="480"/>
      <c r="M37" s="468"/>
      <c r="N37" s="1688">
        <f>SUM(N36:N36)</f>
        <v>12213599</v>
      </c>
    </row>
    <row r="38" spans="1:14" s="329" customFormat="1" ht="13.5" customHeight="1" thickTop="1" x14ac:dyDescent="0.2">
      <c r="A38" s="496" t="s">
        <v>420</v>
      </c>
      <c r="B38" s="483">
        <v>714</v>
      </c>
      <c r="C38" s="466">
        <v>20576</v>
      </c>
      <c r="D38" s="466"/>
      <c r="E38" s="466"/>
      <c r="F38" s="466"/>
      <c r="G38" s="466"/>
      <c r="H38" s="466"/>
      <c r="I38" s="466"/>
      <c r="J38" s="467"/>
      <c r="K38" s="466"/>
      <c r="L38" s="481">
        <v>29323</v>
      </c>
      <c r="M38" s="497"/>
      <c r="N38" s="497"/>
    </row>
    <row r="39" spans="1:14" s="329" customFormat="1" ht="13.5" customHeight="1" x14ac:dyDescent="0.2">
      <c r="A39" s="496" t="s">
        <v>342</v>
      </c>
      <c r="B39" s="483">
        <v>730</v>
      </c>
      <c r="C39" s="466">
        <f>149012-5593-20576</f>
        <v>122843</v>
      </c>
      <c r="D39" s="466">
        <v>153241</v>
      </c>
      <c r="E39" s="466">
        <v>128076</v>
      </c>
      <c r="F39" s="466">
        <v>196972</v>
      </c>
      <c r="G39" s="466">
        <v>152513</v>
      </c>
      <c r="H39" s="466">
        <v>1885619</v>
      </c>
      <c r="I39" s="466">
        <v>325231</v>
      </c>
      <c r="J39" s="467">
        <v>37673</v>
      </c>
      <c r="K39" s="466">
        <v>155459</v>
      </c>
      <c r="L39" s="466">
        <v>49060</v>
      </c>
      <c r="M39" s="497"/>
      <c r="N39" s="497"/>
    </row>
    <row r="40" spans="1:14" s="329" customFormat="1" ht="13.5" customHeight="1" x14ac:dyDescent="0.2">
      <c r="A40" s="498" t="s">
        <v>148</v>
      </c>
      <c r="B40" s="499"/>
      <c r="C40" s="500"/>
      <c r="D40" s="500"/>
      <c r="E40" s="500"/>
      <c r="F40" s="500"/>
      <c r="G40" s="500"/>
      <c r="H40" s="500"/>
      <c r="I40" s="500"/>
      <c r="J40" s="500"/>
      <c r="K40" s="500"/>
      <c r="L40" s="500"/>
      <c r="M40" s="467">
        <v>35500032</v>
      </c>
      <c r="N40" s="497"/>
    </row>
    <row r="41" spans="1:14" ht="13.5" customHeight="1" thickBot="1" x14ac:dyDescent="0.25">
      <c r="A41" s="1736" t="s">
        <v>655</v>
      </c>
      <c r="B41" s="1706"/>
      <c r="C41" s="1688">
        <f>(SUM(C34,C37,C38,C39))</f>
        <v>149012</v>
      </c>
      <c r="D41" s="1688">
        <f t="shared" ref="D41:L41" si="2">SUM(D34,D37,D38:D39)</f>
        <v>153241</v>
      </c>
      <c r="E41" s="1688">
        <f t="shared" si="2"/>
        <v>128076</v>
      </c>
      <c r="F41" s="1688">
        <f t="shared" si="2"/>
        <v>196972</v>
      </c>
      <c r="G41" s="1688">
        <f t="shared" si="2"/>
        <v>152513</v>
      </c>
      <c r="H41" s="1688">
        <f t="shared" si="2"/>
        <v>1885619</v>
      </c>
      <c r="I41" s="1688">
        <f t="shared" si="2"/>
        <v>325231</v>
      </c>
      <c r="J41" s="1688">
        <f t="shared" si="2"/>
        <v>37673</v>
      </c>
      <c r="K41" s="1688">
        <f t="shared" si="2"/>
        <v>155459</v>
      </c>
      <c r="L41" s="1688">
        <f t="shared" si="2"/>
        <v>258283</v>
      </c>
      <c r="M41" s="1688">
        <f>SUM(M40)</f>
        <v>35500032</v>
      </c>
      <c r="N41" s="1688">
        <f>SUM(N37)</f>
        <v>12213599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4825859</v>
      </c>
      <c r="D4" s="1742">
        <f>'Revenues 9-14'!D109</f>
        <v>1201912</v>
      </c>
      <c r="E4" s="1742">
        <f>'Revenues 9-14'!E109</f>
        <v>262538</v>
      </c>
      <c r="F4" s="1742">
        <f>'Revenues 9-14'!F109</f>
        <v>370124</v>
      </c>
      <c r="G4" s="1742">
        <f>'Revenues 9-14'!G109</f>
        <v>463530</v>
      </c>
      <c r="H4" s="1742">
        <f>'Revenues 9-14'!H109</f>
        <v>144305</v>
      </c>
      <c r="I4" s="1742">
        <f>'Revenues 9-14'!I109</f>
        <v>79694</v>
      </c>
      <c r="J4" s="1742">
        <f>'Revenues 9-14'!J109</f>
        <v>1080420</v>
      </c>
      <c r="K4" s="1742">
        <f>'Revenues 9-14'!K109</f>
        <v>73397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3497715</v>
      </c>
      <c r="D6" s="1743">
        <f>'Revenues 9-14'!D170</f>
        <v>0</v>
      </c>
      <c r="E6" s="1743">
        <f>'Revenues 9-14'!E170</f>
        <v>0</v>
      </c>
      <c r="F6" s="1743">
        <f>'Revenues 9-14'!F170</f>
        <v>729046</v>
      </c>
      <c r="G6" s="1743">
        <f>'Revenues 9-14'!G170</f>
        <v>12024</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662086</v>
      </c>
      <c r="D7" s="1743">
        <f>'Revenues 9-14'!D267</f>
        <v>0</v>
      </c>
      <c r="E7" s="1743">
        <f>'Revenues 9-14'!E267</f>
        <v>0</v>
      </c>
      <c r="F7" s="1743">
        <f>'Revenues 9-14'!F267</f>
        <v>3800</v>
      </c>
      <c r="G7" s="1743">
        <f>'Revenues 9-14'!G267</f>
        <v>1203</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8985660</v>
      </c>
      <c r="D8" s="1688">
        <f t="shared" ref="D8:K8" si="0">SUM(D4:D7)</f>
        <v>1201912</v>
      </c>
      <c r="E8" s="1688">
        <f t="shared" si="0"/>
        <v>262538</v>
      </c>
      <c r="F8" s="1688">
        <f t="shared" si="0"/>
        <v>1102970</v>
      </c>
      <c r="G8" s="1688">
        <f t="shared" si="0"/>
        <v>476757</v>
      </c>
      <c r="H8" s="1688">
        <f t="shared" si="0"/>
        <v>144305</v>
      </c>
      <c r="I8" s="1688">
        <f t="shared" si="0"/>
        <v>79694</v>
      </c>
      <c r="J8" s="1688">
        <f t="shared" si="0"/>
        <v>1080420</v>
      </c>
      <c r="K8" s="1688">
        <f t="shared" si="0"/>
        <v>73397</v>
      </c>
      <c r="L8" s="347"/>
    </row>
    <row r="9" spans="1:13" ht="15.75" thickTop="1" x14ac:dyDescent="0.2">
      <c r="A9" s="514" t="s">
        <v>1653</v>
      </c>
      <c r="B9" s="515">
        <v>3998</v>
      </c>
      <c r="C9" s="481">
        <v>3972001</v>
      </c>
      <c r="D9" s="516"/>
      <c r="E9" s="481"/>
      <c r="F9" s="481"/>
      <c r="G9" s="517"/>
      <c r="H9" s="481"/>
      <c r="I9" s="509" t="s">
        <v>1169</v>
      </c>
      <c r="J9" s="478"/>
      <c r="K9" s="481"/>
      <c r="L9" s="347"/>
    </row>
    <row r="10" spans="1:13" s="519" customFormat="1" ht="13.5" thickBot="1" x14ac:dyDescent="0.25">
      <c r="A10" s="1736" t="s">
        <v>1173</v>
      </c>
      <c r="B10" s="1709"/>
      <c r="C10" s="1688">
        <f>SUM(C8:C9)</f>
        <v>12957661</v>
      </c>
      <c r="D10" s="1688">
        <f t="shared" ref="D10:K10" si="1">SUM(D8:D9)</f>
        <v>1201912</v>
      </c>
      <c r="E10" s="1688">
        <f t="shared" si="1"/>
        <v>262538</v>
      </c>
      <c r="F10" s="1688">
        <f t="shared" si="1"/>
        <v>1102970</v>
      </c>
      <c r="G10" s="1688">
        <f t="shared" si="1"/>
        <v>476757</v>
      </c>
      <c r="H10" s="1688">
        <f t="shared" si="1"/>
        <v>144305</v>
      </c>
      <c r="I10" s="1688">
        <f t="shared" si="1"/>
        <v>79694</v>
      </c>
      <c r="J10" s="1688">
        <f t="shared" si="1"/>
        <v>1080420</v>
      </c>
      <c r="K10" s="1688">
        <f t="shared" si="1"/>
        <v>73397</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6688492</v>
      </c>
      <c r="D12" s="520" t="s">
        <v>1169</v>
      </c>
      <c r="E12" s="468" t="s">
        <v>1169</v>
      </c>
      <c r="F12" s="468" t="s">
        <v>1169</v>
      </c>
      <c r="G12" s="1742">
        <f>'Expenditures 15-22'!K229</f>
        <v>167252</v>
      </c>
      <c r="H12" s="521"/>
      <c r="I12" s="468" t="s">
        <v>1169</v>
      </c>
      <c r="J12" s="468" t="s">
        <v>1169</v>
      </c>
      <c r="K12" s="521" t="s">
        <v>1169</v>
      </c>
      <c r="L12" s="347"/>
    </row>
    <row r="13" spans="1:13" ht="15.75" customHeight="1" x14ac:dyDescent="0.2">
      <c r="A13" s="1576" t="s">
        <v>457</v>
      </c>
      <c r="B13" s="1578">
        <v>2000</v>
      </c>
      <c r="C13" s="1743">
        <f>'Expenditures 15-22'!K74</f>
        <v>2201325</v>
      </c>
      <c r="D13" s="1743">
        <f>'Expenditures 15-22'!K129</f>
        <v>1242444</v>
      </c>
      <c r="E13" s="469" t="s">
        <v>1169</v>
      </c>
      <c r="F13" s="1743">
        <f>'Expenditures 15-22'!K184</f>
        <v>1057446</v>
      </c>
      <c r="G13" s="1743">
        <f>'Expenditures 15-22'!K279</f>
        <v>318905</v>
      </c>
      <c r="H13" s="1743">
        <f>'Expenditures 15-22'!K303</f>
        <v>9548486</v>
      </c>
      <c r="I13" s="468" t="s">
        <v>1169</v>
      </c>
      <c r="J13" s="1743">
        <f>'Expenditures 15-22'!K330</f>
        <v>1116767</v>
      </c>
      <c r="K13" s="1747">
        <f>'Expenditures 15-22'!K352</f>
        <v>40009</v>
      </c>
      <c r="L13" s="347"/>
    </row>
    <row r="14" spans="1:13" ht="15.75" customHeight="1" x14ac:dyDescent="0.2">
      <c r="A14" s="1576" t="s">
        <v>449</v>
      </c>
      <c r="B14" s="1578">
        <v>3000</v>
      </c>
      <c r="C14" s="1743">
        <f>'Expenditures 15-22'!K75</f>
        <v>39594</v>
      </c>
      <c r="D14" s="1743">
        <f>'Expenditures 15-22'!K130</f>
        <v>0</v>
      </c>
      <c r="E14" s="520" t="s">
        <v>1169</v>
      </c>
      <c r="F14" s="1743">
        <f>'Expenditures 15-22'!K185</f>
        <v>0</v>
      </c>
      <c r="G14" s="1743">
        <f>'Expenditures 15-22'!K280</f>
        <v>4727</v>
      </c>
      <c r="H14" s="512"/>
      <c r="I14" s="468" t="s">
        <v>1169</v>
      </c>
      <c r="J14" s="468" t="s">
        <v>1169</v>
      </c>
      <c r="K14" s="512" t="s">
        <v>1169</v>
      </c>
      <c r="L14" s="347"/>
    </row>
    <row r="15" spans="1:13" ht="15.75" customHeight="1" x14ac:dyDescent="0.2">
      <c r="A15" s="1576" t="s">
        <v>107</v>
      </c>
      <c r="B15" s="1578">
        <v>4000</v>
      </c>
      <c r="C15" s="1743">
        <f>'Expenditures 15-22'!K102</f>
        <v>413286</v>
      </c>
      <c r="D15" s="1743">
        <f>'Expenditures 15-22'!K139</f>
        <v>9524</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4966</v>
      </c>
      <c r="L15" s="347"/>
    </row>
    <row r="16" spans="1:13" ht="15.75" customHeight="1" x14ac:dyDescent="0.2">
      <c r="A16" s="1576" t="s">
        <v>450</v>
      </c>
      <c r="B16" s="1578">
        <v>5000</v>
      </c>
      <c r="C16" s="1743">
        <f>'Expenditures 15-22'!K112</f>
        <v>0</v>
      </c>
      <c r="D16" s="1743">
        <f>'Expenditures 15-22'!K149</f>
        <v>0</v>
      </c>
      <c r="E16" s="1743">
        <f>'Expenditures 15-22'!K172</f>
        <v>255712</v>
      </c>
      <c r="F16" s="1743">
        <f>'Expenditures 15-22'!K208</f>
        <v>132342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9342697</v>
      </c>
      <c r="D17" s="1688">
        <f t="shared" si="2"/>
        <v>1251968</v>
      </c>
      <c r="E17" s="1688">
        <f t="shared" si="2"/>
        <v>255712</v>
      </c>
      <c r="F17" s="1688">
        <f t="shared" si="2"/>
        <v>1189788</v>
      </c>
      <c r="G17" s="1688">
        <f t="shared" si="2"/>
        <v>490884</v>
      </c>
      <c r="H17" s="1688">
        <f t="shared" si="2"/>
        <v>9548486</v>
      </c>
      <c r="I17" s="468"/>
      <c r="J17" s="1688">
        <f>SUM(J12:J16)</f>
        <v>1116767</v>
      </c>
      <c r="K17" s="1688">
        <f>SUM(K12:K16)</f>
        <v>44975</v>
      </c>
      <c r="L17" s="347"/>
    </row>
    <row r="18" spans="1:12" ht="15" customHeight="1" thickTop="1" x14ac:dyDescent="0.2">
      <c r="A18" s="1744" t="s">
        <v>1654</v>
      </c>
      <c r="B18" s="1745">
        <v>4180</v>
      </c>
      <c r="C18" s="1742">
        <f t="shared" ref="C18:H18" si="3">C9</f>
        <v>3972001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13314698</v>
      </c>
      <c r="D19" s="1688">
        <f t="shared" si="4"/>
        <v>1251968</v>
      </c>
      <c r="E19" s="1688">
        <f t="shared" si="4"/>
        <v>255712</v>
      </c>
      <c r="F19" s="1688">
        <f t="shared" si="4"/>
        <v>1189788</v>
      </c>
      <c r="G19" s="1688">
        <f t="shared" si="4"/>
        <v>490884</v>
      </c>
      <c r="H19" s="1688">
        <f t="shared" si="4"/>
        <v>9548486</v>
      </c>
      <c r="I19" s="468"/>
      <c r="J19" s="1688">
        <f>SUM(J17:J18)</f>
        <v>1116767</v>
      </c>
      <c r="K19" s="1688">
        <f>SUM(K17:K18)</f>
        <v>44975</v>
      </c>
      <c r="L19" s="347"/>
    </row>
    <row r="20" spans="1:12" ht="16.5" thickTop="1" thickBot="1" x14ac:dyDescent="0.25">
      <c r="A20" s="2125" t="s">
        <v>1655</v>
      </c>
      <c r="B20" s="2126"/>
      <c r="C20" s="1746">
        <f>C8-C17</f>
        <v>-357037</v>
      </c>
      <c r="D20" s="1746">
        <f t="shared" ref="D20:K20" si="5">D8-D17</f>
        <v>-50056</v>
      </c>
      <c r="E20" s="1746">
        <f t="shared" si="5"/>
        <v>6826</v>
      </c>
      <c r="F20" s="1746">
        <f t="shared" si="5"/>
        <v>-86818</v>
      </c>
      <c r="G20" s="1746">
        <f t="shared" si="5"/>
        <v>-14127</v>
      </c>
      <c r="H20" s="1746">
        <f t="shared" si="5"/>
        <v>-9404181</v>
      </c>
      <c r="I20" s="1746">
        <f t="shared" si="5"/>
        <v>79694</v>
      </c>
      <c r="J20" s="1746">
        <f t="shared" si="5"/>
        <v>-36347</v>
      </c>
      <c r="K20" s="1746">
        <f t="shared" si="5"/>
        <v>28422</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278753</v>
      </c>
      <c r="D25" s="467">
        <v>100000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2150</v>
      </c>
      <c r="D36" s="467">
        <v>1100</v>
      </c>
      <c r="E36" s="467"/>
      <c r="F36" s="467">
        <v>2750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280903</v>
      </c>
      <c r="D44" s="1703">
        <f t="shared" ref="D44:K44" si="6">SUM(D24:D43)</f>
        <v>101100</v>
      </c>
      <c r="E44" s="1703">
        <f t="shared" si="6"/>
        <v>0</v>
      </c>
      <c r="F44" s="1703">
        <f t="shared" si="6"/>
        <v>2750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378753</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378753</v>
      </c>
      <c r="J76" s="1703">
        <f t="shared" si="7"/>
        <v>0</v>
      </c>
      <c r="K76" s="1703">
        <f t="shared" si="7"/>
        <v>0</v>
      </c>
      <c r="L76" s="524"/>
    </row>
    <row r="77" spans="1:12" ht="14.25" thickTop="1" thickBot="1" x14ac:dyDescent="0.25">
      <c r="A77" s="2117" t="s">
        <v>1177</v>
      </c>
      <c r="B77" s="2118"/>
      <c r="C77" s="1703">
        <f t="shared" ref="C77:K77" si="8">C44-C76</f>
        <v>280903</v>
      </c>
      <c r="D77" s="1703">
        <f t="shared" si="8"/>
        <v>101100</v>
      </c>
      <c r="E77" s="1703">
        <f t="shared" si="8"/>
        <v>0</v>
      </c>
      <c r="F77" s="1703">
        <f t="shared" si="8"/>
        <v>2750</v>
      </c>
      <c r="G77" s="1703">
        <f t="shared" si="8"/>
        <v>0</v>
      </c>
      <c r="H77" s="1703">
        <f t="shared" si="8"/>
        <v>0</v>
      </c>
      <c r="I77" s="1703">
        <f t="shared" si="8"/>
        <v>-378753</v>
      </c>
      <c r="J77" s="1703">
        <f t="shared" si="8"/>
        <v>0</v>
      </c>
      <c r="K77" s="1703">
        <f t="shared" si="8"/>
        <v>0</v>
      </c>
      <c r="L77" s="347"/>
    </row>
    <row r="78" spans="1:12" ht="21.75" customHeight="1" thickTop="1" thickBot="1" x14ac:dyDescent="0.25">
      <c r="A78" s="2121" t="s">
        <v>597</v>
      </c>
      <c r="B78" s="2122"/>
      <c r="C78" s="1702">
        <f t="shared" ref="C78:K78" si="9">C20+C77</f>
        <v>-76134</v>
      </c>
      <c r="D78" s="1702">
        <f t="shared" si="9"/>
        <v>51044</v>
      </c>
      <c r="E78" s="1702">
        <f t="shared" si="9"/>
        <v>6826</v>
      </c>
      <c r="F78" s="1702">
        <f t="shared" si="9"/>
        <v>-84068</v>
      </c>
      <c r="G78" s="1702">
        <f t="shared" si="9"/>
        <v>-14127</v>
      </c>
      <c r="H78" s="1702">
        <f t="shared" si="9"/>
        <v>-9404181</v>
      </c>
      <c r="I78" s="1702">
        <f t="shared" si="9"/>
        <v>-299059</v>
      </c>
      <c r="J78" s="1702">
        <f t="shared" si="9"/>
        <v>-36347</v>
      </c>
      <c r="K78" s="1702">
        <f t="shared" si="9"/>
        <v>28422</v>
      </c>
      <c r="L78" s="533"/>
    </row>
    <row r="79" spans="1:12" ht="13.5" thickTop="1" x14ac:dyDescent="0.2">
      <c r="A79" s="1494" t="s">
        <v>1948</v>
      </c>
      <c r="B79" s="534"/>
      <c r="C79" s="478">
        <v>219553</v>
      </c>
      <c r="D79" s="535">
        <v>102197</v>
      </c>
      <c r="E79" s="535">
        <v>121250</v>
      </c>
      <c r="F79" s="535">
        <v>281040</v>
      </c>
      <c r="G79" s="535">
        <v>166640</v>
      </c>
      <c r="H79" s="535">
        <v>11289800</v>
      </c>
      <c r="I79" s="535">
        <v>624290</v>
      </c>
      <c r="J79" s="535">
        <v>74020</v>
      </c>
      <c r="K79" s="535">
        <v>127037</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143419</v>
      </c>
      <c r="D81" s="1688">
        <f>SUM(D78:D80)</f>
        <v>153241</v>
      </c>
      <c r="E81" s="1688">
        <f t="shared" ref="E81:K81" si="10">SUM(E78:E80)</f>
        <v>128076</v>
      </c>
      <c r="F81" s="1688">
        <f t="shared" si="10"/>
        <v>196972</v>
      </c>
      <c r="G81" s="1688">
        <f t="shared" si="10"/>
        <v>152513</v>
      </c>
      <c r="H81" s="1688">
        <f t="shared" si="10"/>
        <v>1885619</v>
      </c>
      <c r="I81" s="1688">
        <f t="shared" si="10"/>
        <v>325231</v>
      </c>
      <c r="J81" s="1688">
        <f t="shared" si="10"/>
        <v>37673</v>
      </c>
      <c r="K81" s="1688">
        <f t="shared" si="10"/>
        <v>155459</v>
      </c>
      <c r="L81" s="347"/>
    </row>
    <row r="82" spans="1:12" ht="0.75" customHeight="1" thickTop="1" thickBot="1" x14ac:dyDescent="0.25">
      <c r="A82" s="536" t="s">
        <v>343</v>
      </c>
      <c r="B82" s="537"/>
      <c r="C82" s="538">
        <f>(C81-C79)</f>
        <v>-76134</v>
      </c>
      <c r="D82" s="538">
        <f t="shared" ref="D82:K82" si="11">(D81-D79)</f>
        <v>51044</v>
      </c>
      <c r="E82" s="538">
        <f t="shared" si="11"/>
        <v>6826</v>
      </c>
      <c r="F82" s="538">
        <f t="shared" si="11"/>
        <v>-84068</v>
      </c>
      <c r="G82" s="538">
        <f t="shared" si="11"/>
        <v>-14127</v>
      </c>
      <c r="H82" s="538">
        <f t="shared" si="11"/>
        <v>-9404181</v>
      </c>
      <c r="I82" s="538">
        <f t="shared" si="11"/>
        <v>-299059</v>
      </c>
      <c r="J82" s="538">
        <f t="shared" si="11"/>
        <v>-36347</v>
      </c>
      <c r="K82" s="538">
        <f t="shared" si="11"/>
        <v>28422</v>
      </c>
    </row>
    <row r="83" spans="1:12" ht="14.25" hidden="1" thickTop="1" thickBot="1" x14ac:dyDescent="0.25">
      <c r="A83" s="539" t="s">
        <v>344</v>
      </c>
      <c r="B83" s="464"/>
      <c r="C83" s="540">
        <f>C82/C81</f>
        <v>-0.53085016629595805</v>
      </c>
      <c r="D83" s="540">
        <f t="shared" ref="D83:K83" si="12">D82/D81</f>
        <v>0.33309623403658289</v>
      </c>
      <c r="E83" s="540">
        <f t="shared" si="12"/>
        <v>5.3296480214872419E-2</v>
      </c>
      <c r="F83" s="540">
        <f t="shared" si="12"/>
        <v>-0.42680177893304633</v>
      </c>
      <c r="G83" s="540">
        <f t="shared" si="12"/>
        <v>-9.262816940195262E-2</v>
      </c>
      <c r="H83" s="540">
        <f t="shared" si="12"/>
        <v>-4.9873176924924918</v>
      </c>
      <c r="I83" s="540">
        <f t="shared" si="12"/>
        <v>-0.91952796627627753</v>
      </c>
      <c r="J83" s="540">
        <f t="shared" si="12"/>
        <v>-0.96480237836116056</v>
      </c>
      <c r="K83" s="540">
        <f t="shared" si="12"/>
        <v>0.18282634006393969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1" activePane="bottomLeft" state="frozen"/>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3883187</v>
      </c>
      <c r="D5" s="481">
        <v>706134</v>
      </c>
      <c r="E5" s="466">
        <v>260446</v>
      </c>
      <c r="F5" s="548">
        <v>353072</v>
      </c>
      <c r="G5" s="466">
        <v>229382</v>
      </c>
      <c r="H5" s="466"/>
      <c r="I5" s="466">
        <v>70617</v>
      </c>
      <c r="J5" s="467">
        <v>1074525</v>
      </c>
      <c r="K5" s="466">
        <v>70612</v>
      </c>
    </row>
    <row r="6" spans="1:12" ht="15" x14ac:dyDescent="0.2">
      <c r="A6" s="463" t="s">
        <v>1662</v>
      </c>
      <c r="B6" s="470">
        <v>1130</v>
      </c>
      <c r="C6" s="466">
        <v>61476</v>
      </c>
      <c r="D6" s="466">
        <v>9142</v>
      </c>
      <c r="E6" s="475"/>
      <c r="F6" s="475"/>
      <c r="G6" s="468"/>
      <c r="H6" s="468"/>
      <c r="I6" s="468"/>
      <c r="J6" s="468"/>
      <c r="K6" s="468"/>
    </row>
    <row r="7" spans="1:12" x14ac:dyDescent="0.2">
      <c r="A7" s="463" t="s">
        <v>110</v>
      </c>
      <c r="B7" s="549">
        <v>1140</v>
      </c>
      <c r="C7" s="466">
        <v>56495</v>
      </c>
      <c r="D7" s="466"/>
      <c r="E7" s="468"/>
      <c r="F7" s="467"/>
      <c r="G7" s="467"/>
      <c r="H7" s="467"/>
      <c r="I7" s="468"/>
      <c r="J7" s="468"/>
      <c r="K7" s="468"/>
    </row>
    <row r="8" spans="1:12" x14ac:dyDescent="0.2">
      <c r="A8" s="463" t="s">
        <v>413</v>
      </c>
      <c r="B8" s="470">
        <v>1150</v>
      </c>
      <c r="C8" s="475"/>
      <c r="D8" s="475"/>
      <c r="E8" s="477"/>
      <c r="F8" s="477"/>
      <c r="G8" s="481">
        <v>229497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4001158</v>
      </c>
      <c r="D12" s="1707">
        <f t="shared" si="0"/>
        <v>715276</v>
      </c>
      <c r="E12" s="1707">
        <f t="shared" si="0"/>
        <v>260446</v>
      </c>
      <c r="F12" s="1707">
        <f t="shared" si="0"/>
        <v>353072</v>
      </c>
      <c r="G12" s="1707">
        <f t="shared" si="0"/>
        <v>458879</v>
      </c>
      <c r="H12" s="1707">
        <f t="shared" si="0"/>
        <v>0</v>
      </c>
      <c r="I12" s="1707">
        <f t="shared" si="0"/>
        <v>70617</v>
      </c>
      <c r="J12" s="1707">
        <f t="shared" si="0"/>
        <v>1074525</v>
      </c>
      <c r="K12" s="1688">
        <f t="shared" si="0"/>
        <v>70612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436265</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436265</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337739</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337739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106</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11980</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12086</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17043</v>
      </c>
      <c r="D65" s="466">
        <v>4883</v>
      </c>
      <c r="E65" s="466">
        <v>2092</v>
      </c>
      <c r="F65" s="467">
        <v>4916</v>
      </c>
      <c r="G65" s="466">
        <f>1440+3211</f>
        <v>4651</v>
      </c>
      <c r="H65" s="466">
        <v>101805</v>
      </c>
      <c r="I65" s="466">
        <v>9077</v>
      </c>
      <c r="J65" s="467">
        <v>5895</v>
      </c>
      <c r="K65" s="466">
        <v>2785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17043</v>
      </c>
      <c r="D67" s="1688">
        <f t="shared" ref="D67:K67" si="2">SUM(D65:D66)</f>
        <v>4883</v>
      </c>
      <c r="E67" s="1688">
        <f t="shared" si="2"/>
        <v>2092</v>
      </c>
      <c r="F67" s="1688">
        <f t="shared" si="2"/>
        <v>4916</v>
      </c>
      <c r="G67" s="1688">
        <f t="shared" si="2"/>
        <v>4651</v>
      </c>
      <c r="H67" s="1688">
        <f t="shared" si="2"/>
        <v>101805</v>
      </c>
      <c r="I67" s="1688">
        <f t="shared" si="2"/>
        <v>9077</v>
      </c>
      <c r="J67" s="1688">
        <f t="shared" si="2"/>
        <v>5895</v>
      </c>
      <c r="K67" s="1688">
        <f t="shared" si="2"/>
        <v>2785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125789</v>
      </c>
      <c r="D69" s="468"/>
      <c r="E69" s="468"/>
      <c r="F69" s="468"/>
      <c r="G69" s="468"/>
      <c r="H69" s="468"/>
      <c r="I69" s="468"/>
      <c r="J69" s="468"/>
      <c r="K69" s="468"/>
    </row>
    <row r="70" spans="1:11" ht="12.75" customHeight="1" x14ac:dyDescent="0.2">
      <c r="A70" s="463" t="s">
        <v>997</v>
      </c>
      <c r="B70" s="470">
        <v>1612</v>
      </c>
      <c r="C70" s="551">
        <v>23470</v>
      </c>
      <c r="D70" s="468"/>
      <c r="E70" s="468"/>
      <c r="F70" s="468"/>
      <c r="G70" s="468"/>
      <c r="H70" s="468"/>
      <c r="I70" s="468"/>
      <c r="J70" s="468"/>
      <c r="K70" s="468"/>
    </row>
    <row r="71" spans="1:11" ht="12.75" customHeight="1" x14ac:dyDescent="0.2">
      <c r="A71" s="463" t="s">
        <v>273</v>
      </c>
      <c r="B71" s="470">
        <v>1613</v>
      </c>
      <c r="C71" s="551">
        <v>54013</v>
      </c>
      <c r="D71" s="468"/>
      <c r="E71" s="468"/>
      <c r="F71" s="468"/>
      <c r="G71" s="468"/>
      <c r="H71" s="468"/>
      <c r="I71" s="468"/>
      <c r="J71" s="468"/>
      <c r="K71" s="468"/>
    </row>
    <row r="72" spans="1:11" ht="12.75" customHeight="1" x14ac:dyDescent="0.2">
      <c r="A72" s="463" t="s">
        <v>24</v>
      </c>
      <c r="B72" s="470">
        <v>1614</v>
      </c>
      <c r="C72" s="551">
        <v>12756</v>
      </c>
      <c r="D72" s="468"/>
      <c r="E72" s="468"/>
      <c r="F72" s="468"/>
      <c r="G72" s="468"/>
      <c r="H72" s="468"/>
      <c r="I72" s="468"/>
      <c r="J72" s="468"/>
      <c r="K72" s="468"/>
    </row>
    <row r="73" spans="1:11" ht="12.75" customHeight="1" x14ac:dyDescent="0.2">
      <c r="A73" s="463" t="s">
        <v>998</v>
      </c>
      <c r="B73" s="470">
        <v>1620</v>
      </c>
      <c r="C73" s="551">
        <v>17338</v>
      </c>
      <c r="D73" s="468"/>
      <c r="E73" s="468"/>
      <c r="F73" s="468"/>
      <c r="G73" s="468"/>
      <c r="H73" s="468"/>
      <c r="I73" s="468"/>
      <c r="J73" s="468"/>
      <c r="K73" s="468"/>
    </row>
    <row r="74" spans="1:11" ht="12.75" customHeight="1" x14ac:dyDescent="0.2">
      <c r="A74" s="463" t="s">
        <v>25</v>
      </c>
      <c r="B74" s="470">
        <v>1690</v>
      </c>
      <c r="C74" s="551">
        <v>12358</v>
      </c>
      <c r="D74" s="468"/>
      <c r="E74" s="468"/>
      <c r="F74" s="468"/>
      <c r="G74" s="468"/>
      <c r="H74" s="468"/>
      <c r="I74" s="468"/>
      <c r="J74" s="468"/>
      <c r="K74" s="468"/>
    </row>
    <row r="75" spans="1:11" ht="12.75" customHeight="1" thickBot="1" x14ac:dyDescent="0.25">
      <c r="A75" s="1708" t="s">
        <v>548</v>
      </c>
      <c r="B75" s="1709"/>
      <c r="C75" s="1688">
        <f>SUM(C69:C74)</f>
        <v>245724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45593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57961</v>
      </c>
      <c r="D79" s="466"/>
      <c r="E79" s="468"/>
      <c r="F79" s="468"/>
      <c r="G79" s="468"/>
      <c r="H79" s="468"/>
      <c r="I79" s="468"/>
      <c r="J79" s="468"/>
      <c r="K79" s="468"/>
    </row>
    <row r="80" spans="1:11" ht="12.75" customHeight="1" x14ac:dyDescent="0.2">
      <c r="A80" s="463" t="s">
        <v>551</v>
      </c>
      <c r="B80" s="470">
        <v>1730</v>
      </c>
      <c r="C80" s="551">
        <v>4752</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108306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54992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54992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2050</v>
      </c>
      <c r="E95" s="521"/>
      <c r="F95" s="521"/>
      <c r="G95" s="521"/>
      <c r="H95" s="521"/>
      <c r="I95" s="521"/>
      <c r="J95" s="521"/>
      <c r="K95" s="521"/>
    </row>
    <row r="96" spans="1:11" ht="12.75" customHeight="1" x14ac:dyDescent="0.2">
      <c r="A96" s="463" t="s">
        <v>391</v>
      </c>
      <c r="B96" s="470">
        <v>1920</v>
      </c>
      <c r="C96" s="551">
        <v>36777</v>
      </c>
      <c r="D96" s="551"/>
      <c r="E96" s="479"/>
      <c r="F96" s="478"/>
      <c r="G96" s="478"/>
      <c r="H96" s="478">
        <v>42500</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1453</v>
      </c>
      <c r="D99" s="466">
        <v>15</v>
      </c>
      <c r="E99" s="466"/>
      <c r="F99" s="466"/>
      <c r="G99" s="466"/>
      <c r="H99" s="466"/>
      <c r="I99" s="468"/>
      <c r="J99" s="467"/>
      <c r="K99" s="466"/>
    </row>
    <row r="100" spans="1:12" ht="12.75" customHeight="1" x14ac:dyDescent="0.2">
      <c r="A100" s="463" t="s">
        <v>245</v>
      </c>
      <c r="B100" s="470">
        <v>1960</v>
      </c>
      <c r="C100" s="489"/>
      <c r="D100" s="489">
        <v>16646</v>
      </c>
      <c r="E100" s="489"/>
      <c r="F100" s="489"/>
      <c r="G100" s="489"/>
      <c r="H100" s="489"/>
      <c r="I100" s="467"/>
      <c r="J100" s="489"/>
      <c r="K100" s="467"/>
    </row>
    <row r="101" spans="1:12" ht="12.75" customHeight="1" x14ac:dyDescent="0.2">
      <c r="A101" s="463" t="s">
        <v>246</v>
      </c>
      <c r="B101" s="470">
        <v>1970</v>
      </c>
      <c r="C101" s="489">
        <v>10855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11812</v>
      </c>
      <c r="D107" s="466">
        <v>26777</v>
      </c>
      <c r="E107" s="466"/>
      <c r="F107" s="466">
        <v>50</v>
      </c>
      <c r="G107" s="466"/>
      <c r="H107" s="466"/>
      <c r="I107" s="466"/>
      <c r="J107" s="467"/>
      <c r="K107" s="466"/>
    </row>
    <row r="108" spans="1:12" ht="12.75" customHeight="1" thickBot="1" x14ac:dyDescent="0.25">
      <c r="A108" s="1708" t="s">
        <v>487</v>
      </c>
      <c r="B108" s="1712"/>
      <c r="C108" s="1707">
        <f>SUM(C95:C107)</f>
        <v>60897</v>
      </c>
      <c r="D108" s="1707">
        <f t="shared" ref="D108:K108" si="3">SUM(D95:D107)</f>
        <v>45488</v>
      </c>
      <c r="E108" s="1707">
        <f t="shared" si="3"/>
        <v>0</v>
      </c>
      <c r="F108" s="1707">
        <f t="shared" si="3"/>
        <v>50</v>
      </c>
      <c r="G108" s="1707">
        <f t="shared" si="3"/>
        <v>0</v>
      </c>
      <c r="H108" s="1707">
        <f t="shared" si="3"/>
        <v>42500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4825859</v>
      </c>
      <c r="D109" s="1715">
        <f t="shared" si="4"/>
        <v>1201912</v>
      </c>
      <c r="E109" s="1715">
        <f t="shared" si="4"/>
        <v>262538</v>
      </c>
      <c r="F109" s="1715">
        <f t="shared" si="4"/>
        <v>370124</v>
      </c>
      <c r="G109" s="1715">
        <f t="shared" si="4"/>
        <v>463530</v>
      </c>
      <c r="H109" s="1715">
        <f t="shared" si="4"/>
        <v>144305</v>
      </c>
      <c r="I109" s="1715">
        <f t="shared" si="4"/>
        <v>79694</v>
      </c>
      <c r="J109" s="1715">
        <f t="shared" si="4"/>
        <v>1080420</v>
      </c>
      <c r="K109" s="1702">
        <f t="shared" si="4"/>
        <v>73397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2930481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2930481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116751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14217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130968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35738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31271</v>
      </c>
      <c r="D140" s="466"/>
      <c r="E140" s="561"/>
      <c r="F140" s="477"/>
      <c r="G140" s="467"/>
      <c r="H140" s="468"/>
      <c r="I140" s="468"/>
      <c r="J140" s="468"/>
      <c r="K140" s="468"/>
    </row>
    <row r="141" spans="1:11" ht="12.75" customHeight="1" thickBot="1" x14ac:dyDescent="0.25">
      <c r="A141" s="1708" t="s">
        <v>603</v>
      </c>
      <c r="B141" s="1720"/>
      <c r="C141" s="1707">
        <f>SUM(C134:C140)</f>
        <v>67009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4904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14654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440359</v>
      </c>
      <c r="G152" s="467"/>
      <c r="H152" s="468"/>
      <c r="I152" s="468"/>
      <c r="J152" s="468"/>
      <c r="K152" s="468"/>
    </row>
    <row r="153" spans="1:11" ht="12.75" customHeight="1" x14ac:dyDescent="0.2">
      <c r="A153" s="463" t="s">
        <v>1057</v>
      </c>
      <c r="B153" s="562">
        <v>3510</v>
      </c>
      <c r="C153" s="551"/>
      <c r="D153" s="466"/>
      <c r="E153" s="561"/>
      <c r="F153" s="466">
        <v>278817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719176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348431</v>
      </c>
      <c r="D159" s="578"/>
      <c r="E159" s="561"/>
      <c r="F159" s="576">
        <v>9870</v>
      </c>
      <c r="G159" s="576">
        <f>6855+5169</f>
        <v>12024</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1268</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567234</v>
      </c>
      <c r="D169" s="1722">
        <f t="shared" si="6"/>
        <v>0</v>
      </c>
      <c r="E169" s="1722">
        <f t="shared" si="6"/>
        <v>0</v>
      </c>
      <c r="F169" s="1722">
        <f t="shared" si="6"/>
        <v>729046</v>
      </c>
      <c r="G169" s="1722">
        <f t="shared" si="6"/>
        <v>12024</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3497715</v>
      </c>
      <c r="D170" s="1715">
        <f t="shared" si="7"/>
        <v>0</v>
      </c>
      <c r="E170" s="1715">
        <f t="shared" si="7"/>
        <v>0</v>
      </c>
      <c r="F170" s="1715">
        <f t="shared" si="7"/>
        <v>729046</v>
      </c>
      <c r="G170" s="1715">
        <f t="shared" si="7"/>
        <v>12024</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223032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68018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291050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187225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187225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14238</v>
      </c>
      <c r="D206" s="466"/>
      <c r="E206" s="468"/>
      <c r="F206" s="466"/>
      <c r="G206" s="466"/>
      <c r="H206" s="468"/>
      <c r="I206" s="468"/>
      <c r="J206" s="468"/>
      <c r="K206" s="468"/>
    </row>
    <row r="207" spans="1:11" ht="12.75" customHeight="1" x14ac:dyDescent="0.2">
      <c r="A207" s="463" t="s">
        <v>1453</v>
      </c>
      <c r="B207" s="470">
        <v>4421</v>
      </c>
      <c r="C207" s="551">
        <v>15811</v>
      </c>
      <c r="D207" s="466"/>
      <c r="E207" s="468"/>
      <c r="F207" s="466">
        <v>3800</v>
      </c>
      <c r="G207" s="466">
        <f>827+376</f>
        <v>1203</v>
      </c>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30049</v>
      </c>
      <c r="D209" s="1707">
        <f>SUM(D206:D208)</f>
        <v>0</v>
      </c>
      <c r="E209" s="468" t="s">
        <v>1169</v>
      </c>
      <c r="F209" s="1707">
        <f>SUM(F206:F208)</f>
        <v>3800</v>
      </c>
      <c r="G209" s="1707">
        <f>SUM(G206:G208)</f>
        <v>1203</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2718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2718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17943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10943</v>
      </c>
      <c r="D263" s="576"/>
      <c r="E263" s="468"/>
      <c r="F263" s="576"/>
      <c r="G263" s="576"/>
      <c r="H263" s="468"/>
      <c r="I263" s="468"/>
      <c r="J263" s="468"/>
      <c r="K263" s="468"/>
    </row>
    <row r="264" spans="1:11" ht="12.75" customHeight="1" thickTop="1" thickBot="1" x14ac:dyDescent="0.25">
      <c r="A264" s="463" t="s">
        <v>377</v>
      </c>
      <c r="B264" s="470">
        <v>4992</v>
      </c>
      <c r="C264" s="575">
        <v>119086</v>
      </c>
      <c r="D264" s="576"/>
      <c r="E264" s="468"/>
      <c r="F264" s="576"/>
      <c r="G264" s="576"/>
      <c r="H264" s="468"/>
      <c r="I264" s="468"/>
      <c r="J264" s="468"/>
      <c r="K264" s="468"/>
    </row>
    <row r="265" spans="1:11" s="593" customFormat="1" ht="12.75" customHeight="1" thickTop="1" thickBot="1" x14ac:dyDescent="0.25">
      <c r="A265" s="563" t="s">
        <v>75</v>
      </c>
      <c r="B265" s="557">
        <v>4999</v>
      </c>
      <c r="C265" s="575">
        <v>3072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662086</v>
      </c>
      <c r="D266" s="1715">
        <f t="shared" si="10"/>
        <v>0</v>
      </c>
      <c r="E266" s="1715">
        <f t="shared" si="10"/>
        <v>0</v>
      </c>
      <c r="F266" s="1715">
        <f t="shared" si="10"/>
        <v>3800</v>
      </c>
      <c r="G266" s="1715">
        <f t="shared" si="10"/>
        <v>1203</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662086</v>
      </c>
      <c r="D267" s="1715">
        <f>SUM(D175,D181,D266)</f>
        <v>0</v>
      </c>
      <c r="E267" s="1715">
        <f>SUM(E175,E266)</f>
        <v>0</v>
      </c>
      <c r="F267" s="1715">
        <f t="shared" ref="F267:K267" si="11">SUM(F175,F181,F266)</f>
        <v>3800</v>
      </c>
      <c r="G267" s="1715">
        <f t="shared" si="11"/>
        <v>1203</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8985660</v>
      </c>
      <c r="D268" s="1715">
        <f t="shared" si="12"/>
        <v>1201912</v>
      </c>
      <c r="E268" s="1715">
        <f t="shared" si="12"/>
        <v>262538</v>
      </c>
      <c r="F268" s="1715">
        <f t="shared" si="12"/>
        <v>1102970</v>
      </c>
      <c r="G268" s="1715">
        <f t="shared" si="12"/>
        <v>476757</v>
      </c>
      <c r="H268" s="1715">
        <f t="shared" si="12"/>
        <v>144305</v>
      </c>
      <c r="I268" s="1715">
        <f t="shared" si="12"/>
        <v>79694</v>
      </c>
      <c r="J268" s="1715">
        <f t="shared" si="12"/>
        <v>1080420</v>
      </c>
      <c r="K268" s="1702">
        <f t="shared" si="12"/>
        <v>73397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9" activePane="bottomLeft" state="frozen"/>
      <selection pane="bottomLeft" activeCell="H203" sqref="H20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3223398</v>
      </c>
      <c r="D5" s="466">
        <v>364492</v>
      </c>
      <c r="E5" s="466">
        <v>30669</v>
      </c>
      <c r="F5" s="466">
        <v>212590</v>
      </c>
      <c r="G5" s="466"/>
      <c r="H5" s="466"/>
      <c r="I5" s="467"/>
      <c r="J5" s="467">
        <v>14223</v>
      </c>
      <c r="K5" s="1671">
        <f>SUM(C5:J5)</f>
        <v>3845372</v>
      </c>
      <c r="L5" s="466">
        <v>3914425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181310</v>
      </c>
      <c r="D7" s="467">
        <v>12315</v>
      </c>
      <c r="E7" s="467">
        <v>1895</v>
      </c>
      <c r="F7" s="467">
        <v>5076</v>
      </c>
      <c r="G7" s="467"/>
      <c r="H7" s="467"/>
      <c r="I7" s="467"/>
      <c r="J7" s="467"/>
      <c r="K7" s="1671">
        <f t="shared" ref="K7:K32" si="0">SUM(C7:J7)</f>
        <v>200596</v>
      </c>
      <c r="L7" s="466">
        <v>198135</v>
      </c>
    </row>
    <row r="8" spans="1:14" x14ac:dyDescent="0.2">
      <c r="A8" s="1504" t="s">
        <v>164</v>
      </c>
      <c r="B8" s="614">
        <v>1200</v>
      </c>
      <c r="C8" s="466">
        <v>1194153</v>
      </c>
      <c r="D8" s="466">
        <v>86217</v>
      </c>
      <c r="E8" s="466">
        <v>19909</v>
      </c>
      <c r="F8" s="466">
        <v>16086</v>
      </c>
      <c r="G8" s="466">
        <v>19206</v>
      </c>
      <c r="H8" s="466"/>
      <c r="I8" s="467"/>
      <c r="J8" s="467"/>
      <c r="K8" s="1671">
        <f t="shared" si="0"/>
        <v>1335571</v>
      </c>
      <c r="L8" s="466">
        <v>1384923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134875</v>
      </c>
      <c r="D10" s="466">
        <v>16237</v>
      </c>
      <c r="E10" s="466">
        <v>10330</v>
      </c>
      <c r="F10" s="466">
        <v>16769</v>
      </c>
      <c r="G10" s="466"/>
      <c r="H10" s="466"/>
      <c r="I10" s="467"/>
      <c r="J10" s="467"/>
      <c r="K10" s="1671">
        <f t="shared" si="0"/>
        <v>178211</v>
      </c>
      <c r="L10" s="466">
        <v>147028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199000</v>
      </c>
      <c r="D13" s="466">
        <v>24929</v>
      </c>
      <c r="E13" s="466">
        <v>5376</v>
      </c>
      <c r="F13" s="466">
        <v>16379</v>
      </c>
      <c r="G13" s="466"/>
      <c r="H13" s="466"/>
      <c r="I13" s="467"/>
      <c r="J13" s="467"/>
      <c r="K13" s="1671">
        <f t="shared" si="0"/>
        <v>245684</v>
      </c>
      <c r="L13" s="466">
        <v>229704</v>
      </c>
    </row>
    <row r="14" spans="1:14" x14ac:dyDescent="0.2">
      <c r="A14" s="1504" t="s">
        <v>963</v>
      </c>
      <c r="B14" s="614">
        <v>1500</v>
      </c>
      <c r="C14" s="466">
        <v>242855</v>
      </c>
      <c r="D14" s="466">
        <v>2299</v>
      </c>
      <c r="E14" s="466">
        <v>25433</v>
      </c>
      <c r="F14" s="466">
        <v>25081</v>
      </c>
      <c r="G14" s="466">
        <v>19550</v>
      </c>
      <c r="H14" s="466">
        <v>11989</v>
      </c>
      <c r="I14" s="467"/>
      <c r="J14" s="467"/>
      <c r="K14" s="1671">
        <f t="shared" si="0"/>
        <v>327207</v>
      </c>
      <c r="L14" s="466">
        <v>321943</v>
      </c>
    </row>
    <row r="15" spans="1:14" x14ac:dyDescent="0.2">
      <c r="A15" s="1504" t="s">
        <v>964</v>
      </c>
      <c r="B15" s="614">
        <v>1600</v>
      </c>
      <c r="C15" s="466"/>
      <c r="D15" s="466"/>
      <c r="E15" s="466"/>
      <c r="F15" s="466"/>
      <c r="G15" s="466"/>
      <c r="H15" s="466"/>
      <c r="I15" s="467"/>
      <c r="J15" s="467"/>
      <c r="K15" s="1671">
        <f t="shared" si="0"/>
        <v>0</v>
      </c>
      <c r="L15" s="466">
        <v>1000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72565</v>
      </c>
      <c r="D17" s="467">
        <v>1724</v>
      </c>
      <c r="E17" s="467"/>
      <c r="F17" s="467">
        <v>401</v>
      </c>
      <c r="G17" s="467">
        <v>24496</v>
      </c>
      <c r="H17" s="467"/>
      <c r="I17" s="467"/>
      <c r="J17" s="467"/>
      <c r="K17" s="1671">
        <f t="shared" si="0"/>
        <v>99186</v>
      </c>
      <c r="L17" s="466">
        <v>69187</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456665</v>
      </c>
      <c r="I22" s="616"/>
      <c r="J22" s="477"/>
      <c r="K22" s="1671">
        <f t="shared" si="0"/>
        <v>456665</v>
      </c>
      <c r="L22" s="471">
        <v>350000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v>6000</v>
      </c>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5248156</v>
      </c>
      <c r="D33" s="1670">
        <f t="shared" ref="D33:L33" si="1">SUM(D5:D32)</f>
        <v>508213</v>
      </c>
      <c r="E33" s="1670">
        <f t="shared" si="1"/>
        <v>93612</v>
      </c>
      <c r="F33" s="1670">
        <f t="shared" si="1"/>
        <v>292382</v>
      </c>
      <c r="G33" s="1670">
        <f t="shared" si="1"/>
        <v>63252</v>
      </c>
      <c r="H33" s="1670">
        <f t="shared" si="1"/>
        <v>468654</v>
      </c>
      <c r="I33" s="1670">
        <f t="shared" si="1"/>
        <v>0</v>
      </c>
      <c r="J33" s="1670">
        <f t="shared" si="1"/>
        <v>14223</v>
      </c>
      <c r="K33" s="1670">
        <f t="shared" si="1"/>
        <v>6688492</v>
      </c>
      <c r="L33" s="1670">
        <f t="shared" si="1"/>
        <v>6622345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150510</v>
      </c>
      <c r="D37" s="466">
        <v>17680</v>
      </c>
      <c r="E37" s="466"/>
      <c r="F37" s="466"/>
      <c r="G37" s="466"/>
      <c r="H37" s="466"/>
      <c r="I37" s="467"/>
      <c r="J37" s="467"/>
      <c r="K37" s="1671">
        <f t="shared" si="2"/>
        <v>168190</v>
      </c>
      <c r="L37" s="466">
        <v>165078</v>
      </c>
    </row>
    <row r="38" spans="1:14" x14ac:dyDescent="0.2">
      <c r="A38" s="1504" t="s">
        <v>198</v>
      </c>
      <c r="B38" s="614">
        <v>2130</v>
      </c>
      <c r="C38" s="466">
        <v>27173</v>
      </c>
      <c r="D38" s="466">
        <v>32</v>
      </c>
      <c r="E38" s="466"/>
      <c r="F38" s="466"/>
      <c r="G38" s="466"/>
      <c r="H38" s="466"/>
      <c r="I38" s="467"/>
      <c r="J38" s="467"/>
      <c r="K38" s="1671">
        <f t="shared" si="2"/>
        <v>27205</v>
      </c>
      <c r="L38" s="466">
        <v>28032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77756</v>
      </c>
      <c r="D40" s="466">
        <v>10409</v>
      </c>
      <c r="E40" s="466"/>
      <c r="F40" s="466"/>
      <c r="G40" s="466"/>
      <c r="H40" s="466"/>
      <c r="I40" s="467"/>
      <c r="J40" s="467"/>
      <c r="K40" s="1671">
        <f t="shared" si="2"/>
        <v>88165</v>
      </c>
      <c r="L40" s="466">
        <v>98964</v>
      </c>
    </row>
    <row r="41" spans="1:14" x14ac:dyDescent="0.2">
      <c r="A41" s="1504" t="s">
        <v>1669</v>
      </c>
      <c r="B41" s="614">
        <v>2190</v>
      </c>
      <c r="C41" s="466">
        <v>5211</v>
      </c>
      <c r="D41" s="466">
        <v>26</v>
      </c>
      <c r="E41" s="466"/>
      <c r="F41" s="466"/>
      <c r="G41" s="466"/>
      <c r="H41" s="466"/>
      <c r="I41" s="467"/>
      <c r="J41" s="467"/>
      <c r="K41" s="1671">
        <f t="shared" si="2"/>
        <v>5237</v>
      </c>
      <c r="L41" s="466">
        <v>7630</v>
      </c>
    </row>
    <row r="42" spans="1:14" ht="12.75" customHeight="1" thickBot="1" x14ac:dyDescent="0.25">
      <c r="A42" s="1668" t="s">
        <v>560</v>
      </c>
      <c r="B42" s="1669" t="s">
        <v>716</v>
      </c>
      <c r="C42" s="1670">
        <f>SUM(C36:C41)</f>
        <v>260650</v>
      </c>
      <c r="D42" s="1670">
        <f t="shared" ref="D42:L42" si="3">SUM(D36:D41)</f>
        <v>28147</v>
      </c>
      <c r="E42" s="1670">
        <f t="shared" si="3"/>
        <v>0</v>
      </c>
      <c r="F42" s="1670">
        <f t="shared" si="3"/>
        <v>0</v>
      </c>
      <c r="G42" s="1670">
        <f t="shared" si="3"/>
        <v>0</v>
      </c>
      <c r="H42" s="1670">
        <f t="shared" si="3"/>
        <v>0</v>
      </c>
      <c r="I42" s="1670">
        <f t="shared" si="3"/>
        <v>0</v>
      </c>
      <c r="J42" s="1670">
        <f t="shared" si="3"/>
        <v>0</v>
      </c>
      <c r="K42" s="1670">
        <f t="shared" si="3"/>
        <v>288797</v>
      </c>
      <c r="L42" s="1670">
        <f t="shared" si="3"/>
        <v>299704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27809</v>
      </c>
      <c r="D44" s="481">
        <f>1118+11457</f>
        <v>12575</v>
      </c>
      <c r="E44" s="481">
        <v>18359</v>
      </c>
      <c r="F44" s="481">
        <v>18513</v>
      </c>
      <c r="G44" s="481">
        <v>46416</v>
      </c>
      <c r="H44" s="481"/>
      <c r="I44" s="467"/>
      <c r="J44" s="467"/>
      <c r="K44" s="1672">
        <f>SUM(C44:J44)</f>
        <v>123672</v>
      </c>
      <c r="L44" s="481">
        <v>133744</v>
      </c>
    </row>
    <row r="45" spans="1:14" x14ac:dyDescent="0.2">
      <c r="A45" s="1504" t="s">
        <v>815</v>
      </c>
      <c r="B45" s="614">
        <v>2220</v>
      </c>
      <c r="C45" s="466">
        <v>56985</v>
      </c>
      <c r="D45" s="466"/>
      <c r="E45" s="466">
        <v>5483</v>
      </c>
      <c r="F45" s="466">
        <v>7530</v>
      </c>
      <c r="G45" s="466"/>
      <c r="H45" s="466"/>
      <c r="I45" s="467"/>
      <c r="J45" s="467"/>
      <c r="K45" s="1672">
        <f>SUM(C45:J45)</f>
        <v>69998</v>
      </c>
      <c r="L45" s="466">
        <v>70875</v>
      </c>
    </row>
    <row r="46" spans="1:14" x14ac:dyDescent="0.2">
      <c r="A46" s="1504" t="s">
        <v>816</v>
      </c>
      <c r="B46" s="614">
        <v>2230</v>
      </c>
      <c r="C46" s="466"/>
      <c r="D46" s="466"/>
      <c r="E46" s="466">
        <v>16203</v>
      </c>
      <c r="F46" s="466"/>
      <c r="G46" s="466"/>
      <c r="H46" s="466"/>
      <c r="I46" s="467"/>
      <c r="J46" s="467"/>
      <c r="K46" s="1672">
        <f>SUM(C46:J46)</f>
        <v>16203</v>
      </c>
      <c r="L46" s="466">
        <v>16204</v>
      </c>
    </row>
    <row r="47" spans="1:14" ht="12.75" customHeight="1" thickBot="1" x14ac:dyDescent="0.25">
      <c r="A47" s="1668" t="s">
        <v>561</v>
      </c>
      <c r="B47" s="1669" t="s">
        <v>32</v>
      </c>
      <c r="C47" s="1670">
        <f>SUM(C44:C46)</f>
        <v>84794</v>
      </c>
      <c r="D47" s="1670">
        <f t="shared" ref="D47:K47" si="4">SUM(D44:D46)</f>
        <v>12575</v>
      </c>
      <c r="E47" s="1670">
        <f t="shared" si="4"/>
        <v>40045</v>
      </c>
      <c r="F47" s="1670">
        <f t="shared" si="4"/>
        <v>26043</v>
      </c>
      <c r="G47" s="1670">
        <f t="shared" si="4"/>
        <v>46416</v>
      </c>
      <c r="H47" s="1670">
        <f t="shared" si="4"/>
        <v>0</v>
      </c>
      <c r="I47" s="1670">
        <f t="shared" si="4"/>
        <v>0</v>
      </c>
      <c r="J47" s="1670">
        <f t="shared" si="4"/>
        <v>0</v>
      </c>
      <c r="K47" s="1670">
        <f t="shared" si="4"/>
        <v>209873</v>
      </c>
      <c r="L47" s="1670">
        <f>SUM(L44:L46)</f>
        <v>220823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3060</v>
      </c>
      <c r="D49" s="481"/>
      <c r="E49" s="481">
        <f>17508+48612+11500+3378</f>
        <v>80998</v>
      </c>
      <c r="F49" s="481">
        <v>3949</v>
      </c>
      <c r="G49" s="481"/>
      <c r="H49" s="481">
        <v>2458</v>
      </c>
      <c r="I49" s="467"/>
      <c r="J49" s="467"/>
      <c r="K49" s="1672">
        <f>SUM(C49:J49)</f>
        <v>90465</v>
      </c>
      <c r="L49" s="481">
        <v>84500</v>
      </c>
    </row>
    <row r="50" spans="1:14" x14ac:dyDescent="0.2">
      <c r="A50" s="1504" t="s">
        <v>818</v>
      </c>
      <c r="B50" s="614">
        <v>2320</v>
      </c>
      <c r="C50" s="466">
        <v>169727</v>
      </c>
      <c r="D50" s="466">
        <v>11044</v>
      </c>
      <c r="E50" s="466">
        <v>5330</v>
      </c>
      <c r="F50" s="466">
        <v>931</v>
      </c>
      <c r="G50" s="466"/>
      <c r="H50" s="466">
        <v>991</v>
      </c>
      <c r="I50" s="467"/>
      <c r="J50" s="467"/>
      <c r="K50" s="1672">
        <f>SUM(C50:J50)</f>
        <v>188023</v>
      </c>
      <c r="L50" s="466">
        <v>145214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172787</v>
      </c>
      <c r="D53" s="1670">
        <f t="shared" ref="D53:L53" si="5">SUM(D49:D52)</f>
        <v>11044</v>
      </c>
      <c r="E53" s="1670">
        <f t="shared" si="5"/>
        <v>86328</v>
      </c>
      <c r="F53" s="1670">
        <f t="shared" si="5"/>
        <v>4880</v>
      </c>
      <c r="G53" s="1670">
        <f t="shared" si="5"/>
        <v>0</v>
      </c>
      <c r="H53" s="1670">
        <f t="shared" si="5"/>
        <v>3449</v>
      </c>
      <c r="I53" s="1670">
        <f t="shared" si="5"/>
        <v>0</v>
      </c>
      <c r="J53" s="1670">
        <f t="shared" si="5"/>
        <v>0</v>
      </c>
      <c r="K53" s="1670">
        <f t="shared" si="5"/>
        <v>278488</v>
      </c>
      <c r="L53" s="1670">
        <f t="shared" si="5"/>
        <v>229714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240207+220092</f>
        <v>460299</v>
      </c>
      <c r="D55" s="481">
        <v>47090</v>
      </c>
      <c r="E55" s="481">
        <v>13046</v>
      </c>
      <c r="F55" s="481">
        <v>19934</v>
      </c>
      <c r="G55" s="481"/>
      <c r="H55" s="481">
        <v>2248</v>
      </c>
      <c r="I55" s="467"/>
      <c r="J55" s="467"/>
      <c r="K55" s="1672">
        <f>SUM(C55:J55)</f>
        <v>542617</v>
      </c>
      <c r="L55" s="481">
        <v>546467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460299</v>
      </c>
      <c r="D57" s="1674">
        <f t="shared" ref="D57:K57" si="6">SUM(D55:D56)</f>
        <v>47090</v>
      </c>
      <c r="E57" s="1674">
        <f t="shared" si="6"/>
        <v>13046</v>
      </c>
      <c r="F57" s="1674">
        <f t="shared" si="6"/>
        <v>19934</v>
      </c>
      <c r="G57" s="1674">
        <f t="shared" si="6"/>
        <v>0</v>
      </c>
      <c r="H57" s="1674">
        <f t="shared" si="6"/>
        <v>2248</v>
      </c>
      <c r="I57" s="1674">
        <f t="shared" si="6"/>
        <v>0</v>
      </c>
      <c r="J57" s="1674">
        <f t="shared" si="6"/>
        <v>0</v>
      </c>
      <c r="K57" s="1674">
        <f t="shared" si="6"/>
        <v>542617</v>
      </c>
      <c r="L57" s="1670">
        <f>SUM(L55:L56)</f>
        <v>546467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57050</v>
      </c>
      <c r="D60" s="466">
        <v>5148</v>
      </c>
      <c r="E60" s="466">
        <v>25449</v>
      </c>
      <c r="F60" s="466">
        <v>2824</v>
      </c>
      <c r="G60" s="466"/>
      <c r="H60" s="466"/>
      <c r="I60" s="467"/>
      <c r="J60" s="467"/>
      <c r="K60" s="1672">
        <f t="shared" si="7"/>
        <v>90471</v>
      </c>
      <c r="L60" s="466">
        <v>83932</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215632</v>
      </c>
      <c r="D63" s="466">
        <v>12793</v>
      </c>
      <c r="E63" s="466">
        <v>11678</v>
      </c>
      <c r="F63" s="466">
        <v>303797</v>
      </c>
      <c r="G63" s="466">
        <v>2765</v>
      </c>
      <c r="H63" s="466">
        <v>1084</v>
      </c>
      <c r="I63" s="467"/>
      <c r="J63" s="467"/>
      <c r="K63" s="1672">
        <f t="shared" si="7"/>
        <v>547749</v>
      </c>
      <c r="L63" s="466">
        <v>564396</v>
      </c>
    </row>
    <row r="64" spans="1:14" s="609" customFormat="1" x14ac:dyDescent="0.2">
      <c r="A64" s="1509" t="s">
        <v>101</v>
      </c>
      <c r="B64" s="630">
        <v>2570</v>
      </c>
      <c r="C64" s="481"/>
      <c r="D64" s="481"/>
      <c r="E64" s="481">
        <v>28993</v>
      </c>
      <c r="F64" s="481"/>
      <c r="G64" s="481"/>
      <c r="H64" s="481"/>
      <c r="I64" s="467"/>
      <c r="J64" s="467"/>
      <c r="K64" s="1672">
        <f t="shared" si="7"/>
        <v>28993</v>
      </c>
      <c r="L64" s="481">
        <v>22900</v>
      </c>
    </row>
    <row r="65" spans="1:14" s="343" customFormat="1" ht="12.75" customHeight="1" thickBot="1" x14ac:dyDescent="0.25">
      <c r="A65" s="1668" t="s">
        <v>719</v>
      </c>
      <c r="B65" s="1669" t="s">
        <v>35</v>
      </c>
      <c r="C65" s="1670">
        <f>SUM(C59:C64)</f>
        <v>272682</v>
      </c>
      <c r="D65" s="1670">
        <f t="shared" ref="D65:L65" si="8">SUM(D59:D64)</f>
        <v>17941</v>
      </c>
      <c r="E65" s="1670">
        <f t="shared" si="8"/>
        <v>66120</v>
      </c>
      <c r="F65" s="1670">
        <f t="shared" si="8"/>
        <v>306621</v>
      </c>
      <c r="G65" s="1670">
        <f t="shared" si="8"/>
        <v>2765</v>
      </c>
      <c r="H65" s="1670">
        <f t="shared" si="8"/>
        <v>1084</v>
      </c>
      <c r="I65" s="1670">
        <f t="shared" si="8"/>
        <v>0</v>
      </c>
      <c r="J65" s="1670">
        <f t="shared" si="8"/>
        <v>0</v>
      </c>
      <c r="K65" s="1670">
        <f t="shared" si="8"/>
        <v>667213</v>
      </c>
      <c r="L65" s="1670">
        <f t="shared" si="8"/>
        <v>671228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58338</v>
      </c>
      <c r="D71" s="466">
        <v>10296</v>
      </c>
      <c r="E71" s="466">
        <v>54179</v>
      </c>
      <c r="F71" s="466">
        <v>17452</v>
      </c>
      <c r="G71" s="466">
        <v>74072</v>
      </c>
      <c r="H71" s="466"/>
      <c r="I71" s="467"/>
      <c r="J71" s="467"/>
      <c r="K71" s="1672">
        <f>SUM(C71:J71)</f>
        <v>214337</v>
      </c>
      <c r="L71" s="466">
        <v>201538</v>
      </c>
      <c r="M71" s="609"/>
      <c r="N71" s="609"/>
    </row>
    <row r="72" spans="1:14" s="343" customFormat="1" ht="12.75" customHeight="1" thickBot="1" x14ac:dyDescent="0.25">
      <c r="A72" s="1668" t="s">
        <v>37</v>
      </c>
      <c r="B72" s="1675" t="s">
        <v>36</v>
      </c>
      <c r="C72" s="1670">
        <f>SUM(C67:C71)</f>
        <v>58338</v>
      </c>
      <c r="D72" s="1670">
        <f t="shared" ref="D72:K72" si="9">SUM(D67:D71)</f>
        <v>10296</v>
      </c>
      <c r="E72" s="1670">
        <f t="shared" si="9"/>
        <v>54179</v>
      </c>
      <c r="F72" s="1670">
        <f t="shared" si="9"/>
        <v>17452</v>
      </c>
      <c r="G72" s="1670">
        <f t="shared" si="9"/>
        <v>74072</v>
      </c>
      <c r="H72" s="1670">
        <f t="shared" si="9"/>
        <v>0</v>
      </c>
      <c r="I72" s="1670">
        <f t="shared" si="9"/>
        <v>0</v>
      </c>
      <c r="J72" s="1670">
        <f t="shared" si="9"/>
        <v>0</v>
      </c>
      <c r="K72" s="1670">
        <f t="shared" si="9"/>
        <v>214337</v>
      </c>
      <c r="L72" s="1670">
        <f>SUM(L67:L71)</f>
        <v>201538</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1309550</v>
      </c>
      <c r="D74" s="1677">
        <f t="shared" ref="D74:K74" si="10">SUM(D42,D47,D53,D57,D65,D72,D73)</f>
        <v>127093</v>
      </c>
      <c r="E74" s="1677">
        <f t="shared" si="10"/>
        <v>259718</v>
      </c>
      <c r="F74" s="1677">
        <f t="shared" si="10"/>
        <v>374930</v>
      </c>
      <c r="G74" s="1677">
        <f t="shared" si="10"/>
        <v>123253</v>
      </c>
      <c r="H74" s="1677">
        <f t="shared" si="10"/>
        <v>6781</v>
      </c>
      <c r="I74" s="1677">
        <f t="shared" si="10"/>
        <v>0</v>
      </c>
      <c r="J74" s="1677">
        <f t="shared" si="10"/>
        <v>0</v>
      </c>
      <c r="K74" s="1677">
        <f t="shared" si="10"/>
        <v>2201325</v>
      </c>
      <c r="L74" s="1677">
        <f>SUM(L42,L47,L53,L57,L65,L72,L73)</f>
        <v>2169474</v>
      </c>
    </row>
    <row r="75" spans="1:14" s="259" customFormat="1" ht="15.75" customHeight="1" thickTop="1" thickBot="1" x14ac:dyDescent="0.25">
      <c r="A75" s="1610" t="s">
        <v>47</v>
      </c>
      <c r="B75" s="1611" t="s">
        <v>575</v>
      </c>
      <c r="C75" s="573">
        <v>29537</v>
      </c>
      <c r="D75" s="573"/>
      <c r="E75" s="573">
        <v>6670</v>
      </c>
      <c r="F75" s="573">
        <v>3387</v>
      </c>
      <c r="G75" s="573"/>
      <c r="H75" s="573"/>
      <c r="I75" s="531"/>
      <c r="J75" s="531"/>
      <c r="K75" s="1670">
        <f>SUM(C75:J75)</f>
        <v>39594</v>
      </c>
      <c r="L75" s="576">
        <v>34725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114901</v>
      </c>
      <c r="F79" s="616"/>
      <c r="G79" s="616"/>
      <c r="H79" s="466"/>
      <c r="I79" s="477"/>
      <c r="J79" s="477"/>
      <c r="K79" s="1671">
        <f t="shared" si="11"/>
        <v>114901</v>
      </c>
      <c r="L79" s="466">
        <v>140000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4500</v>
      </c>
      <c r="F83" s="616"/>
      <c r="G83" s="616"/>
      <c r="H83" s="466"/>
      <c r="I83" s="477"/>
      <c r="J83" s="477"/>
      <c r="K83" s="1671">
        <f t="shared" si="11"/>
        <v>4500</v>
      </c>
      <c r="L83" s="466">
        <v>4500</v>
      </c>
    </row>
    <row r="84" spans="1:12" ht="13.5" thickBot="1" x14ac:dyDescent="0.25">
      <c r="A84" s="1668" t="s">
        <v>1485</v>
      </c>
      <c r="B84" s="1678">
        <v>4100</v>
      </c>
      <c r="C84" s="616"/>
      <c r="D84" s="616"/>
      <c r="E84" s="1670">
        <f>SUM(E78:E83)</f>
        <v>119401</v>
      </c>
      <c r="F84" s="616"/>
      <c r="G84" s="616"/>
      <c r="H84" s="1670">
        <f>SUM(H78:H83)</f>
        <v>0</v>
      </c>
      <c r="I84" s="477"/>
      <c r="J84" s="477"/>
      <c r="K84" s="1670">
        <f>SUM(K78:K83)</f>
        <v>119401</v>
      </c>
      <c r="L84" s="1670">
        <f>SUM(L78:L83)</f>
        <v>144500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265946</v>
      </c>
      <c r="I86" s="477"/>
      <c r="J86" s="477"/>
      <c r="K86" s="1677">
        <f t="shared" ref="K86:K98" si="12">H86</f>
        <v>265946</v>
      </c>
      <c r="L86" s="530">
        <v>331000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27939</v>
      </c>
      <c r="I88" s="477"/>
      <c r="J88" s="477"/>
      <c r="K88" s="1677">
        <f t="shared" si="12"/>
        <v>27939</v>
      </c>
      <c r="L88" s="530">
        <v>31550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293885</v>
      </c>
      <c r="I92" s="477"/>
      <c r="J92" s="477"/>
      <c r="K92" s="1677">
        <f t="shared" si="12"/>
        <v>293885</v>
      </c>
      <c r="L92" s="1670">
        <f>SUM(L85:L91)</f>
        <v>362550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119401</v>
      </c>
      <c r="F102" s="616"/>
      <c r="G102" s="616"/>
      <c r="H102" s="1677">
        <f>SUM(H84,H92,H100,H101)</f>
        <v>293885</v>
      </c>
      <c r="I102" s="477"/>
      <c r="J102" s="477"/>
      <c r="K102" s="1677">
        <f>SUM(K84,K92,K100,K101)</f>
        <v>413286</v>
      </c>
      <c r="L102" s="1677">
        <f>SUM(L84,L92,L100,L101)</f>
        <v>507050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6587243</v>
      </c>
      <c r="D114" s="1670">
        <f t="shared" ref="D114:K114" si="13">SUM(D33,D74,D75,D102,D112,D113)</f>
        <v>635306</v>
      </c>
      <c r="E114" s="1670">
        <f t="shared" si="13"/>
        <v>479401</v>
      </c>
      <c r="F114" s="1670">
        <f t="shared" si="13"/>
        <v>670699</v>
      </c>
      <c r="G114" s="1670">
        <f t="shared" si="13"/>
        <v>186505</v>
      </c>
      <c r="H114" s="1670">
        <f>SUM(H33,H74,H75,H102,H112,H113)</f>
        <v>769320</v>
      </c>
      <c r="I114" s="1670">
        <f t="shared" si="13"/>
        <v>0</v>
      </c>
      <c r="J114" s="1670">
        <f t="shared" si="13"/>
        <v>14223</v>
      </c>
      <c r="K114" s="1670">
        <f t="shared" si="13"/>
        <v>9342697</v>
      </c>
      <c r="L114" s="1670">
        <f>SUM(L33,L74,L75,L102,L112,L113)</f>
        <v>9333594</v>
      </c>
    </row>
    <row r="115" spans="1:14" ht="13.5" thickTop="1" x14ac:dyDescent="0.2">
      <c r="A115" s="2180" t="s">
        <v>996</v>
      </c>
      <c r="B115" s="2181"/>
      <c r="C115" s="618"/>
      <c r="D115" s="618"/>
      <c r="E115" s="618"/>
      <c r="F115" s="618"/>
      <c r="G115" s="618"/>
      <c r="H115" s="618"/>
      <c r="I115" s="618"/>
      <c r="J115" s="618"/>
      <c r="K115" s="1684">
        <f>'Revenues 9-14'!C268-'Expenditures 15-22'!K114</f>
        <v>-357037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374389</v>
      </c>
      <c r="D124" s="466">
        <v>48804</v>
      </c>
      <c r="E124" s="466">
        <v>356181</v>
      </c>
      <c r="F124" s="466">
        <f>138722+85058+158661+21847</f>
        <v>404288</v>
      </c>
      <c r="G124" s="466">
        <v>58782</v>
      </c>
      <c r="H124" s="466"/>
      <c r="I124" s="467"/>
      <c r="J124" s="467"/>
      <c r="K124" s="1670">
        <f>SUM(C124:J124)</f>
        <v>1242444</v>
      </c>
      <c r="L124" s="466">
        <v>1130467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374389</v>
      </c>
      <c r="D127" s="1670">
        <f t="shared" ref="D127:L127" si="14">SUM(D122:D126)</f>
        <v>48804</v>
      </c>
      <c r="E127" s="1670">
        <f t="shared" si="14"/>
        <v>356181</v>
      </c>
      <c r="F127" s="1670">
        <f t="shared" si="14"/>
        <v>404288</v>
      </c>
      <c r="G127" s="1670">
        <f t="shared" si="14"/>
        <v>58782</v>
      </c>
      <c r="H127" s="1670">
        <f t="shared" si="14"/>
        <v>0</v>
      </c>
      <c r="I127" s="1670">
        <f t="shared" si="14"/>
        <v>0</v>
      </c>
      <c r="J127" s="1670">
        <f t="shared" si="14"/>
        <v>0</v>
      </c>
      <c r="K127" s="1670">
        <f t="shared" si="14"/>
        <v>1242444</v>
      </c>
      <c r="L127" s="1670">
        <f t="shared" si="14"/>
        <v>1130467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374389</v>
      </c>
      <c r="D129" s="1677">
        <f t="shared" ref="D129:L129" si="15">SUM(D120,D127,D128)</f>
        <v>48804</v>
      </c>
      <c r="E129" s="1677">
        <f t="shared" si="15"/>
        <v>356181</v>
      </c>
      <c r="F129" s="1677">
        <f t="shared" si="15"/>
        <v>404288</v>
      </c>
      <c r="G129" s="1677">
        <f t="shared" si="15"/>
        <v>58782</v>
      </c>
      <c r="H129" s="1677">
        <f t="shared" si="15"/>
        <v>0</v>
      </c>
      <c r="I129" s="1677">
        <f t="shared" si="15"/>
        <v>0</v>
      </c>
      <c r="J129" s="1677">
        <f t="shared" si="15"/>
        <v>0</v>
      </c>
      <c r="K129" s="1677">
        <f t="shared" si="15"/>
        <v>1242444</v>
      </c>
      <c r="L129" s="1677">
        <f t="shared" si="15"/>
        <v>1130467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v>9524</v>
      </c>
      <c r="I135" s="477"/>
      <c r="J135" s="616"/>
      <c r="K135" s="1672">
        <f>SUM(E135,H135)</f>
        <v>9524</v>
      </c>
      <c r="L135" s="466">
        <v>9524</v>
      </c>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9524</v>
      </c>
      <c r="I137" s="477"/>
      <c r="J137" s="616"/>
      <c r="K137" s="1670">
        <f>SUM(K133:K136)</f>
        <v>9524</v>
      </c>
      <c r="L137" s="1670">
        <f>SUM(L133:L136)</f>
        <v>9524</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9524</v>
      </c>
      <c r="I139" s="477"/>
      <c r="J139" s="616"/>
      <c r="K139" s="1672">
        <f>SUM(K137,K138)</f>
        <v>9524</v>
      </c>
      <c r="L139" s="1679">
        <f>SUM(L137,L138)</f>
        <v>9524</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374389</v>
      </c>
      <c r="D151" s="1670">
        <f t="shared" ref="D151:K151" si="16">SUM(D129,D130,D139,D149,D150)</f>
        <v>48804</v>
      </c>
      <c r="E151" s="1670">
        <f t="shared" si="16"/>
        <v>356181</v>
      </c>
      <c r="F151" s="1670">
        <f t="shared" si="16"/>
        <v>404288</v>
      </c>
      <c r="G151" s="1670">
        <f t="shared" si="16"/>
        <v>58782</v>
      </c>
      <c r="H151" s="1670">
        <f t="shared" si="16"/>
        <v>9524</v>
      </c>
      <c r="I151" s="1670">
        <f t="shared" si="16"/>
        <v>0</v>
      </c>
      <c r="J151" s="1670">
        <f t="shared" si="16"/>
        <v>0</v>
      </c>
      <c r="K151" s="1670">
        <f t="shared" si="16"/>
        <v>1251968</v>
      </c>
      <c r="L151" s="1670">
        <f>SUM(L129,L130,L139,L149,L150)</f>
        <v>1139991</v>
      </c>
    </row>
    <row r="152" spans="1:14" ht="12.75" customHeight="1" thickTop="1" x14ac:dyDescent="0.2">
      <c r="A152" s="2173" t="s">
        <v>1178</v>
      </c>
      <c r="B152" s="2174"/>
      <c r="C152" s="618"/>
      <c r="D152" s="618"/>
      <c r="E152" s="618"/>
      <c r="F152" s="618"/>
      <c r="G152" s="618"/>
      <c r="H152" s="618"/>
      <c r="I152" s="618"/>
      <c r="J152" s="616"/>
      <c r="K152" s="1684">
        <f>'Revenues 9-14'!D268-'Expenditures 15-22'!K151</f>
        <v>-50056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4812</v>
      </c>
      <c r="I169" s="616"/>
      <c r="J169" s="616"/>
      <c r="K169" s="1671">
        <f>SUM(C169:H169)</f>
        <v>4812</v>
      </c>
      <c r="L169" s="656">
        <v>5313</v>
      </c>
    </row>
    <row r="170" spans="1:14" ht="33.75" customHeight="1" x14ac:dyDescent="0.2">
      <c r="A170" s="669" t="s">
        <v>1670</v>
      </c>
      <c r="B170" s="671" t="s">
        <v>31</v>
      </c>
      <c r="C170" s="616"/>
      <c r="D170" s="616"/>
      <c r="E170" s="616"/>
      <c r="F170" s="616"/>
      <c r="G170" s="616"/>
      <c r="H170" s="569">
        <v>250000</v>
      </c>
      <c r="I170" s="616"/>
      <c r="J170" s="616"/>
      <c r="K170" s="1671">
        <f>SUM(C170:J170)</f>
        <v>250000</v>
      </c>
      <c r="L170" s="569">
        <v>250000</v>
      </c>
    </row>
    <row r="171" spans="1:14" ht="15.75" customHeight="1" x14ac:dyDescent="0.2">
      <c r="A171" s="621" t="s">
        <v>766</v>
      </c>
      <c r="B171" s="672" t="s">
        <v>84</v>
      </c>
      <c r="C171" s="616"/>
      <c r="D171" s="616"/>
      <c r="E171" s="466"/>
      <c r="F171" s="616"/>
      <c r="G171" s="616"/>
      <c r="H171" s="569">
        <v>900</v>
      </c>
      <c r="I171" s="477"/>
      <c r="J171" s="616"/>
      <c r="K171" s="1671">
        <f>SUM(C171:J171)</f>
        <v>900</v>
      </c>
      <c r="L171" s="569"/>
    </row>
    <row r="172" spans="1:14" ht="12.75" customHeight="1" thickBot="1" x14ac:dyDescent="0.25">
      <c r="A172" s="1668" t="s">
        <v>638</v>
      </c>
      <c r="B172" s="1669" t="s">
        <v>492</v>
      </c>
      <c r="C172" s="616"/>
      <c r="D172" s="616"/>
      <c r="E172" s="1677">
        <f>SUM(E168,E169,E170,E171)</f>
        <v>0</v>
      </c>
      <c r="F172" s="616"/>
      <c r="G172" s="616"/>
      <c r="H172" s="1677">
        <f>SUM(H168,H169,H170,H171)</f>
        <v>255712</v>
      </c>
      <c r="I172" s="638"/>
      <c r="J172" s="616"/>
      <c r="K172" s="1677">
        <f>SUM(K168,K169,K170,K171)</f>
        <v>255712</v>
      </c>
      <c r="L172" s="1677">
        <f>SUM(L168,L169,L170,L171)</f>
        <v>255313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255712</v>
      </c>
      <c r="I174" s="638"/>
      <c r="J174" s="616"/>
      <c r="K174" s="1677">
        <f>SUM(K160,K172,K173)</f>
        <v>255712</v>
      </c>
      <c r="L174" s="1677">
        <f>SUM(L160,L172,L173)</f>
        <v>255313</v>
      </c>
    </row>
    <row r="175" spans="1:14" ht="13.5" thickTop="1" x14ac:dyDescent="0.2">
      <c r="A175" s="2180" t="s">
        <v>996</v>
      </c>
      <c r="B175" s="2181"/>
      <c r="C175" s="616"/>
      <c r="D175" s="616"/>
      <c r="E175" s="616"/>
      <c r="F175" s="616"/>
      <c r="G175" s="616"/>
      <c r="H175" s="618"/>
      <c r="I175" s="616"/>
      <c r="J175" s="616"/>
      <c r="K175" s="1684">
        <f>'Revenues 9-14'!E268-'Expenditures 15-22'!K174</f>
        <v>6826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650785</v>
      </c>
      <c r="D182" s="466">
        <v>18404</v>
      </c>
      <c r="E182" s="466">
        <v>99585</v>
      </c>
      <c r="F182" s="466">
        <v>288607</v>
      </c>
      <c r="G182" s="466"/>
      <c r="H182" s="466">
        <v>65</v>
      </c>
      <c r="I182" s="467"/>
      <c r="J182" s="467"/>
      <c r="K182" s="1671">
        <f>SUM(C182:J182)</f>
        <v>1057446</v>
      </c>
      <c r="L182" s="466">
        <v>1023578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650785</v>
      </c>
      <c r="D184" s="1677">
        <f t="shared" ref="D184:J184" si="17">SUM(D180,D182,D183)</f>
        <v>18404</v>
      </c>
      <c r="E184" s="1677">
        <f t="shared" si="17"/>
        <v>99585</v>
      </c>
      <c r="F184" s="1677">
        <f t="shared" si="17"/>
        <v>288607</v>
      </c>
      <c r="G184" s="1677">
        <f t="shared" si="17"/>
        <v>0</v>
      </c>
      <c r="H184" s="1677">
        <f t="shared" si="17"/>
        <v>65</v>
      </c>
      <c r="I184" s="1677">
        <f t="shared" si="17"/>
        <v>0</v>
      </c>
      <c r="J184" s="1677">
        <f t="shared" si="17"/>
        <v>0</v>
      </c>
      <c r="K184" s="1677">
        <f>SUM(K180,K182,K183)</f>
        <v>1057446</v>
      </c>
      <c r="L184" s="1677">
        <f>SUM(L180, L182:L183)</f>
        <v>1023578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v>1440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1440</v>
      </c>
    </row>
    <row r="205" spans="1:14" ht="15.75" customHeight="1" thickTop="1" x14ac:dyDescent="0.2">
      <c r="A205" s="679" t="s">
        <v>83</v>
      </c>
      <c r="B205" s="680" t="s">
        <v>38</v>
      </c>
      <c r="C205" s="616"/>
      <c r="D205" s="616"/>
      <c r="E205" s="616"/>
      <c r="F205" s="616"/>
      <c r="G205" s="616"/>
      <c r="H205" s="535">
        <v>1436</v>
      </c>
      <c r="I205" s="616"/>
      <c r="J205" s="616"/>
      <c r="K205" s="1685">
        <f>SUM(H205)</f>
        <v>1436</v>
      </c>
      <c r="L205" s="535"/>
    </row>
    <row r="206" spans="1:14" ht="30" customHeight="1" x14ac:dyDescent="0.2">
      <c r="A206" s="681" t="s">
        <v>1671</v>
      </c>
      <c r="B206" s="672" t="s">
        <v>31</v>
      </c>
      <c r="C206" s="616"/>
      <c r="D206" s="616"/>
      <c r="E206" s="616"/>
      <c r="F206" s="616"/>
      <c r="G206" s="616"/>
      <c r="H206" s="466">
        <v>130906</v>
      </c>
      <c r="I206" s="616"/>
      <c r="J206" s="616"/>
      <c r="K206" s="1671">
        <f>SUM(H206)</f>
        <v>130906</v>
      </c>
      <c r="L206" s="466">
        <v>130907</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132342</v>
      </c>
      <c r="I208" s="616"/>
      <c r="J208" s="616"/>
      <c r="K208" s="1677">
        <f>SUM(K204,K205,K206,K207)</f>
        <v>132342</v>
      </c>
      <c r="L208" s="1677">
        <f>SUM(L204,L205,L206,L207)</f>
        <v>132347</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650785</v>
      </c>
      <c r="D210" s="1670">
        <f>SUM(D184,D185)</f>
        <v>18404</v>
      </c>
      <c r="E210" s="1670">
        <f>SUM(E184,E185,E196)</f>
        <v>99585</v>
      </c>
      <c r="F210" s="1670">
        <f>SUM(F184,F185)</f>
        <v>288607</v>
      </c>
      <c r="G210" s="1670">
        <f>SUM(G184,G185)</f>
        <v>0</v>
      </c>
      <c r="H210" s="1670">
        <f>SUM(H184,H185,H196,H208,H209)</f>
        <v>132407</v>
      </c>
      <c r="I210" s="1670">
        <f>SUM(I184,I185)</f>
        <v>0</v>
      </c>
      <c r="J210" s="1670">
        <f>SUM(J184,J185)</f>
        <v>0</v>
      </c>
      <c r="K210" s="1671">
        <f>SUM(K184,K185,K196,K208,K209)</f>
        <v>1189788</v>
      </c>
      <c r="L210" s="1670">
        <f>SUM(L184,L185,L196,L208,L209)</f>
        <v>1155925</v>
      </c>
    </row>
    <row r="211" spans="1:14" ht="13.5" thickTop="1" x14ac:dyDescent="0.2">
      <c r="A211" s="2180" t="s">
        <v>996</v>
      </c>
      <c r="B211" s="2181"/>
      <c r="C211" s="618"/>
      <c r="D211" s="618"/>
      <c r="E211" s="618"/>
      <c r="F211" s="618"/>
      <c r="G211" s="618"/>
      <c r="H211" s="618"/>
      <c r="I211" s="616"/>
      <c r="J211" s="616"/>
      <c r="K211" s="1684">
        <f>'Revenues 9-14'!F268-'Expenditures 15-22'!K210</f>
        <v>-86818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48835+165</f>
        <v>49000</v>
      </c>
      <c r="E215" s="616"/>
      <c r="F215" s="616"/>
      <c r="G215" s="616"/>
      <c r="H215" s="616"/>
      <c r="I215" s="616"/>
      <c r="J215" s="616"/>
      <c r="K215" s="1671">
        <f>D215</f>
        <v>49000</v>
      </c>
      <c r="L215" s="466">
        <v>51900</v>
      </c>
    </row>
    <row r="216" spans="1:14" x14ac:dyDescent="0.2">
      <c r="A216" s="1504" t="s">
        <v>163</v>
      </c>
      <c r="B216" s="614" t="s">
        <v>967</v>
      </c>
      <c r="C216" s="616"/>
      <c r="D216" s="467">
        <f>4434+2899</f>
        <v>7333</v>
      </c>
      <c r="E216" s="616"/>
      <c r="F216" s="616"/>
      <c r="G216" s="616"/>
      <c r="H216" s="616"/>
      <c r="I216" s="616"/>
      <c r="J216" s="616"/>
      <c r="K216" s="1671">
        <f t="shared" ref="K216:K228" si="19">D216</f>
        <v>7333</v>
      </c>
      <c r="L216" s="466">
        <v>7833</v>
      </c>
    </row>
    <row r="217" spans="1:14" x14ac:dyDescent="0.2">
      <c r="A217" s="1504" t="s">
        <v>164</v>
      </c>
      <c r="B217" s="614">
        <v>1200</v>
      </c>
      <c r="C217" s="616"/>
      <c r="D217" s="466">
        <f>52252+45062</f>
        <v>97314</v>
      </c>
      <c r="E217" s="616"/>
      <c r="F217" s="616"/>
      <c r="G217" s="616"/>
      <c r="H217" s="616"/>
      <c r="I217" s="616"/>
      <c r="J217" s="616"/>
      <c r="K217" s="1671">
        <f t="shared" si="19"/>
        <v>97314</v>
      </c>
      <c r="L217" s="466">
        <v>107820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1933+33</f>
        <v>1966</v>
      </c>
      <c r="E219" s="616"/>
      <c r="F219" s="616"/>
      <c r="G219" s="616"/>
      <c r="H219" s="616"/>
      <c r="I219" s="616"/>
      <c r="J219" s="616"/>
      <c r="K219" s="1671">
        <f t="shared" si="19"/>
        <v>1966</v>
      </c>
      <c r="L219" s="466">
        <v>1703</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3035</v>
      </c>
      <c r="E222" s="616"/>
      <c r="F222" s="616"/>
      <c r="G222" s="616"/>
      <c r="H222" s="616"/>
      <c r="I222" s="616"/>
      <c r="J222" s="616"/>
      <c r="K222" s="1671">
        <f t="shared" si="19"/>
        <v>3035</v>
      </c>
      <c r="L222" s="466">
        <v>3000</v>
      </c>
    </row>
    <row r="223" spans="1:14" x14ac:dyDescent="0.2">
      <c r="A223" s="1504" t="s">
        <v>963</v>
      </c>
      <c r="B223" s="614">
        <v>1500</v>
      </c>
      <c r="C223" s="616"/>
      <c r="D223" s="466">
        <f>6330+1119</f>
        <v>7449</v>
      </c>
      <c r="E223" s="616"/>
      <c r="F223" s="616"/>
      <c r="G223" s="616"/>
      <c r="H223" s="616"/>
      <c r="I223" s="616"/>
      <c r="J223" s="616"/>
      <c r="K223" s="1671">
        <f t="shared" si="19"/>
        <v>7449</v>
      </c>
      <c r="L223" s="466">
        <v>9700</v>
      </c>
    </row>
    <row r="224" spans="1:14" x14ac:dyDescent="0.2">
      <c r="A224" s="1504" t="s">
        <v>964</v>
      </c>
      <c r="B224" s="614">
        <v>1600</v>
      </c>
      <c r="C224" s="616"/>
      <c r="D224" s="466"/>
      <c r="E224" s="616"/>
      <c r="F224" s="616"/>
      <c r="G224" s="616"/>
      <c r="H224" s="616"/>
      <c r="I224" s="616"/>
      <c r="J224" s="616"/>
      <c r="K224" s="1671">
        <f t="shared" si="19"/>
        <v>0</v>
      </c>
      <c r="L224" s="466">
        <v>50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1155</v>
      </c>
      <c r="E226" s="616"/>
      <c r="F226" s="616"/>
      <c r="G226" s="616"/>
      <c r="H226" s="616"/>
      <c r="I226" s="616"/>
      <c r="J226" s="616"/>
      <c r="K226" s="1671">
        <f t="shared" si="19"/>
        <v>1155</v>
      </c>
      <c r="L226" s="466">
        <v>1200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167252</v>
      </c>
      <c r="E229" s="616"/>
      <c r="F229" s="616"/>
      <c r="G229" s="616"/>
      <c r="H229" s="616"/>
      <c r="I229" s="616"/>
      <c r="J229" s="616"/>
      <c r="K229" s="1670">
        <f>SUM(K215:K228)</f>
        <v>167252</v>
      </c>
      <c r="L229" s="1670">
        <f>SUM(L215:L228)</f>
        <v>183206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f>3793+2115</f>
        <v>5908</v>
      </c>
      <c r="E233" s="616"/>
      <c r="F233" s="616"/>
      <c r="G233" s="616"/>
      <c r="H233" s="616"/>
      <c r="I233" s="616"/>
      <c r="J233" s="616"/>
      <c r="K233" s="1671">
        <f t="shared" si="20"/>
        <v>5908</v>
      </c>
      <c r="L233" s="466">
        <v>2500</v>
      </c>
    </row>
    <row r="234" spans="1:12" x14ac:dyDescent="0.2">
      <c r="A234" s="1504" t="s">
        <v>198</v>
      </c>
      <c r="B234" s="614">
        <v>2130</v>
      </c>
      <c r="C234" s="616"/>
      <c r="D234" s="466">
        <f>3188+3462</f>
        <v>6650</v>
      </c>
      <c r="E234" s="616"/>
      <c r="F234" s="616"/>
      <c r="G234" s="616"/>
      <c r="H234" s="616"/>
      <c r="I234" s="616"/>
      <c r="J234" s="616"/>
      <c r="K234" s="1671">
        <f t="shared" si="20"/>
        <v>6650</v>
      </c>
      <c r="L234" s="466">
        <v>7000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f>2510+1950</f>
        <v>4460</v>
      </c>
      <c r="E236" s="616"/>
      <c r="F236" s="616"/>
      <c r="G236" s="616"/>
      <c r="H236" s="616"/>
      <c r="I236" s="616"/>
      <c r="J236" s="616"/>
      <c r="K236" s="1671">
        <f t="shared" si="20"/>
        <v>4460</v>
      </c>
      <c r="L236" s="466">
        <v>1400</v>
      </c>
    </row>
    <row r="237" spans="1:12" x14ac:dyDescent="0.2">
      <c r="A237" s="1504" t="s">
        <v>165</v>
      </c>
      <c r="B237" s="614">
        <v>2190</v>
      </c>
      <c r="C237" s="616"/>
      <c r="D237" s="466">
        <f>127+108</f>
        <v>235</v>
      </c>
      <c r="E237" s="616"/>
      <c r="F237" s="616"/>
      <c r="G237" s="616"/>
      <c r="H237" s="616"/>
      <c r="I237" s="616"/>
      <c r="J237" s="616"/>
      <c r="K237" s="1671">
        <f t="shared" si="20"/>
        <v>235</v>
      </c>
      <c r="L237" s="466">
        <v>390</v>
      </c>
    </row>
    <row r="238" spans="1:12" ht="12.75" customHeight="1" thickBot="1" x14ac:dyDescent="0.25">
      <c r="A238" s="1668" t="s">
        <v>560</v>
      </c>
      <c r="B238" s="1675" t="s">
        <v>716</v>
      </c>
      <c r="C238" s="616"/>
      <c r="D238" s="1670">
        <f>SUM(D232:D237)</f>
        <v>17253</v>
      </c>
      <c r="E238" s="616"/>
      <c r="F238" s="616"/>
      <c r="G238" s="616"/>
      <c r="H238" s="616"/>
      <c r="I238" s="616"/>
      <c r="J238" s="616"/>
      <c r="K238" s="1670">
        <f>SUM(K232:K237)</f>
        <v>17253</v>
      </c>
      <c r="L238" s="1670">
        <f>SUM(L232:L237)</f>
        <v>11290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1118+517</f>
        <v>1635</v>
      </c>
      <c r="E240" s="616"/>
      <c r="F240" s="616"/>
      <c r="G240" s="616"/>
      <c r="H240" s="616"/>
      <c r="I240" s="616"/>
      <c r="J240" s="616"/>
      <c r="K240" s="1672">
        <f>D240</f>
        <v>1635</v>
      </c>
      <c r="L240" s="481">
        <v>712</v>
      </c>
    </row>
    <row r="241" spans="1:12" x14ac:dyDescent="0.2">
      <c r="A241" s="1504" t="s">
        <v>815</v>
      </c>
      <c r="B241" s="614">
        <v>2220</v>
      </c>
      <c r="C241" s="616"/>
      <c r="D241" s="466">
        <f>4357+4713</f>
        <v>9070</v>
      </c>
      <c r="E241" s="616"/>
      <c r="F241" s="616"/>
      <c r="G241" s="616"/>
      <c r="H241" s="616"/>
      <c r="I241" s="616"/>
      <c r="J241" s="616"/>
      <c r="K241" s="1672">
        <f>D241</f>
        <v>9070</v>
      </c>
      <c r="L241" s="466">
        <v>9560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10705</v>
      </c>
      <c r="E243" s="616"/>
      <c r="F243" s="616"/>
      <c r="G243" s="616"/>
      <c r="H243" s="616"/>
      <c r="I243" s="616"/>
      <c r="J243" s="616"/>
      <c r="K243" s="1670">
        <f>SUM(K240:K242)</f>
        <v>10705</v>
      </c>
      <c r="L243" s="1670">
        <f>SUM(L240:L242)</f>
        <v>10272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153+99</f>
        <v>252</v>
      </c>
      <c r="E245" s="616"/>
      <c r="F245" s="616"/>
      <c r="G245" s="616"/>
      <c r="H245" s="616"/>
      <c r="I245" s="616"/>
      <c r="J245" s="616"/>
      <c r="K245" s="1672">
        <f>D245</f>
        <v>252</v>
      </c>
      <c r="L245" s="481">
        <v>450</v>
      </c>
    </row>
    <row r="246" spans="1:12" x14ac:dyDescent="0.2">
      <c r="A246" s="1504" t="s">
        <v>818</v>
      </c>
      <c r="B246" s="614">
        <v>2320</v>
      </c>
      <c r="C246" s="616"/>
      <c r="D246" s="466">
        <f>10848+3795</f>
        <v>14643</v>
      </c>
      <c r="E246" s="616"/>
      <c r="F246" s="616"/>
      <c r="G246" s="616"/>
      <c r="H246" s="616"/>
      <c r="I246" s="616"/>
      <c r="J246" s="616"/>
      <c r="K246" s="1672">
        <f t="shared" ref="K246:K256" si="21">D246</f>
        <v>14643</v>
      </c>
      <c r="L246" s="466">
        <v>9000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f>756+196</f>
        <v>952</v>
      </c>
      <c r="E254" s="616"/>
      <c r="F254" s="616"/>
      <c r="G254" s="616"/>
      <c r="H254" s="616"/>
      <c r="I254" s="616"/>
      <c r="J254" s="616"/>
      <c r="K254" s="1672">
        <f t="shared" si="21"/>
        <v>952</v>
      </c>
      <c r="L254" s="466">
        <v>1150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15847</v>
      </c>
      <c r="E257" s="616"/>
      <c r="F257" s="616"/>
      <c r="G257" s="616"/>
      <c r="H257" s="616"/>
      <c r="I257" s="616"/>
      <c r="J257" s="616"/>
      <c r="K257" s="1670">
        <f>SUM(K245:K256)</f>
        <v>15847</v>
      </c>
      <c r="L257" s="1670">
        <f>SUM(L245:L256)</f>
        <v>10600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22938+20438</f>
        <v>43376</v>
      </c>
      <c r="E259" s="616"/>
      <c r="F259" s="616"/>
      <c r="G259" s="616"/>
      <c r="H259" s="616"/>
      <c r="I259" s="616"/>
      <c r="J259" s="616"/>
      <c r="K259" s="1672">
        <f>D259</f>
        <v>43376</v>
      </c>
      <c r="L259" s="481">
        <v>47040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43376</v>
      </c>
      <c r="E261" s="616"/>
      <c r="F261" s="616"/>
      <c r="G261" s="616"/>
      <c r="H261" s="616"/>
      <c r="I261" s="616"/>
      <c r="J261" s="616"/>
      <c r="K261" s="1670">
        <f>SUM(K259:K260)</f>
        <v>43376</v>
      </c>
      <c r="L261" s="1670">
        <f>SUM(L259:L260)</f>
        <v>47040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5008+5872</f>
        <v>10880</v>
      </c>
      <c r="E264" s="616"/>
      <c r="F264" s="616"/>
      <c r="G264" s="616"/>
      <c r="H264" s="616"/>
      <c r="I264" s="616"/>
      <c r="J264" s="616"/>
      <c r="K264" s="1672">
        <f t="shared" ref="K264:K269" si="22">D264</f>
        <v>10880</v>
      </c>
      <c r="L264" s="466">
        <v>11300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32440+35451</f>
        <v>67891</v>
      </c>
      <c r="E266" s="616"/>
      <c r="F266" s="616"/>
      <c r="G266" s="616"/>
      <c r="H266" s="616"/>
      <c r="I266" s="616"/>
      <c r="J266" s="616"/>
      <c r="K266" s="1672">
        <f t="shared" si="22"/>
        <v>67891</v>
      </c>
      <c r="L266" s="466">
        <v>71100</v>
      </c>
    </row>
    <row r="267" spans="1:14" x14ac:dyDescent="0.2">
      <c r="A267" s="1504" t="s">
        <v>953</v>
      </c>
      <c r="B267" s="614">
        <v>2550</v>
      </c>
      <c r="C267" s="616"/>
      <c r="D267" s="466">
        <f>52008+50829</f>
        <v>102837</v>
      </c>
      <c r="E267" s="616"/>
      <c r="F267" s="616"/>
      <c r="G267" s="616"/>
      <c r="H267" s="616"/>
      <c r="I267" s="616"/>
      <c r="J267" s="616"/>
      <c r="K267" s="1672">
        <f t="shared" si="22"/>
        <v>102837</v>
      </c>
      <c r="L267" s="466">
        <v>107885</v>
      </c>
    </row>
    <row r="268" spans="1:14" x14ac:dyDescent="0.2">
      <c r="A268" s="1504" t="s">
        <v>100</v>
      </c>
      <c r="B268" s="614">
        <v>2560</v>
      </c>
      <c r="C268" s="616"/>
      <c r="D268" s="466">
        <f>17872+19277</f>
        <v>37149</v>
      </c>
      <c r="E268" s="616"/>
      <c r="F268" s="616"/>
      <c r="G268" s="616"/>
      <c r="H268" s="616"/>
      <c r="I268" s="616"/>
      <c r="J268" s="616"/>
      <c r="K268" s="1672">
        <f t="shared" si="22"/>
        <v>37149</v>
      </c>
      <c r="L268" s="466">
        <v>41800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218757</v>
      </c>
      <c r="E270" s="616"/>
      <c r="F270" s="616"/>
      <c r="G270" s="616"/>
      <c r="H270" s="616"/>
      <c r="I270" s="616"/>
      <c r="J270" s="616"/>
      <c r="K270" s="1670">
        <f>SUM(K263:K269)</f>
        <v>218757</v>
      </c>
      <c r="L270" s="1670">
        <f>SUM(L263:L269)</f>
        <v>232085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f>6091+6876</f>
        <v>12967</v>
      </c>
      <c r="E276" s="616"/>
      <c r="F276" s="616"/>
      <c r="G276" s="616"/>
      <c r="H276" s="616"/>
      <c r="I276" s="616"/>
      <c r="J276" s="616"/>
      <c r="K276" s="1672">
        <f>D276</f>
        <v>12967</v>
      </c>
      <c r="L276" s="466">
        <v>11000</v>
      </c>
    </row>
    <row r="277" spans="1:12" ht="12.75" customHeight="1" thickBot="1" x14ac:dyDescent="0.25">
      <c r="A277" s="1691" t="s">
        <v>37</v>
      </c>
      <c r="B277" s="1669" t="s">
        <v>36</v>
      </c>
      <c r="C277" s="616"/>
      <c r="D277" s="1670">
        <f>SUM(D272:D276)</f>
        <v>12967</v>
      </c>
      <c r="E277" s="616"/>
      <c r="F277" s="616"/>
      <c r="G277" s="616"/>
      <c r="H277" s="616"/>
      <c r="I277" s="616"/>
      <c r="J277" s="616"/>
      <c r="K277" s="1670">
        <f>SUM(K272:K276)</f>
        <v>12967</v>
      </c>
      <c r="L277" s="1670">
        <f>SUM(L272:L276)</f>
        <v>11000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318905</v>
      </c>
      <c r="E279" s="616"/>
      <c r="F279" s="616"/>
      <c r="G279" s="616"/>
      <c r="H279" s="616"/>
      <c r="I279" s="616"/>
      <c r="J279" s="616"/>
      <c r="K279" s="1677">
        <f>SUM(K238,K243,K257,K261,K270,K277,K278)</f>
        <v>318905</v>
      </c>
      <c r="L279" s="1677">
        <f>SUM(L238,L243,L257,L261,L270,L277,L278)</f>
        <v>322287</v>
      </c>
    </row>
    <row r="280" spans="1:12" ht="15.75" customHeight="1" thickTop="1" thickBot="1" x14ac:dyDescent="0.25">
      <c r="A280" s="1624" t="s">
        <v>875</v>
      </c>
      <c r="B280" s="1613">
        <v>3000</v>
      </c>
      <c r="C280" s="616"/>
      <c r="D280" s="576">
        <f>2260+2467</f>
        <v>4727</v>
      </c>
      <c r="E280" s="616"/>
      <c r="F280" s="616"/>
      <c r="G280" s="616"/>
      <c r="H280" s="616"/>
      <c r="I280" s="616"/>
      <c r="J280" s="616"/>
      <c r="K280" s="1679">
        <f>D280</f>
        <v>4727</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490884</v>
      </c>
      <c r="E295" s="616"/>
      <c r="F295" s="616"/>
      <c r="G295" s="616"/>
      <c r="H295" s="1670">
        <f>H293</f>
        <v>0</v>
      </c>
      <c r="I295" s="616"/>
      <c r="J295" s="616"/>
      <c r="K295" s="1670">
        <f>SUM(K229,K279,K280,K285,K293,K294)</f>
        <v>490884</v>
      </c>
      <c r="L295" s="1670">
        <f>SUM(L229,L279,L280,L285,L293,L294)</f>
        <v>505493</v>
      </c>
    </row>
    <row r="296" spans="1:14" ht="13.5" thickTop="1" x14ac:dyDescent="0.2">
      <c r="A296" s="2180" t="s">
        <v>996</v>
      </c>
      <c r="B296" s="2181"/>
      <c r="C296" s="616"/>
      <c r="D296" s="618"/>
      <c r="E296" s="616"/>
      <c r="F296" s="616"/>
      <c r="G296" s="616"/>
      <c r="H296" s="687"/>
      <c r="I296" s="616"/>
      <c r="J296" s="616"/>
      <c r="K296" s="1684">
        <f>'Revenues 9-14'!G268-'Expenditures 15-22'!K295</f>
        <v>-14127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9548486</v>
      </c>
      <c r="H301" s="466"/>
      <c r="I301" s="467"/>
      <c r="J301" s="467"/>
      <c r="K301" s="1671">
        <f>SUM(C301:J301)</f>
        <v>9548486</v>
      </c>
      <c r="L301" s="467">
        <v>9600000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9548486</v>
      </c>
      <c r="H303" s="1677">
        <f t="shared" si="23"/>
        <v>0</v>
      </c>
      <c r="I303" s="1677">
        <f t="shared" si="23"/>
        <v>0</v>
      </c>
      <c r="J303" s="1677">
        <f t="shared" si="23"/>
        <v>0</v>
      </c>
      <c r="K303" s="1677">
        <f t="shared" si="23"/>
        <v>9548486</v>
      </c>
      <c r="L303" s="1677">
        <f t="shared" si="23"/>
        <v>9600000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9548486</v>
      </c>
      <c r="H312" s="1670">
        <f>SUM(H303,H310)</f>
        <v>0</v>
      </c>
      <c r="I312" s="1670">
        <f>SUM(I303)</f>
        <v>0</v>
      </c>
      <c r="J312" s="1670">
        <f>SUM(J303)</f>
        <v>0</v>
      </c>
      <c r="K312" s="1670">
        <f>SUM(K303,K310,K311)</f>
        <v>9548486</v>
      </c>
      <c r="L312" s="1670">
        <f>SUM(L303,L310,L311)</f>
        <v>9600000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-9404181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73823</v>
      </c>
      <c r="F320" s="467"/>
      <c r="G320" s="467"/>
      <c r="H320" s="467"/>
      <c r="I320" s="467"/>
      <c r="J320" s="467"/>
      <c r="K320" s="1671">
        <f t="shared" ref="K320:K327" si="24">SUM(C320:J320)</f>
        <v>73823</v>
      </c>
      <c r="L320" s="467">
        <v>70000</v>
      </c>
      <c r="M320" s="665"/>
      <c r="N320" s="665"/>
    </row>
    <row r="321" spans="1:14" s="674" customFormat="1" x14ac:dyDescent="0.2">
      <c r="A321" s="1519" t="s">
        <v>300</v>
      </c>
      <c r="B321" s="697" t="s">
        <v>283</v>
      </c>
      <c r="C321" s="467"/>
      <c r="D321" s="467"/>
      <c r="E321" s="467">
        <v>11718</v>
      </c>
      <c r="F321" s="467"/>
      <c r="G321" s="467"/>
      <c r="H321" s="467"/>
      <c r="I321" s="467"/>
      <c r="J321" s="467"/>
      <c r="K321" s="1671">
        <f t="shared" si="24"/>
        <v>11718</v>
      </c>
      <c r="L321" s="467">
        <v>12000</v>
      </c>
      <c r="M321" s="665"/>
      <c r="N321" s="665"/>
    </row>
    <row r="322" spans="1:14" s="674" customFormat="1" x14ac:dyDescent="0.2">
      <c r="A322" s="1519" t="s">
        <v>238</v>
      </c>
      <c r="B322" s="697" t="s">
        <v>284</v>
      </c>
      <c r="C322" s="467"/>
      <c r="D322" s="467"/>
      <c r="E322" s="467">
        <v>106702</v>
      </c>
      <c r="F322" s="467"/>
      <c r="G322" s="467"/>
      <c r="H322" s="467"/>
      <c r="I322" s="467"/>
      <c r="J322" s="467"/>
      <c r="K322" s="1671">
        <f t="shared" si="24"/>
        <v>106702</v>
      </c>
      <c r="L322" s="467">
        <v>106000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840681</v>
      </c>
      <c r="D325" s="467"/>
      <c r="E325" s="467">
        <v>44402</v>
      </c>
      <c r="F325" s="467">
        <v>1617</v>
      </c>
      <c r="G325" s="467">
        <v>17824</v>
      </c>
      <c r="H325" s="467"/>
      <c r="I325" s="467"/>
      <c r="J325" s="467"/>
      <c r="K325" s="1671">
        <f t="shared" si="24"/>
        <v>904524</v>
      </c>
      <c r="L325" s="467">
        <v>928000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20000</v>
      </c>
      <c r="F327" s="467"/>
      <c r="G327" s="467"/>
      <c r="H327" s="467"/>
      <c r="I327" s="467"/>
      <c r="J327" s="467"/>
      <c r="K327" s="1671">
        <f t="shared" si="24"/>
        <v>20000</v>
      </c>
      <c r="L327" s="467">
        <v>20000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840681</v>
      </c>
      <c r="D330" s="1670">
        <f t="shared" ref="D330:J330" si="25">SUM(D319:D329)</f>
        <v>0</v>
      </c>
      <c r="E330" s="1670">
        <f t="shared" si="25"/>
        <v>256645</v>
      </c>
      <c r="F330" s="1670">
        <f t="shared" si="25"/>
        <v>1617</v>
      </c>
      <c r="G330" s="1670">
        <f t="shared" si="25"/>
        <v>17824</v>
      </c>
      <c r="H330" s="1670">
        <f t="shared" si="25"/>
        <v>0</v>
      </c>
      <c r="I330" s="1670">
        <f t="shared" si="25"/>
        <v>0</v>
      </c>
      <c r="J330" s="1670">
        <f t="shared" si="25"/>
        <v>0</v>
      </c>
      <c r="K330" s="1670">
        <f>SUM(K319:K329)</f>
        <v>1116767</v>
      </c>
      <c r="L330" s="1670">
        <f>SUM(L319:L329)</f>
        <v>1136000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840681</v>
      </c>
      <c r="D342" s="1670">
        <f>SUM(D330)</f>
        <v>0</v>
      </c>
      <c r="E342" s="1670">
        <f>SUM(E330)</f>
        <v>256645</v>
      </c>
      <c r="F342" s="1670">
        <f>SUM(F330)</f>
        <v>1617</v>
      </c>
      <c r="G342" s="1670">
        <f>SUM(G330)</f>
        <v>17824</v>
      </c>
      <c r="H342" s="1670">
        <f>SUM(H330,H334,H340)</f>
        <v>0</v>
      </c>
      <c r="I342" s="1670">
        <f>SUM(I330)</f>
        <v>0</v>
      </c>
      <c r="J342" s="1670">
        <f>SUM(J330)</f>
        <v>0</v>
      </c>
      <c r="K342" s="1670">
        <f>SUM(K330,K334,K340)</f>
        <v>1116767</v>
      </c>
      <c r="L342" s="1677">
        <f>SUM(L330,L340,L341)</f>
        <v>1136000</v>
      </c>
    </row>
    <row r="343" spans="1:14" ht="12.75" customHeight="1" thickTop="1" x14ac:dyDescent="0.2">
      <c r="A343" s="2166" t="s">
        <v>996</v>
      </c>
      <c r="B343" s="2167"/>
      <c r="C343" s="616"/>
      <c r="D343" s="616"/>
      <c r="E343" s="616"/>
      <c r="F343" s="616"/>
      <c r="G343" s="616"/>
      <c r="H343" s="616"/>
      <c r="I343" s="616"/>
      <c r="J343" s="616"/>
      <c r="K343" s="1684">
        <f>'Revenues 9-14'!J268-'Expenditures 15-22'!K342</f>
        <v>-36347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40009</v>
      </c>
      <c r="H348" s="466"/>
      <c r="I348" s="467"/>
      <c r="J348" s="467"/>
      <c r="K348" s="1671">
        <f>SUM(C348:J348)</f>
        <v>40009</v>
      </c>
      <c r="L348" s="466">
        <v>40010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40009</v>
      </c>
      <c r="H350" s="1670">
        <f t="shared" si="26"/>
        <v>0</v>
      </c>
      <c r="I350" s="1670">
        <f t="shared" si="26"/>
        <v>0</v>
      </c>
      <c r="J350" s="1670">
        <f t="shared" si="26"/>
        <v>0</v>
      </c>
      <c r="K350" s="1670">
        <f t="shared" si="26"/>
        <v>40009</v>
      </c>
      <c r="L350" s="1670">
        <f t="shared" si="26"/>
        <v>40010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40009</v>
      </c>
      <c r="H352" s="1670">
        <f t="shared" si="27"/>
        <v>0</v>
      </c>
      <c r="I352" s="1670">
        <f t="shared" si="27"/>
        <v>0</v>
      </c>
      <c r="J352" s="1670">
        <f t="shared" si="27"/>
        <v>0</v>
      </c>
      <c r="K352" s="1670">
        <f t="shared" si="27"/>
        <v>40009</v>
      </c>
      <c r="L352" s="1670">
        <f t="shared" si="27"/>
        <v>40010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v>4966</v>
      </c>
      <c r="I356" s="701"/>
      <c r="J356" s="616"/>
      <c r="K356" s="1740">
        <f>H356</f>
        <v>4966</v>
      </c>
      <c r="L356" s="479"/>
    </row>
    <row r="357" spans="1:14" ht="12.75" customHeight="1" thickBot="1" x14ac:dyDescent="0.25">
      <c r="A357" s="1668" t="s">
        <v>1487</v>
      </c>
      <c r="B357" s="1669" t="s">
        <v>860</v>
      </c>
      <c r="C357" s="616"/>
      <c r="D357" s="616"/>
      <c r="E357" s="616"/>
      <c r="F357" s="616"/>
      <c r="G357" s="616"/>
      <c r="H357" s="1688">
        <f>SUM(H354:H356)</f>
        <v>4966</v>
      </c>
      <c r="I357" s="701"/>
      <c r="J357" s="616"/>
      <c r="K357" s="1688">
        <f>SUM(K354:K356)</f>
        <v>4966</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40009</v>
      </c>
      <c r="H367" s="1670">
        <f t="shared" si="28"/>
        <v>4966</v>
      </c>
      <c r="I367" s="1670">
        <f t="shared" si="28"/>
        <v>0</v>
      </c>
      <c r="J367" s="1670">
        <f t="shared" si="28"/>
        <v>0</v>
      </c>
      <c r="K367" s="1670">
        <f t="shared" si="28"/>
        <v>44975</v>
      </c>
      <c r="L367" s="1670">
        <f t="shared" si="28"/>
        <v>40010</v>
      </c>
    </row>
    <row r="368" spans="1:14" ht="13.5" thickTop="1" x14ac:dyDescent="0.2">
      <c r="A368" s="2180" t="s">
        <v>996</v>
      </c>
      <c r="B368" s="2181"/>
      <c r="C368" s="654"/>
      <c r="D368" s="654"/>
      <c r="E368" s="626"/>
      <c r="F368" s="626"/>
      <c r="G368" s="626"/>
      <c r="H368" s="626"/>
      <c r="I368" s="626"/>
      <c r="J368" s="623"/>
      <c r="K368" s="1671">
        <f>'Revenues 9-14'!K268-'Expenditures 15-22'!K367</f>
        <v>28422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terms/"/>
    <ds:schemaRef ds:uri="4d435f69-8686-490b-bd6d-b153bf22ab50"/>
    <ds:schemaRef ds:uri="http://purl.org/dc/dcmityp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2019-10-02T21:00:39Z</cp:lastPrinted>
  <dcterms:created xsi:type="dcterms:W3CDTF">2003-10-29T19:06:34Z</dcterms:created>
  <dcterms:modified xsi:type="dcterms:W3CDTF">2019-11-26T19:55:01Z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