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296EE72-568E-4C83-A9FB-E0E2065F216D}" xr6:coauthVersionLast="36" xr6:coauthVersionMax="36" xr10:uidLastSave="{00000000-0000-0000-0000-000000000000}"/>
  <bookViews>
    <workbookView xWindow="1530" yWindow="30" windowWidth="33135" windowHeight="166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5" i="181" l="1"/>
  <c r="D24" i="181"/>
  <c r="D23" i="181"/>
  <c r="D26" i="181"/>
  <c r="D22" i="181"/>
  <c r="D21" i="181"/>
  <c r="D20" i="181"/>
  <c r="D19" i="181"/>
  <c r="D18" i="181"/>
  <c r="D17" i="181"/>
  <c r="D8" i="11" l="1"/>
  <c r="J32" i="8"/>
  <c r="E16" i="7" l="1"/>
  <c r="E14" i="7"/>
  <c r="E13" i="7"/>
  <c r="E12" i="7"/>
  <c r="E11" i="7"/>
  <c r="E10" i="7"/>
  <c r="E8" i="7"/>
  <c r="E7" i="7"/>
  <c r="E6" i="7"/>
  <c r="E5" i="7"/>
  <c r="E4" i="7"/>
  <c r="D223" i="29"/>
  <c r="D278" i="29"/>
  <c r="D268" i="29"/>
  <c r="D267" i="29"/>
  <c r="D266" i="29"/>
  <c r="D264" i="29"/>
  <c r="D259" i="29"/>
  <c r="D245" i="29"/>
  <c r="D234" i="29"/>
  <c r="D215" i="29"/>
  <c r="C39" i="3"/>
  <c r="H14" i="29"/>
  <c r="F14" i="29"/>
  <c r="E14" i="29"/>
  <c r="L4" i="3"/>
  <c r="L38" i="3"/>
  <c r="L33" i="3"/>
  <c r="G39" i="3"/>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C252" i="5"/>
  <c r="B7761" i="106"/>
  <c r="D7761" i="106" s="1"/>
  <c r="L127" i="29"/>
  <c r="L129" i="29" s="1"/>
  <c r="L139" i="29"/>
  <c r="L149" i="29"/>
  <c r="I7" i="145"/>
  <c r="I6" i="145"/>
  <c r="D78" i="36"/>
  <c r="K75" i="29"/>
  <c r="K130" i="29"/>
  <c r="K185" i="29"/>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K69" i="29"/>
  <c r="B1136" i="106" s="1"/>
  <c r="D1136" i="106" s="1"/>
  <c r="K70" i="29"/>
  <c r="B1137" i="106" s="1"/>
  <c r="D1137" i="106" s="1"/>
  <c r="D1138" i="106"/>
  <c r="K71" i="29"/>
  <c r="B1139" i="106" s="1"/>
  <c r="D1139" i="106" s="1"/>
  <c r="D1140" i="106"/>
  <c r="K73" i="29"/>
  <c r="B1142" i="106" s="1"/>
  <c r="D1142" i="106" s="1"/>
  <c r="K78" i="29"/>
  <c r="B2973" i="106" s="1"/>
  <c r="D2973" i="106" s="1"/>
  <c r="K79" i="29"/>
  <c r="K80" i="29"/>
  <c r="K81" i="29"/>
  <c r="K82" i="29"/>
  <c r="K83" i="29"/>
  <c r="K93" i="29"/>
  <c r="K94" i="29"/>
  <c r="K95" i="29"/>
  <c r="K96" i="29"/>
  <c r="K97" i="29"/>
  <c r="K98" i="29"/>
  <c r="K99" i="29"/>
  <c r="K101" i="29"/>
  <c r="K105" i="29"/>
  <c r="K106" i="29"/>
  <c r="B1147" i="106" s="1"/>
  <c r="D1147" i="106" s="1"/>
  <c r="D1148" i="106"/>
  <c r="K109" i="29"/>
  <c r="B1149" i="106" s="1"/>
  <c r="D1149" i="106" s="1"/>
  <c r="D1150" i="106"/>
  <c r="K107" i="29"/>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K192" i="29"/>
  <c r="K193" i="29"/>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K249" i="29"/>
  <c r="K250" i="29"/>
  <c r="K251" i="29"/>
  <c r="K252" i="29"/>
  <c r="K253" i="29"/>
  <c r="K254" i="29"/>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6" i="106"/>
  <c r="D2976" i="106" s="1"/>
  <c r="B2977" i="106"/>
  <c r="D2977"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0" i="106"/>
  <c r="D3010"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5" i="106"/>
  <c r="D6285" i="106" s="1"/>
  <c r="B6286" i="106"/>
  <c r="D6286" i="106" s="1"/>
  <c r="B6287" i="106"/>
  <c r="D6287"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J210" i="29"/>
  <c r="B7072" i="106" s="1"/>
  <c r="D7072" i="106" s="1"/>
  <c r="B7073" i="106"/>
  <c r="D7073" i="106" s="1"/>
  <c r="B7074" i="106"/>
  <c r="D7074" i="106" s="1"/>
  <c r="B7075" i="106"/>
  <c r="D7075" i="106" s="1"/>
  <c r="B7076" i="106"/>
  <c r="D7076" i="106" s="1"/>
  <c r="B7077" i="106"/>
  <c r="D7077" i="106" s="1"/>
  <c r="B7078" i="106"/>
  <c r="D7078" i="106" s="1"/>
  <c r="B7079" i="106"/>
  <c r="D7079" i="106" s="1"/>
  <c r="B7080" i="106"/>
  <c r="D7080" i="106" s="1"/>
  <c r="B7081" i="106"/>
  <c r="D7081" i="106" s="1"/>
  <c r="B7082" i="106"/>
  <c r="D7082" i="106" s="1"/>
  <c r="B7083" i="106"/>
  <c r="D7083" i="106" s="1"/>
  <c r="B7084" i="106"/>
  <c r="D7084" i="106" s="1"/>
  <c r="B7085" i="106"/>
  <c r="D7085" i="106" s="1"/>
  <c r="B7086" i="106"/>
  <c r="D7086" i="106" s="1"/>
  <c r="B7087" i="106"/>
  <c r="D7087" i="106" s="1"/>
  <c r="B7088" i="106"/>
  <c r="D7088" i="106" s="1"/>
  <c r="B7089" i="106"/>
  <c r="D7089" i="106" s="1"/>
  <c r="B7090" i="106"/>
  <c r="D7090" i="106" s="1"/>
  <c r="B7091" i="106"/>
  <c r="D7091" i="106" s="1"/>
  <c r="B7092" i="106"/>
  <c r="D7092" i="106" s="1"/>
  <c r="B7093" i="106"/>
  <c r="D7093" i="106" s="1"/>
  <c r="B7094" i="106"/>
  <c r="D7094"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9" i="36"/>
  <c r="D71" i="36"/>
  <c r="D72" i="36"/>
  <c r="D79" i="36"/>
  <c r="B64" i="127"/>
  <c r="B65" i="127"/>
  <c r="D26" i="108"/>
  <c r="E26" i="108"/>
  <c r="F26" i="108"/>
  <c r="G26" i="108"/>
  <c r="E27" i="108"/>
  <c r="G27" i="108"/>
  <c r="E28" i="108"/>
  <c r="F31" i="108"/>
  <c r="F36" i="108"/>
  <c r="F37" i="108"/>
  <c r="G28" i="108"/>
  <c r="E29" i="108"/>
  <c r="G29" i="108"/>
  <c r="E30" i="108"/>
  <c r="D31" i="108"/>
  <c r="D36" i="108"/>
  <c r="D37" i="108"/>
  <c r="E31" i="108"/>
  <c r="G31" i="108"/>
  <c r="E33" i="108"/>
  <c r="G33" i="108"/>
  <c r="E34" i="108"/>
  <c r="G34" i="108"/>
  <c r="E35" i="108"/>
  <c r="G35" i="108"/>
  <c r="E36" i="108"/>
  <c r="G36" i="108"/>
  <c r="E37" i="108"/>
  <c r="G37" i="108"/>
  <c r="E38" i="108"/>
  <c r="G38"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F38" i="34"/>
  <c r="C39" i="34"/>
  <c r="D39" i="34"/>
  <c r="C40" i="34"/>
  <c r="D40" i="34"/>
  <c r="C41" i="34"/>
  <c r="D41" i="34"/>
  <c r="C42" i="34"/>
  <c r="D42" i="34"/>
  <c r="F42" i="34"/>
  <c r="C43" i="34"/>
  <c r="D43" i="34"/>
  <c r="C44" i="34"/>
  <c r="D44" i="34"/>
  <c r="F44" i="34"/>
  <c r="C45" i="34"/>
  <c r="D45" i="34"/>
  <c r="C46" i="34"/>
  <c r="D46" i="34"/>
  <c r="F46" i="34"/>
  <c r="C47" i="34"/>
  <c r="D47" i="34"/>
  <c r="C48" i="34"/>
  <c r="D48" i="34"/>
  <c r="C49" i="34"/>
  <c r="D49" i="34"/>
  <c r="F49" i="34"/>
  <c r="C50" i="34"/>
  <c r="D50" i="34"/>
  <c r="F50" i="34"/>
  <c r="C51" i="34"/>
  <c r="D51" i="34"/>
  <c r="C52" i="34"/>
  <c r="F52" i="34"/>
  <c r="C53" i="34"/>
  <c r="D53" i="34"/>
  <c r="C56" i="34"/>
  <c r="F56" i="34"/>
  <c r="C57" i="34"/>
  <c r="D57" i="34"/>
  <c r="C61" i="34"/>
  <c r="C62" i="34"/>
  <c r="F62" i="34"/>
  <c r="C63" i="34"/>
  <c r="D63" i="34"/>
  <c r="C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C14" i="4"/>
  <c r="B2558" i="106" s="1"/>
  <c r="D2558" i="106" s="1"/>
  <c r="D14" i="4"/>
  <c r="B2570" i="106" s="1"/>
  <c r="D2570" i="106" s="1"/>
  <c r="F14" i="4"/>
  <c r="B2597" i="106" s="1"/>
  <c r="D2597" i="106" s="1"/>
  <c r="B2633" i="106"/>
  <c r="D2633" i="106" s="1"/>
  <c r="D7" i="118"/>
  <c r="D8" i="118"/>
  <c r="D9" i="118"/>
  <c r="H14" i="118"/>
  <c r="H19" i="118"/>
  <c r="H24" i="118"/>
  <c r="H28" i="118"/>
  <c r="D22" i="37"/>
  <c r="J22" i="37"/>
  <c r="L22" i="37"/>
  <c r="D24" i="37"/>
  <c r="B4270" i="106" s="1"/>
  <c r="D4270" i="106" s="1"/>
  <c r="D9" i="7"/>
  <c r="B1767" i="106" s="1"/>
  <c r="D1767" i="106" s="1"/>
  <c r="B5752" i="106"/>
  <c r="D5752" i="106" s="1"/>
  <c r="D17" i="7"/>
  <c r="B4104" i="106" s="1"/>
  <c r="D4104" i="106" s="1"/>
  <c r="D68" i="36" l="1"/>
  <c r="D11" i="37"/>
  <c r="F64" i="34"/>
  <c r="F27" i="108"/>
  <c r="H33" i="118"/>
  <c r="K76" i="4"/>
  <c r="B3586" i="106" s="1"/>
  <c r="D3586" i="106" s="1"/>
  <c r="D7245" i="106"/>
  <c r="I210" i="29"/>
  <c r="B7071" i="106" s="1"/>
  <c r="D7071" i="106" s="1"/>
  <c r="D6103" i="106"/>
  <c r="L5" i="11"/>
  <c r="B2056" i="106" s="1"/>
  <c r="D2056" i="106" s="1"/>
  <c r="H365" i="29"/>
  <c r="B7242" i="106" s="1"/>
  <c r="D7242" i="106" s="1"/>
  <c r="F77" i="4"/>
  <c r="B3255" i="106" s="1"/>
  <c r="D3255" i="106" s="1"/>
  <c r="N22" i="3"/>
  <c r="B283" i="106" s="1"/>
  <c r="D283" i="106" s="1"/>
  <c r="F19" i="7"/>
  <c r="B1807" i="106" s="1"/>
  <c r="D1807" i="106" s="1"/>
  <c r="H29" i="118"/>
  <c r="K28" i="118" s="1"/>
  <c r="O27" i="118" s="1"/>
  <c r="O29" i="118" s="1"/>
  <c r="D31" i="36"/>
  <c r="L13" i="11"/>
  <c r="B2060" i="106" s="1"/>
  <c r="D2060" i="106" s="1"/>
  <c r="F28" i="108"/>
  <c r="G30" i="108"/>
  <c r="F34" i="34"/>
  <c r="L342" i="29"/>
  <c r="K184" i="29"/>
  <c r="F13" i="4" s="1"/>
  <c r="B2596" i="106" s="1"/>
  <c r="D2596" i="106" s="1"/>
  <c r="G210" i="29"/>
  <c r="G15" i="145"/>
  <c r="B7235" i="106"/>
  <c r="D7235" i="106" s="1"/>
  <c r="K41" i="3"/>
  <c r="L15" i="11"/>
  <c r="B3459" i="106" s="1"/>
  <c r="D3459" i="106" s="1"/>
  <c r="C129" i="29"/>
  <c r="B1225" i="106" s="1"/>
  <c r="D1225" i="106" s="1"/>
  <c r="L367" i="29"/>
  <c r="C352" i="29"/>
  <c r="B1308" i="106"/>
  <c r="D1308" i="106" s="1"/>
  <c r="E174" i="29"/>
  <c r="B1309" i="106" s="1"/>
  <c r="D130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G170" i="5"/>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D41" i="108"/>
  <c r="E43" i="108"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2" i="106"/>
  <c r="B7230" i="106"/>
  <c r="D7230" i="106" s="1"/>
  <c r="I352" i="29"/>
  <c r="I367" i="29" s="1"/>
  <c r="B7202" i="106"/>
  <c r="D7202" i="106" s="1"/>
  <c r="F342" i="29"/>
  <c r="B7219" i="106" s="1"/>
  <c r="D7219" i="106" s="1"/>
  <c r="B7503" i="106"/>
  <c r="B7531" i="106"/>
  <c r="D7253" i="106"/>
  <c r="B7214" i="106"/>
  <c r="D7214" i="106" s="1"/>
  <c r="B7221" i="106"/>
  <c r="D7221"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F41" i="108" l="1"/>
  <c r="G43" i="108" s="1"/>
  <c r="D7256" i="106"/>
  <c r="D7251" i="106"/>
  <c r="D7250" i="106"/>
  <c r="G6" i="4"/>
  <c r="B2604" i="106" s="1"/>
  <c r="D2604" i="106" s="1"/>
  <c r="N23" i="3"/>
  <c r="B284" i="106" s="1"/>
  <c r="D284" i="106" s="1"/>
  <c r="K342" i="29"/>
  <c r="F13" i="34" s="1"/>
  <c r="B1317" i="106"/>
  <c r="D1317" i="106" s="1"/>
  <c r="C114" i="29"/>
  <c r="B757" i="106" s="1"/>
  <c r="D757" i="106" s="1"/>
  <c r="F174" i="34"/>
  <c r="B5527" i="106"/>
  <c r="D5527" i="106" s="1"/>
  <c r="J16" i="4"/>
  <c r="B6226" i="106" s="1"/>
  <c r="D6226" i="106" s="1"/>
  <c r="L16" i="11"/>
  <c r="B2061" i="106" s="1"/>
  <c r="D2061" i="106" s="1"/>
  <c r="B7215" i="106"/>
  <c r="D7215" i="106" s="1"/>
  <c r="L114" i="29"/>
  <c r="B1365" i="106"/>
  <c r="D1365" i="106" s="1"/>
  <c r="F65" i="34"/>
  <c r="B1996" i="106"/>
  <c r="D1996" i="106" s="1"/>
  <c r="I26" i="12"/>
  <c r="B7741" i="106" s="1"/>
  <c r="D7741"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7224" i="106" l="1"/>
  <c r="D7224" i="106" s="1"/>
  <c r="B1145" i="106"/>
  <c r="D1145"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8" i="4"/>
  <c r="F10" i="4" s="1"/>
  <c r="B4125" i="106" s="1"/>
  <c r="D4125" i="106" s="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A7262" i="106"/>
  <c r="D7261" i="106"/>
  <c r="H16" i="37"/>
  <c r="G78" i="4"/>
  <c r="B2613" i="106"/>
  <c r="D2613" i="106" s="1"/>
  <c r="B2562" i="106"/>
  <c r="D2562" i="106" s="1"/>
  <c r="C78" i="4"/>
  <c r="B10" i="146"/>
  <c r="F9" i="146"/>
  <c r="F10" i="146" s="1"/>
  <c r="E78" i="4"/>
  <c r="B2636" i="106"/>
  <c r="D2636" i="106" s="1"/>
  <c r="D64" i="36"/>
  <c r="J82" i="4"/>
  <c r="B6266" i="106"/>
  <c r="D6266" i="106" s="1"/>
  <c r="F177" i="34" l="1"/>
  <c r="F179" i="34" s="1"/>
  <c r="B3239" i="106"/>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<sst xmlns="http://schemas.openxmlformats.org/spreadsheetml/2006/main" count="5159" uniqueCount="2139">
  <si>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</si>
  <si>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</si>
  <si>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</si>
  <si>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</si>
  <si>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</si>
  <si>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</si>
  <si>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</si>
  <si>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</si>
  <si>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</si>
  <si>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</si>
  <si>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</si>
  <si>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</si>
  <si>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</si>
  <si>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</si>
  <si>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</si>
  <si>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</si>
  <si>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</si>
  <si>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</si>
  <si>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</si>
  <si>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</si>
  <si>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</si>
  <si>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</si>
  <si>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</si>
  <si>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</si>
  <si>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</si>
  <si>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</si>
  <si>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</si>
  <si>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</si>
  <si>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</si>
  <si>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</si>
  <si>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</si>
  <si>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</si>
  <si>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</si>
  <si>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</si>
  <si>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</si>
  <si>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</si>
  <si>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</si>
  <si>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</si>
  <si>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</si>
  <si>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</si>
  <si>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</si>
  <si>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</si>
  <si>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</si>
  <si>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</si>
  <si>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</si>
  <si>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</si>
  <si>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</si>
  <si>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</si>
  <si>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</si>
  <si>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</si>
  <si>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</si>
  <si>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</si>
  <si>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</si>
  <si>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</si>
  <si>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</si>
  <si>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</si>
  <si>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</si>
  <si>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</si>
  <si>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</si>
  <si>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</si>
  <si>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</si>
  <si>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</si>
  <si>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</si>
  <si>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</si>
  <si>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</si>
  <si>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</si>
  <si>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</si>
  <si>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</si>
  <si>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</si>
  <si>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</si>
  <si>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</si>
  <si>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</si>
  <si>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</si>
  <si>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</si>
  <si>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</si>
  <si>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</si>
  <si>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</si>
  <si>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</si>
  <si>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</si>
  <si>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</si>
  <si>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</si>
  <si>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</si>
  <si>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</si>
  <si>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</si>
  <si>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</si>
  <si>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</si>
  <si>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</si>
  <si>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</si>
  <si>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</si>
  <si>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</si>
  <si>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</si>
  <si>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</si>
  <si>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</si>
  <si>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</si>
  <si>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</si>
  <si>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</si>
  <si>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</si>
  <si>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</si>
  <si>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</si>
  <si>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</si>
  <si>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</si>
  <si>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</si>
  <si>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</si>
  <si>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</si>
  <si>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</si>
  <si>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</si>
  <si>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</si>
  <si>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</si>
  <si>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</si>
  <si>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</si>
  <si>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</si>
  <si>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</si>
  <si>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</si>
  <si>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</si>
  <si>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</si>
  <si>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</si>
  <si>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</si>
  <si>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</si>
  <si>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</si>
  <si>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</si>
  <si>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</si>
  <si>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</si>
  <si>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</si>
  <si>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</si>
  <si>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</si>
  <si>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</si>
  <si>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</si>
  <si>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</si>
  <si>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</si>
  <si>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</si>
  <si>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</si>
  <si>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</si>
  <si>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</si>
  <si>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</si>
  <si>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</si>
  <si>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</si>
  <si>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</si>
  <si>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</si>
  <si>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</si>
  <si>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</si>
  <si>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</si>
  <si>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</si>
  <si>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</si>
  <si>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</si>
  <si>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</si>
  <si>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</si>
  <si>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</si>
  <si>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</si>
  <si>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</si>
  <si>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</si>
  <si>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</si>
  <si>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</si>
  <si>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</si>
  <si>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</si>
  <si>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</si>
  <si>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</si>
  <si>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</si>
  <si>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</si>
  <si>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</si>
  <si>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</si>
  <si>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</si>
  <si>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</si>
  <si>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</si>
  <si>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</si>
  <si>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</si>
  <si>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</si>
  <si>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</si>
  <si>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</si>
  <si>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</si>
  <si>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</si>
  <si>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</si>
  <si>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</si>
  <si>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</si>
  <si>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</si>
  <si>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</si>
  <si>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</si>
  <si>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</si>
  <si>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</si>
  <si>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</si>
  <si>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</si>
  <si>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</si>
  <si>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</si>
  <si>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</si>
  <si>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</si>
  <si>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</si>
  <si>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</si>
  <si>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</si>
  <si>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</si>
  <si>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</si>
  <si>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</si>
  <si>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</si>
  <si>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</si>
  <si>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</si>
  <si>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</si>
  <si>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</si>
  <si>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</si>
  <si>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</si>
  <si>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</si>
  <si>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</si>
  <si>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</si>
  <si>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</si>
  <si>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</si>
  <si>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</si>
  <si>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</si>
  <si>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</si>
  <si>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</si>
  <si>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</si>
  <si>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</si>
  <si>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</si>
  <si>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</si>
  <si>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</si>
  <si>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</si>
  <si>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</si>
  <si>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</si>
  <si>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</si>
  <si>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</si>
  <si>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</si>
  <si>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</si>
  <si>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</si>
  <si>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</si>
  <si>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</si>
  <si>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</si>
  <si>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</si>
  <si>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</si>
  <si>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</si>
  <si>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</si>
  <si>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</si>
  <si>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</si>
  <si>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</si>
  <si>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</si>
  <si>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</si>
  <si>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</si>
  <si>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</si>
  <si>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</si>
  <si>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</si>
  <si>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</si>
  <si>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</si>
  <si>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</si>
  <si>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</si>
  <si>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</si>
  <si>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</si>
  <si>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</si>
  <si>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</si>
  <si>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</si>
  <si>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</si>
  <si>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</si>
  <si>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</si>
  <si>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</si>
  <si>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</si>
  <si>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</si>
  <si>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</si>
  <si>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</si>
  <si>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</si>
  <si>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</si>
  <si>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</si>
  <si>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</si>
  <si>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</si>
  <si>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</si>
  <si>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</si>
  <si>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</si>
  <si>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</si>
  <si>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</si>
  <si>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</si>
  <si>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</si>
  <si>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</si>
  <si>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</si>
  <si>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</si>
  <si>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</si>
  <si>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</si>
  <si>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</si>
  <si>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</si>
  <si>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</si>
  <si>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</si>
  <si>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</si>
  <si>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</si>
  <si>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</si>
  <si>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</si>
  <si>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</si>
  <si>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</si>
  <si>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</si>
  <si>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</si>
  <si>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</si>
  <si>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</si>
  <si>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</si>
  <si>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</si>
  <si>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</si>
  <si>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</si>
  <si>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</si>
  <si>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</si>
  <si>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</si>
  <si>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</si>
  <si>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</si>
  <si>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</si>
  <si>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</si>
  <si>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</si>
  <si>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</si>
  <si>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</si>
  <si>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</si>
  <si>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</si>
  <si>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</si>
  <si>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</si>
  <si>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</si>
  <si>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</si>
  <si>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</si>
  <si>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</si>
  <si>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</si>
  <si>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</si>
  <si>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</si>
  <si>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</si>
  <si>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</si>
  <si>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</si>
  <si>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</si>
  <si>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</si>
  <si>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</si>
  <si>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</si>
  <si>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</si>
  <si>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</si>
  <si>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</si>
  <si>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</si>
  <si>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</si>
  <si>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</si>
  <si>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</si>
  <si>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</si>
  <si>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</si>
  <si>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</si>
  <si>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</si>
  <si>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</si>
  <si>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</si>
  <si>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</si>
  <si>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</si>
  <si>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</si>
  <si>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</si>
  <si>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</si>
  <si>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</si>
  <si>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</si>
  <si>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</si>
  <si>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</si>
  <si>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</si>
  <si>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</si>
  <si>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</si>
  <si>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</si>
  <si>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</si>
  <si>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</si>
  <si>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</si>
  <si>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</si>
  <si>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</si>
  <si>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</si>
  <si>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</si>
  <si>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</si>
  <si>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</si>
  <si>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</si>
  <si>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</si>
  <si>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</si>
  <si>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</si>
  <si>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</si>
  <si>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</si>
  <si>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</si>
  <si>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</si>
  <si>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</si>
  <si>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</si>
  <si>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</si>
  <si>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</si>
  <si>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</si>
  <si>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</si>
  <si>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</si>
  <si>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</si>
  <si>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</si>
  <si>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</si>
  <si>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</si>
  <si>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</si>
  <si>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</si>
  <si>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</si>
  <si>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</si>
  <si>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</si>
  <si>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</si>
  <si>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</si>
  <si>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</si>
  <si>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</si>
  <si>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</si>
  <si>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</si>
  <si>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</si>
  <si>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</si>
  <si>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</si>
  <si>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</si>
  <si>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</si>
  <si>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</si>
  <si>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</si>
  <si>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</si>
  <si>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</si>
  <si>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</si>
  <si>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</si>
  <si>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</si>
  <si>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</si>
  <si>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</si>
  <si>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</si>
  <si>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</si>
  <si>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</si>
  <si>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</si>
  <si>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</si>
  <si>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</si>
  <si>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</si>
  <si>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</si>
  <si>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</si>
  <si>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</si>
  <si>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</si>
  <si>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</si>
  <si>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</si>
  <si>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</si>
  <si>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</si>
  <si>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</si>
  <si>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</si>
  <si>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</si>
  <si>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</si>
  <si>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</si>
  <si>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</si>
  <si>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</si>
  <si>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</si>
  <si>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</si>
  <si>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</si>
  <si>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</si>
  <si>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</si>
  <si>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</si>
  <si>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</si>
  <si>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</si>
  <si>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</si>
  <si>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</si>
  <si>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</si>
  <si>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</si>
  <si>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</si>
  <si>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</si>
  <si>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</si>
  <si>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</si>
  <si>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</si>
  <si>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</si>
  <si>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</si>
  <si>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</si>
  <si>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</si>
  <si>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</si>
  <si>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</si>
  <si>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</si>
  <si>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</si>
  <si>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</si>
  <si>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</si>
  <si>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</si>
  <si>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</si>
  <si>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</si>
  <si>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</si>
  <si>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</si>
  <si>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</si>
  <si>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</si>
  <si>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</si>
  <si>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</si>
  <si>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</si>
  <si>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</si>
  <si>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</si>
  <si>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</si>
  <si>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</si>
  <si>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</si>
  <si>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</si>
  <si>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</si>
  <si>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</si>
  <si>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</si>
  <si>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</si>
  <si>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</si>
  <si>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</si>
  <si>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</si>
  <si>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</si>
  <si>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</si>
  <si>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</si>
  <si>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</si>
  <si>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</si>
  <si>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</si>
  <si>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</si>
  <si>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</si>
  <si>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</si>
  <si>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</si>
  <si>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</si>
  <si>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</si>
  <si>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</si>
  <si>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</si>
  <si>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</si>
  <si>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</si>
  <si>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</si>
  <si>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</si>
  <si>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</si>
  <si>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</si>
  <si>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</si>
  <si>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</si>
  <si>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</si>
  <si>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</si>
  <si>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</si>
  <si>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</si>
  <si>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</si>
  <si>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</si>
  <si>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</si>
  <si>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</si>
  <si>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</si>
  <si>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</si>
  <si>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</si>
  <si>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</si>
  <si>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</si>
  <si>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</si>
  <si>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</si>
  <si>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</si>
  <si>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</si>
  <si>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</si>
  <si>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</si>
  <si>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</si>
  <si>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</si>
  <si>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</si>
  <si>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</si>
  <si>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</si>
  <si>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</si>
  <si>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</si>
  <si>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</si>
  <si>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</si>
  <si>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</si>
  <si>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</si>
  <si>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</si>
  <si>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</si>
  <si>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</si>
  <si>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</si>
  <si>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</si>
  <si>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</si>
  <si>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</si>
  <si>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</si>
  <si>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</si>
  <si>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</si>
  <si>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</si>
  <si>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</si>
  <si>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</si>
  <si>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</si>
  <si>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</si>
  <si>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</si>
  <si>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</si>
  <si>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</si>
  <si>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</si>
  <si>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</si>
  <si>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</si>
  <si>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</si>
  <si>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</si>
  <si>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</si>
  <si>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</si>
  <si>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</si>
  <si>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</si>
  <si>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</si>
  <si>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</si>
  <si>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</si>
  <si>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</si>
  <si>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</si>
  <si>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</si>
  <si>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</si>
  <si>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</si>
  <si>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</si>
  <si>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</si>
  <si>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</si>
  <si>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</si>
  <si>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</si>
  <si>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</si>
  <si>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</si>
  <si>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</si>
  <si>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</si>
  <si>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</si>
  <si>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</si>
  <si>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</si>
  <si>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</si>
  <si>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</si>
  <si>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</si>
  <si>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</si>
  <si>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</si>
  <si>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</si>
  <si>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</si>
  <si>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</si>
  <si>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</si>
  <si>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</si>
  <si>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</si>
  <si>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</si>
  <si>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</si>
  <si>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</si>
  <si>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</si>
  <si>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</si>
  <si>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</si>
  <si>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</si>
  <si>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</si>
  <si>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</si>
  <si>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</si>
  <si>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</si>
  <si>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</si>
  <si>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</si>
  <si>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</si>
  <si>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</si>
  <si>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</si>
  <si>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</si>
  <si>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</si>
  <si>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</si>
  <si>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</si>
  <si>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</si>
  <si>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</si>
  <si>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</si>
  <si>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</si>
  <si>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</si>
  <si>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</si>
  <si>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</si>
  <si>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</si>
  <si>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</si>
  <si>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</si>
  <si>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</si>
  <si>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</si>
  <si>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</si>
  <si>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</si>
  <si>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</si>
  <si>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</si>
  <si>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</si>
  <si>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</si>
  <si>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</si>
  <si>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</si>
  <si>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</si>
  <si>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</si>
  <si>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</si>
  <si>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</si>
  <si>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</si>
  <si>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</si>
  <si>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</si>
  <si>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</si>
  <si>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</si>
  <si>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</si>
  <si>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</si>
  <si>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</si>
  <si>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</si>
  <si>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</si>
  <si>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</si>
  <si>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</si>
  <si>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</si>
  <si>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</si>
  <si>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</si>
  <si>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</si>
  <si>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</si>
  <si>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</si>
  <si>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</si>
  <si>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</si>
  <si>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</si>
  <si>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</si>
  <si>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</si>
  <si>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</si>
  <si>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</si>
  <si>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</si>
  <si>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</si>
  <si>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</si>
  <si>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</si>
  <si>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</si>
  <si>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</si>
  <si>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</si>
  <si>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</si>
  <si>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</si>
  <si>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</si>
  <si>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</si>
  <si>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</si>
  <si>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</si>
  <si>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</si>
  <si>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</si>
  <si>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</si>
  <si>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</si>
  <si>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</si>
  <si>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</si>
  <si>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</si>
  <si>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</si>
  <si>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</si>
  <si>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</si>
  <si>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</si>
  <si>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</si>
  <si>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</si>
  <si>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</si>
  <si>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</si>
  <si>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</si>
  <si>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</si>
  <si>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</si>
  <si>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</si>
  <si>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</si>
  <si>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</si>
  <si>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</si>
  <si>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</si>
  <si>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</si>
  <si>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</si>
  <si>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</si>
  <si>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</si>
  <si>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</si>
  <si>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</si>
  <si>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</si>
  <si>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</si>
  <si>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</si>
  <si>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</si>
  <si>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</si>
  <si>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</si>
  <si>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</si>
  <si>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</si>
  <si>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</si>
  <si>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</si>
  <si>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</si>
  <si>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</si>
  <si>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</si>
  <si>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</si>
  <si>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</si>
  <si>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</si>
  <si>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</si>
  <si>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</si>
  <si>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</si>
  <si>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</si>
  <si>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</si>
  <si>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</si>
  <si>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</si>
  <si>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</si>
  <si>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</si>
  <si>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</si>
  <si>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</si>
  <si>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</si>
  <si>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</si>
  <si>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</si>
  <si>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</si>
  <si>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</si>
  <si>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</si>
  <si>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</si>
  <si>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</si>
  <si>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</si>
  <si>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</si>
  <si>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</si>
  <si>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</si>
  <si>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</si>
  <si>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</si>
  <si>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</si>
  <si>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</si>
  <si>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</si>
  <si>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</si>
  <si>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</si>
  <si>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</si>
  <si>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</si>
  <si>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</si>
  <si>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</si>
  <si>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</si>
  <si>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</si>
  <si>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</si>
  <si>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</si>
  <si>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</si>
  <si>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</si>
  <si>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</si>
  <si>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</si>
  <si>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</si>
  <si>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</si>
  <si>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</si>
  <si>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</si>
  <si>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</si>
  <si>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</si>
  <si>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</si>
  <si>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</si>
  <si>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</si>
  <si>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</si>
  <si>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</si>
  <si>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</si>
  <si>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</si>
  <si>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</si>
  <si>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</si>
  <si>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</si>
  <si>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</si>
  <si>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</si>
  <si>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</si>
  <si>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</si>
  <si>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</si>
  <si>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</si>
  <si>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</si>
  <si>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</si>
  <si>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</si>
  <si>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</si>
  <si>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</si>
  <si>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</si>
  <si>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</si>
  <si>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</si>
  <si>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</si>
  <si>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</si>
  <si>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</si>
  <si>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</si>
  <si>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</si>
  <si>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</si>
  <si>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</si>
  <si>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</si>
  <si>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</si>
  <si>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</si>
  <si>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</si>
  <si>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</si>
  <si>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</si>
  <si>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</si>
  <si>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</si>
  <si>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</si>
  <si>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</si>
  <si>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</si>
  <si>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</si>
  <si>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</si>
  <si>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</si>
  <si>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</si>
  <si>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</si>
  <si>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</si>
  <si>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</si>
  <si>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</si>
  <si>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</si>
  <si>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</si>
  <si>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</si>
  <si>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</si>
  <si>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</si>
  <si>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</si>
  <si>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</si>
  <si>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</si>
  <si>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</si>
  <si>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</si>
  <si>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</si>
  <si>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</si>
  <si>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</si>
  <si>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</si>
  <si>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</si>
  <si>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</si>
  <si>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</si>
  <si>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</si>
  <si>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</si>
  <si>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</si>
  <si>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</si>
  <si>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</si>
  <si>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</si>
  <si>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</si>
  <si>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</si>
  <si>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</si>
  <si>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</si>
  <si>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</si>
  <si>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</si>
  <si>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</si>
  <si>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</si>
  <si>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</si>
  <si>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</si>
  <si>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</si>
  <si>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</si>
  <si>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</si>
  <si>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</si>
  <si>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</si>
  <si>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</si>
  <si>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</si>
  <si>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</si>
  <si>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</si>
  <si>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</si>
  <si>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</si>
  <si>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</si>
  <si>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</si>
  <si>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</si>
  <si>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</si>
  <si>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</si>
  <si>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</si>
  <si>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</si>
  <si>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</si>
  <si>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</si>
  <si>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</si>
  <si>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</si>
  <si>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</si>
  <si>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</si>
  <si>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</si>
  <si>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</si>
  <si>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</si>
  <si>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</si>
  <si>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</si>
  <si>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</si>
  <si>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</si>
  <si>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</si>
  <si>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</si>
  <si>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</si>
  <si>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</si>
  <si>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</si>
  <si>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</si>
  <si>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</si>
  <si>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</si>
  <si>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</si>
  <si>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</si>
  <si>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</si>
  <si>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</si>
  <si>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</si>
  <si>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</si>
  <si>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</si>
  <si>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</si>
  <si>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</si>
  <si>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</si>
  <si>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</si>
  <si>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</si>
  <si>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</si>
  <si>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</si>
  <si>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</si>
  <si>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</si>
  <si>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</si>
  <si>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</si>
  <si>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</si>
  <si>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</si>
  <si>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</si>
  <si>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</si>
  <si>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</si>
  <si>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</si>
  <si>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</si>
  <si>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</si>
  <si>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</si>
  <si>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</si>
  <si>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</si>
  <si>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</si>
  <si>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</si>
  <si>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</si>
  <si>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</si>
  <si>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</si>
  <si>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</si>
  <si>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</si>
  <si>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</si>
  <si>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</si>
  <si>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</si>
  <si>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</si>
  <si>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</si>
  <si>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</si>
  <si>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</si>
  <si>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</si>
  <si>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</si>
  <si>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</si>
  <si>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</si>
  <si>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</si>
  <si>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</si>
  <si>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</si>
  <si>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</si>
  <si>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</si>
  <si>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</si>
  <si>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</si>
  <si>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</si>
  <si>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</si>
  <si>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</si>
  <si>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</si>
  <si>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</si>
  <si>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</si>
  <si>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</si>
  <si>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</si>
  <si>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</si>
  <si>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</si>
  <si>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</si>
  <si>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</si>
  <si>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</si>
  <si>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</si>
  <si>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</si>
  <si>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</si>
  <si>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</si>
  <si>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</si>
  <si>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</si>
  <si>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</si>
  <si>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</si>
  <si>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</si>
  <si>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</si>
  <si>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</si>
  <si>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</si>
  <si>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</si>
  <si>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</si>
  <si>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</si>
  <si>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</si>
  <si>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</si>
  <si>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</si>
  <si>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</si>
  <si>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</si>
  <si>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</si>
  <si>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</si>
  <si>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</si>
  <si>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</si>
  <si>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</si>
  <si>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</si>
  <si>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</si>
  <si>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</si>
  <si>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</si>
  <si>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</si>
  <si>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</si>
  <si>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</si>
  <si>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</si>
  <si>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</si>
  <si>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</si>
  <si>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</si>
  <si>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</si>
  <si>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</si>
  <si>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</si>
  <si>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</si>
  <si>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</si>
  <si>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</si>
  <si>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</si>
  <si>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</si>
  <si>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</si>
  <si>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</si>
  <si>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</si>
  <si>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</si>
  <si>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</si>
  <si>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</si>
  <si>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</si>
  <si>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</si>
  <si>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</si>
  <si>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</si>
  <si>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</si>
  <si>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</si>
  <si>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</si>
  <si>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</si>
  <si>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</si>
  <si>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</si>
  <si>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</si>
  <si>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</si>
  <si>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</si>
  <si>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</si>
  <si>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</si>
  <si>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</si>
  <si>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</si>
  <si>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</si>
  <si>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</si>
  <si>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</si>
  <si>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</si>
  <si>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</si>
  <si>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</si>
  <si>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</si>
  <si>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</si>
  <si>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</si>
  <si>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</si>
  <si>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</si>
  <si>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</si>
  <si>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</si>
  <si>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</si>
  <si>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</si>
  <si>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</si>
  <si>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</si>
  <si>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</si>
  <si>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</si>
  <si>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</si>
  <si>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</si>
  <si>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</si>
  <si>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</si>
  <si>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</si>
  <si>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</si>
  <si>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</si>
  <si>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</si>
  <si>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</si>
  <si>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</si>
  <si>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</si>
  <si>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</si>
  <si>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</si>
  <si>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</si>
  <si>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</si>
  <si>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</si>
  <si>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</si>
  <si>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</si>
  <si>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</si>
  <si>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</si>
  <si>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</si>
  <si>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</si>
  <si>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</si>
  <si>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</si>
  <si>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</si>
  <si>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</si>
  <si>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</si>
  <si>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</si>
  <si>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</si>
  <si>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</si>
  <si>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</si>
  <si>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</si>
  <si>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</si>
  <si>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</si>
  <si>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</si>
  <si>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</si>
  <si>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</si>
  <si>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</si>
  <si>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</si>
  <si>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</si>
  <si>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</si>
  <si>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</si>
  <si>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</si>
  <si>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</si>
  <si>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</si>
  <si>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</si>
  <si>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</si>
  <si>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</si>
  <si>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</si>
  <si>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</si>
  <si>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</si>
  <si>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</si>
  <si>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</si>
  <si>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</si>
  <si>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</si>
  <si>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</si>
  <si>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</si>
  <si>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</si>
  <si>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</si>
  <si>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</si>
  <si>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</si>
  <si>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</si>
  <si>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</si>
  <si>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</si>
  <si>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</si>
  <si>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</si>
  <si>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</si>
  <si>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</si>
  <si>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</si>
  <si>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</si>
  <si>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</si>
  <si>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</si>
  <si>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</si>
  <si>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</si>
  <si>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</si>
  <si>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</si>
  <si>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</si>
  <si>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</si>
  <si>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</si>
  <si>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</si>
  <si>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</si>
  <si>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</si>
  <si>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</si>
  <si>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</si>
  <si>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</si>
  <si>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</si>
  <si>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</si>
  <si>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</si>
  <si>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</si>
  <si>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</si>
  <si>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</si>
  <si>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</si>
  <si>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</si>
  <si>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</si>
  <si>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</si>
  <si>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</si>
  <si>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</si>
  <si>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</si>
  <si>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</si>
  <si>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</si>
  <si>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</si>
  <si>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</si>
  <si>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</si>
  <si>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</si>
  <si>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</si>
  <si>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</si>
  <si>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</si>
  <si>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</si>
  <si>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</si>
  <si>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</si>
  <si>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</si>
  <si>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</si>
  <si>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</si>
  <si>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</si>
  <si>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</si>
  <si>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</si>
  <si>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</si>
  <si>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</si>
  <si>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</si>
  <si>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</si>
  <si>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</si>
  <si>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</si>
  <si>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</si>
  <si>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</si>
  <si>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</si>
  <si>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</si>
  <si>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</si>
  <si>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</si>
  <si>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</si>
  <si>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</si>
  <si>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</si>
  <si>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</si>
  <si>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</si>
  <si>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</si>
  <si>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</si>
  <si>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</si>
  <si>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</si>
  <si>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</si>
  <si>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</si>
  <si>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</si>
  <si>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</si>
  <si>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</si>
  <si>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</si>
  <si>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</si>
  <si>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</si>
  <si>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</si>
  <si>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</si>
  <si>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</si>
  <si>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</si>
  <si>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</si>
  <si>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</si>
  <si>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</si>
  <si>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</si>
  <si>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</si>
  <si>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</si>
  <si>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</si>
  <si>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</si>
  <si>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</si>
  <si>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</si>
  <si>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</si>
  <si>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</si>
  <si>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</si>
  <si>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</si>
  <si>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</si>
  <si>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</si>
  <si>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</si>
  <si>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</si>
  <si>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</si>
  <si>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</si>
  <si>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</si>
  <si>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</si>
  <si>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</si>
  <si>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</si>
  <si>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</si>
  <si>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</si>
  <si>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</si>
  <si>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</si>
  <si>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</si>
  <si>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</si>
  <si>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</si>
  <si>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</si>
  <si>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</si>
  <si>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</si>
  <si>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</si>
  <si>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</si>
  <si>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</si>
  <si>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</si>
  <si>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</si>
  <si>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</si>
  <si>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</si>
  <si>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</si>
  <si>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</si>
  <si>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</si>
  <si>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</si>
  <si>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</si>
  <si>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</si>
  <si>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</si>
  <si>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</si>
  <si>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</si>
  <si>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</si>
  <si>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</si>
  <si>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</si>
  <si>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</si>
  <si>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</si>
  <si>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</si>
  <si>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</si>
  <si>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</si>
  <si>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</si>
  <si>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</si>
  <si>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</si>
  <si>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</si>
  <si>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</si>
  <si>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</si>
  <si>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</si>
  <si>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</si>
  <si>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</si>
  <si>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</si>
  <si>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</si>
  <si>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</si>
  <si>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</si>
  <si>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</si>
  <si>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</si>
  <si>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</si>
  <si>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</si>
  <si>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</si>
  <si>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</si>
  <si>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</si>
  <si>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</si>
  <si>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</si>
  <si>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</si>
  <si>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</si>
  <si>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</si>
  <si>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</si>
  <si>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</si>
  <si>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</si>
  <si>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</si>
  <si>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</si>
  <si>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</si>
  <si>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</si>
  <si>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</si>
  <si>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</si>
  <si>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</si>
  <si>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</si>
  <si>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</si>
  <si>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</si>
  <si>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</si>
  <si>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</si>
  <si>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</si>
  <si>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</si>
  <si>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</si>
  <si>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</si>
  <si>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</si>
  <si>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</si>
  <si>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</si>
  <si>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</si>
  <si>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</si>
  <si>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</si>
  <si>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</si>
  <si>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</si>
  <si>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</si>
  <si>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</si>
  <si>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</si>
  <si>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</si>
  <si>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</si>
  <si>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</si>
  <si>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</si>
  <si>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</si>
  <si>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</si>
  <si>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</si>
  <si>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</si>
  <si>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</si>
  <si>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</si>
  <si>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</si>
  <si>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</si>
  <si>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</si>
  <si>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</si>
  <si>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</si>
  <si>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</si>
  <si>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</si>
  <si>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</si>
  <si>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</si>
  <si>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</si>
  <si>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</si>
  <si>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</si>
  <si>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</si>
  <si>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</si>
  <si>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</si>
  <si>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</si>
  <si>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</si>
  <si>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</si>
  <si>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</si>
  <si>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</si>
  <si>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</si>
  <si>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</si>
  <si>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</si>
  <si>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</si>
  <si>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</si>
  <si>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</si>
  <si>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</si>
  <si>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</si>
  <si>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</si>
  <si>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</si>
  <si>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</si>
  <si>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</si>
  <si>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</si>
  <si>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</si>
  <si>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</si>
  <si>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</si>
  <si>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</si>
  <si>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</si>
  <si>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</si>
  <si>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</si>
  <si>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</si>
  <si>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</si>
  <si>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</si>
  <si>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</si>
  <si>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</si>
  <si>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</si>
  <si>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</si>
  <si>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</si>
  <si>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</si>
  <si>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</si>
  <si>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</si>
  <si>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</si>
  <si>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</si>
  <si>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</si>
  <si>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</si>
  <si>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</si>
  <si>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</si>
  <si>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</si>
  <si>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</si>
  <si>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</si>
  <si>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</si>
  <si>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</si>
  <si>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</si>
  <si>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</si>
  <si>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</si>
  <si>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</si>
  <si>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</si>
  <si>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</si>
  <si>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</si>
  <si>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</si>
  <si>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</si>
  <si>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</si>
  <si>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</si>
  <si>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</si>
  <si>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</si>
  <si>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</si>
  <si>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</si>
  <si>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</si>
  <si>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</si>
  <si>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</si>
  <si>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</si>
  <si>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</si>
  <si>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</si>
  <si>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</si>
  <si>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</si>
  <si>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</si>
  <si>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</si>
  <si>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</si>
  <si>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</si>
  <si>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</si>
  <si>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</si>
  <si>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</si>
  <si>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</si>
  <si>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</si>
  <si>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</si>
  <si>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</si>
  <si>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</si>
  <si>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</si>
  <si>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</si>
  <si>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</si>
  <si>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</si>
  <si>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</si>
  <si>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</si>
  <si>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</si>
  <si>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</si>
  <si>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</si>
  <si>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</si>
  <si>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</si>
  <si>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</si>
  <si>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</si>
  <si>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</si>
  <si>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</si>
  <si>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</si>
  <si>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</si>
  <si>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</si>
  <si>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</si>
  <si>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</si>
  <si>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</si>
  <si>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</si>
  <si>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</si>
  <si>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</si>
  <si>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</si>
  <si>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</si>
  <si>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</si>
  <si>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</si>
  <si>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</si>
  <si>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</si>
  <si>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</si>
  <si>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</si>
  <si>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</si>
  <si>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</si>
  <si>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</si>
  <si>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</si>
  <si>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</si>
  <si>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</si>
  <si>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</si>
  <si>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</si>
  <si>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</si>
  <si>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</si>
  <si>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</si>
  <si>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</si>
  <si>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</si>
  <si>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</si>
  <si>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</si>
  <si>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</si>
  <si>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</si>
  <si>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</si>
  <si>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</si>
  <si>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</si>
  <si>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</si>
  <si>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</si>
  <si>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</si>
  <si>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</si>
  <si>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</si>
  <si>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</si>
  <si>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</si>
  <si>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</si>
  <si>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</si>
  <si>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</si>
  <si>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</si>
  <si>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</si>
  <si>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</si>
  <si>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</si>
  <si>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</si>
  <si>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</si>
  <si>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</si>
  <si>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</si>
  <si>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</si>
  <si>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</si>
  <si>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</si>
  <si>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</si>
  <si>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</si>
  <si>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</si>
  <si>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</si>
  <si>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</si>
  <si>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</si>
  <si>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</si>
  <si>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</si>
  <si>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</si>
  <si>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</si>
  <si>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</si>
  <si>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</si>
  <si>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</si>
  <si>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</si>
  <si>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</si>
  <si>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</si>
  <si>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</si>
  <si>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</si>
  <si>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</si>
  <si>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</si>
  <si>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</si>
  <si>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</si>
  <si>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</si>
  <si>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</si>
  <si>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</si>
  <si>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</si>
  <si>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</si>
  <si>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</si>
  <si>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</si>
  <si>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</si>
  <si>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</si>
  <si>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</si>
  <si>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</si>
  <si>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</si>
  <si>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</si>
  <si>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</si>
  <si>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</si>
  <si>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</si>
  <si>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</si>
  <si>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</si>
  <si>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</si>
  <si>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</si>
  <si>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</si>
  <si>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</si>
  <si>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</si>
  <si>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</si>
  <si>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</si>
  <si>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</si>
  <si>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</si>
  <si>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</si>
  <si>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</si>
  <si>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</si>
  <si>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</si>
  <si>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</si>
  <si>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</si>
  <si>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</si>
  <si>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</si>
  <si>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</si>
  <si>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</si>
  <si>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</si>
  <si>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</si>
  <si>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</si>
  <si>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</si>
  <si>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</si>
  <si>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</si>
  <si>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</si>
  <si>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</si>
  <si>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</si>
  <si>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</si>
  <si>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</si>
  <si>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</si>
  <si>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</si>
  <si>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</si>
  <si>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</si>
  <si>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</si>
  <si>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</si>
  <si>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</si>
  <si>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</si>
  <si>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</si>
  <si>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</si>
  <si>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</si>
  <si>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</si>
  <si>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</si>
  <si>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</si>
  <si>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</si>
  <si>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</si>
  <si>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</si>
  <si>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</si>
  <si>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</si>
  <si>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</si>
  <si>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</si>
  <si>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</si>
  <si>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</si>
  <si>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</si>
  <si>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</si>
  <si>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</si>
  <si>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</si>
  <si>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</si>
  <si>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</si>
  <si>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</si>
  <si>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</si>
  <si>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</si>
  <si>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</si>
  <si>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</si>
  <si>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</si>
  <si>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</si>
  <si>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</si>
  <si>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</si>
  <si>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</si>
  <si>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</si>
  <si>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</si>
  <si>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</si>
  <si>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</si>
  <si>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</si>
  <si>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</si>
  <si>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</si>
  <si>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</si>
  <si>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</si>
  <si>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</si>
  <si>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</si>
  <si>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</si>
  <si>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</si>
  <si>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</si>
  <si>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</si>
  <si>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</si>
  <si>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</si>
  <si>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</si>
  <si>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</si>
  <si>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</si>
  <si>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</si>
  <si>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</si>
  <si>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</si>
  <si>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</si>
  <si>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</si>
  <si>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</si>
  <si>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</si>
  <si>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</si>
  <si>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</si>
  <si>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</si>
  <si>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</si>
  <si>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</si>
  <si>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</si>
  <si>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</si>
  <si>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</si>
  <si>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</si>
  <si>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</si>
  <si>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</si>
  <si>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</si>
  <si>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</si>
  <si>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</si>
  <si>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</si>
  <si>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</si>
  <si>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</si>
  <si>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</si>
  <si>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</si>
  <si>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</si>
  <si>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</si>
  <si>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</si>
  <si>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</si>
  <si>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</si>
  <si>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</si>
  <si>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</si>
  <si>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</si>
  <si>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</si>
  <si>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</si>
  <si>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</si>
  <si>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</si>
  <si>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</si>
  <si>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</si>
  <si>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</si>
  <si>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</si>
  <si>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</si>
  <si>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</si>
  <si>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</si>
  <si>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</si>
  <si>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</si>
  <si>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</si>
  <si>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</si>
  <si>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</si>
  <si>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</si>
  <si>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</si>
  <si>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</si>
  <si>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</si>
  <si>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</si>
  <si>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</si>
  <si>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</si>
  <si>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</si>
  <si>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</si>
  <si>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</si>
  <si>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</si>
  <si>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</si>
  <si>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</si>
  <si>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</si>
  <si>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</si>
  <si>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</si>
  <si>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</si>
  <si>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</si>
  <si>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</si>
  <si>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</si>
  <si>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</si>
  <si>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</si>
  <si>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</si>
  <si>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</si>
  <si>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</si>
  <si>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</si>
  <si>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</si>
  <si>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</si>
  <si>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</si>
  <si>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</si>
  <si>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</si>
  <si>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</si>
  <si>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</si>
  <si>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</si>
  <si>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</si>
  <si>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</si>
  <si>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</si>
  <si>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</si>
  <si>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</si>
  <si>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</si>
  <si>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</si>
  <si>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</si>
  <si>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</si>
  <si>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</si>
  <si>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</si>
  <si>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</si>
  <si>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</si>
  <si>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</si>
  <si>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</si>
  <si>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</si>
  <si>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</si>
  <si>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</si>
  <si>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</si>
  <si>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</si>
  <si>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</si>
  <si>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</si>
  <si>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</si>
  <si>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</si>
  <si>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</si>
  <si>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</si>
  <si>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</si>
  <si>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</si>
  <si>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</si>
  <si>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</si>
  <si>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</si>
  <si>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</si>
  <si>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</si>
  <si>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</si>
  <si>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</si>
  <si>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</si>
  <si>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</si>
  <si>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</si>
  <si>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</si>
  <si>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</si>
  <si>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</si>
  <si>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</si>
  <si>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</si>
  <si>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</si>
  <si>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</si>
  <si>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</si>
  <si>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</si>
  <si>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</si>
  <si>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</si>
  <si>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</si>
  <si>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</si>
  <si>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</si>
  <si>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</si>
  <si>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</si>
  <si>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</si>
  <si>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</si>
  <si>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</si>
  <si>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</si>
  <si>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</si>
  <si>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</si>
  <si>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</si>
  <si>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</si>
  <si>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</si>
  <si>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</si>
  <si>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</si>
  <si>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</si>
  <si>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</si>
  <si>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</si>
  <si>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</si>
  <si>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</si>
  <si>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</si>
  <si>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</si>
  <si>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</si>
  <si>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</si>
  <si>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</si>
  <si>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</si>
  <si>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</si>
  <si>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</si>
  <si>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</si>
  <si>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</si>
  <si>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</si>
  <si>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</si>
  <si>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</si>
  <si>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</si>
  <si>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</si>
  <si>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</si>
  <si>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</si>
  <si>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</si>
  <si>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</si>
  <si>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</si>
  <si>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</si>
  <si>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</si>
  <si>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</si>
  <si>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</si>
  <si>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</si>
  <si>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</si>
  <si>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</si>
  <si>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</si>
  <si>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</si>
  <si>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</si>
  <si>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</si>
  <si>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</si>
  <si>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</si>
  <si>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</si>
  <si>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</si>
  <si>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</si>
  <si>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</si>
  <si>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</si>
  <si>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</si>
  <si>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</si>
  <si>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</si>
  <si>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</si>
  <si>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</si>
  <si>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</si>
  <si>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</si>
  <si>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</si>
  <si>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</si>
  <si>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</si>
  <si>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</si>
  <si>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</si>
  <si>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</si>
  <si>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</si>
  <si>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</si>
  <si>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</si>
  <si>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</si>
  <si>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</si>
  <si>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</si>
  <si>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</si>
  <si>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</si>
  <si>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</si>
  <si>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</si>
  <si>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</si>
  <si>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</si>
  <si>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</si>
  <si>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</si>
  <si>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</si>
  <si>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</si>
  <si>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</si>
  <si>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</si>
  <si>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</si>
  <si>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</si>
  <si>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</si>
  <si>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</si>
  <si>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</si>
  <si>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</si>
  <si>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</si>
  <si>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</si>
  <si>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</si>
  <si>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</si>
  <si>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</si>
  <si>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</si>
  <si>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</si>
  <si>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</si>
  <si>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</si>
  <si>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</si>
  <si>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</si>
  <si>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</si>
  <si>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</si>
  <si>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</si>
  <si>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</si>
  <si>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</si>
  <si>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</si>
  <si>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</si>
  <si>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</si>
  <si>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</si>
  <si>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</si>
  <si>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</si>
  <si>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</si>
  <si>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</si>
  <si>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</si>
  <si>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</si>
  <si>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</si>
  <si>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</si>
  <si>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</si>
  <si>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</si>
  <si>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</si>
  <si>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</si>
  <si>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</si>
  <si>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</si>
  <si>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</si>
  <si>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</si>
  <si>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</si>
  <si>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</si>
  <si>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</si>
  <si>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</si>
  <si>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</si>
  <si>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</si>
  <si>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</si>
  <si>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</si>
  <si>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</si>
  <si>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</si>
  <si>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</si>
  <si>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</si>
  <si>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</si>
  <si>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</si>
  <si>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</si>
  <si>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</si>
  <si>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</si>
  <si>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</si>
  <si>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</si>
  <si>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</si>
  <si>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</si>
  <si>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</si>
  <si>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</si>
  <si>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</si>
  <si>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</si>
  <si>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</si>
  <si>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</si>
  <si>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</si>
  <si>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</si>
  <si>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</si>
  <si>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</si>
  <si>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</si>
  <si>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</si>
  <si>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</si>
  <si>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</si>
  <si>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</si>
  <si>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</si>
  <si>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</si>
  <si>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</si>
  <si>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</si>
  <si>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</si>
  <si>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</si>
  <si>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</si>
  <si>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</si>
  <si>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</si>
  <si>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</si>
  <si>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</si>
  <si>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</si>
  <si>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</si>
  <si>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</si>
  <si>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</si>
  <si>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</si>
  <si>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</si>
  <si>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</si>
  <si>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</si>
  <si>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</si>
  <si>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</si>
  <si>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</si>
  <si>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</si>
  <si>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</si>
  <si>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</si>
  <si>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</si>
  <si>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</si>
  <si>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</si>
  <si>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</si>
  <si>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</si>
  <si>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</si>
  <si>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</si>
  <si>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</si>
  <si>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</si>
  <si>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</si>
  <si>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</si>
  <si>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</si>
  <si>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</si>
  <si>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</si>
  <si>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</si>
  <si>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</si>
  <si>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</si>
  <si>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</si>
  <si>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</si>
  <si>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</si>
  <si>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</si>
  <si>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</si>
  <si>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</si>
  <si>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</si>
  <si>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</si>
  <si>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</si>
  <si>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</si>
  <si>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</si>
  <si>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</si>
  <si>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</si>
  <si>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</si>
  <si>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</si>
  <si>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</si>
  <si>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</si>
  <si>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</si>
  <si>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</si>
  <si>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</si>
  <si>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</si>
  <si>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</si>
  <si>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</si>
  <si>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</si>
  <si>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</si>
  <si>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</si>
  <si>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</si>
  <si>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</si>
  <si>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</si>
  <si>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</si>
  <si>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</si>
  <si>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</si>
  <si>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</si>
  <si>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</si>
  <si>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</si>
  <si>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</si>
  <si>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</si>
  <si>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</si>
  <si>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</si>
  <si>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</si>
  <si>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</si>
  <si>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</si>
  <si>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</si>
  <si>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</si>
  <si>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</si>
  <si>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</si>
  <si>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</si>
  <si>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</si>
  <si>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</si>
  <si>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</si>
  <si>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</si>
  <si>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</si>
  <si>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</si>
  <si>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</si>
  <si>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</si>
  <si>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</si>
  <si>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</si>
  <si>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</si>
  <si>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</si>
  <si>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</si>
  <si>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</si>
  <si>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</si>
  <si>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</si>
  <si>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</si>
  <si>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</si>
  <si>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</si>
  <si>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</si>
  <si>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</si>
  <si>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</si>
  <si>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</si>
  <si>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</si>
  <si>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</si>
  <si>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</si>
  <si>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</si>
  <si>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</si>
  <si>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</si>
  <si>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</si>
  <si>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</si>
  <si>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</si>
  <si>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</si>
  <si>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</si>
  <si>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</si>
  <si>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</si>
  <si>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</si>
  <si>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</si>
  <si>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</si>
  <si>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</si>
  <si>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</si>
  <si>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</si>
  <si>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</si>
  <si>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</si>
  <si>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</si>
  <si>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</si>
  <si>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</si>
  <si>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</si>
  <si>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</si>
  <si>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</si>
  <si>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</si>
  <si>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</si>
  <si>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</si>
  <si>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</si>
  <si>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</si>
  <si>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</si>
  <si>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</si>
  <si>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</si>
  <si>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</si>
  <si>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</si>
  <si>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</si>
  <si>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</si>
  <si>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</si>
  <si>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</si>
  <si>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</si>
  <si>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</si>
  <si>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</si>
  <si>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</si>
  <si>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</si>
  <si>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</si>
  <si>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</si>
  <si>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</si>
  <si>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</si>
  <si>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</si>
  <si>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</si>
  <si>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</si>
  <si>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</si>
  <si>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X</t>
  </si>
  <si>
    <t xml:space="preserve">HOPKINS &amp; ASSOCIATES, CPAS </t>
  </si>
  <si>
    <t xml:space="preserve">JOEL HOPKINS </t>
  </si>
  <si>
    <t>314 S MCCOY STREET</t>
  </si>
  <si>
    <t>GRANVILLE</t>
  </si>
  <si>
    <t>IL</t>
  </si>
  <si>
    <t>815-339-6630</t>
  </si>
  <si>
    <t>815-339-6643</t>
  </si>
  <si>
    <t>JOEL@HOPKINSOFFICE.COM</t>
  </si>
  <si>
    <t>Total Federal Expenditures for 7/1/18-6/30/19</t>
  </si>
  <si>
    <t>066-004501</t>
  </si>
  <si>
    <t>BUREAU</t>
  </si>
  <si>
    <t>801 S. MAIN ST.</t>
  </si>
  <si>
    <t xml:space="preserve">LA MOILLE   </t>
  </si>
  <si>
    <t>jmccracken@lamoilleschools.org</t>
  </si>
  <si>
    <t>JAY MCCRACKEN</t>
  </si>
  <si>
    <t>815-638-2018</t>
  </si>
  <si>
    <t>815-638-2186</t>
  </si>
  <si>
    <t>2013B General Obligation School Bond Issue - QZAB</t>
  </si>
  <si>
    <t>2016B WC Bonds - QZAB</t>
  </si>
  <si>
    <t>Bus Lease - Bus 4 and 8</t>
  </si>
  <si>
    <t>Bus Lease - Bus 1</t>
  </si>
  <si>
    <t>Bus Lease - Bus 7</t>
  </si>
  <si>
    <t>Capital Lease</t>
  </si>
  <si>
    <t>Cost</t>
  </si>
  <si>
    <t>Cost/Distance</t>
  </si>
  <si>
    <t>Not Competitive in Open Market</t>
  </si>
  <si>
    <t>Not Needed</t>
  </si>
  <si>
    <t>Distance</t>
  </si>
  <si>
    <t>Implementation</t>
  </si>
  <si>
    <t xml:space="preserve">Cost </t>
  </si>
  <si>
    <t>BHS Regional Office; Lasalle County ROE</t>
  </si>
  <si>
    <t>Northern Illinois Gas Consortium</t>
  </si>
  <si>
    <t>Malden Grade; SRAVTE; BMP Special Ed Coop</t>
  </si>
  <si>
    <t>WCSIT; ISDA; Employee Ben Corp - HRA</t>
  </si>
  <si>
    <t>BHS ROE; LaSalle County ROE</t>
  </si>
  <si>
    <t>BMP Special Ed Coop</t>
  </si>
  <si>
    <t>BHS ROE; LaSalle Couny Food Coop</t>
  </si>
  <si>
    <t>SRAVTE; LaSalle-Peru Area Career Center</t>
  </si>
  <si>
    <t>See Below</t>
  </si>
  <si>
    <t>Malden S.D. #84</t>
  </si>
  <si>
    <t>24. Professional Development - Troy, Plano, Seneca, and Minooka School Districts</t>
  </si>
  <si>
    <t>32. Amboy High School - sports; Ohio High school - sports; Behavioral Disorder Program</t>
  </si>
  <si>
    <t>33. Other - Malden Pre-School for all</t>
  </si>
  <si>
    <t>O&amp;M - Oper &amp; Maint of Plant Svcs - Purchased Svcs.</t>
  </si>
  <si>
    <t>20-2540-300</t>
  </si>
  <si>
    <t>Culligan (Water)</t>
  </si>
  <si>
    <t>Isaac Hebert (Mowing)</t>
  </si>
  <si>
    <t>Orkin (Pest Control)</t>
  </si>
  <si>
    <t>Kone, Inc. (Life Maint)</t>
  </si>
  <si>
    <t>AT&amp;T (Phone)</t>
  </si>
  <si>
    <t>Frontier (Phone)</t>
  </si>
  <si>
    <t>Republic Services (Garbage)</t>
  </si>
  <si>
    <t>Village of LaMoille (Water/Sewer)</t>
  </si>
  <si>
    <t>Van Orin Water Co. (Water)</t>
  </si>
  <si>
    <t>Bus Lease - Bus 3</t>
  </si>
  <si>
    <t>Bus Lease - Bus 5</t>
  </si>
  <si>
    <t>Bus Lease - Bus 6</t>
  </si>
  <si>
    <t>Bus Lease - Bus 12</t>
  </si>
  <si>
    <t>2019 WC Bonds</t>
  </si>
  <si>
    <t>Illinois Valley Cellular (Telephone)</t>
  </si>
  <si>
    <t>O&amp;M Fund - 1290 - Other Payment in Lieu of Taxes - $2,215 - Local Sales Tax Rev</t>
  </si>
  <si>
    <t>Ed Fund - 1690 - Other Food Service - $64 - Small Misc Item</t>
  </si>
  <si>
    <t>Ed Fund - 1719 - Admissions Other - $270 - High School Play</t>
  </si>
  <si>
    <t>Ed Fund - 1790 - Other District/School Act. Rev - $1,223 - PE Shirts, Art Fees, Etc.</t>
  </si>
  <si>
    <t>Ed Fund - 1999 - Other Local Revenue - $4,891 - Payments for career expo, mfg expo, college fair, etc</t>
  </si>
  <si>
    <t>O&amp;M Fund - 1999 - Other Local Revenue - $2,374 - E-Rate Reimb</t>
  </si>
  <si>
    <t>Ed Fund - 10-2190-300 - Other Sup Svcs - Pupils - $581 - Graduation Exp</t>
  </si>
  <si>
    <t>Ed Fund - 10-2190-400 - Other Sup Svcs - Pupils - $573 - PE Shirts</t>
  </si>
  <si>
    <t>Ed Fund - 10-2900-100 &amp; 200 - Other Sup Svcs - Tech coord salaries and benefits $33,869 and $8,486</t>
  </si>
  <si>
    <t>Ed Fund - 10-4190-300 - Other Payment to in State Units - ROE Payments - $2,240</t>
  </si>
  <si>
    <t>Long-Term Debt - Payments and Debt Issuance that don't run through the Debt Service Fund are being included on the Debt</t>
  </si>
  <si>
    <t>Schedule.  This is causing errors on the Audit Check Screen.  We have included capital leases related to the Transportation Fund</t>
  </si>
  <si>
    <t>on this schedule that are generating the errors.  The debt activity reported on the debt schedule is accurate and reported correctly.</t>
  </si>
  <si>
    <t>La Moille CUSD 303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</si>
</sst>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0" fontId="99" fillId="0" borderId="105" xfId="18" applyFont="1" applyBorder="1" applyProtection="1">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2"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49" fontId="99" fillId="0" borderId="107" xfId="18" applyNumberFormat="1" applyFont="1" applyFill="1" applyBorder="1" applyAlignment="1" applyProtection="1">
      <alignment horizontal="center" vertical="center"/>
      <protection locked="0"/>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49" fontId="99" fillId="0" borderId="105" xfId="18" applyNumberFormat="1" applyFont="1" applyBorder="1" applyAlignment="1" applyProtection="1">
      <alignment horizontal="center" vertical="center"/>
      <protection locked="0"/>
    </xf>
    <xf numFmtId="49" fontId="99" fillId="0" borderId="109" xfId="18" applyNumberFormat="1" applyFont="1" applyFill="1" applyBorder="1" applyAlignment="1" applyProtection="1">
      <alignment horizontal="center" vertical="center"/>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topLeftCell="A10"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1982" t="s">
        <v>405</v>
      </c>
      <c r="J1" s="1983"/>
      <c r="K1" s="1983"/>
      <c r="L1" s="1983"/>
      <c r="M1" s="1983"/>
      <c r="N1" s="1983"/>
      <c r="O1" s="1983"/>
      <c r="P1" s="1983"/>
      <c r="Q1" s="1983"/>
      <c r="R1" s="1983"/>
      <c r="S1" s="1983"/>
    </row>
    <row r="2" spans="1:28" ht="12" customHeight="1" x14ac:dyDescent="0.2">
      <c r="A2" s="47" t="s">
        <v>1992</v>
      </c>
      <c r="D2" s="48"/>
      <c r="I2" s="1984" t="s">
        <v>979</v>
      </c>
      <c r="J2" s="1983"/>
      <c r="K2" s="1983"/>
      <c r="L2" s="1983"/>
      <c r="M2" s="1983"/>
      <c r="N2" s="1983"/>
      <c r="O2" s="1983"/>
      <c r="P2" s="1983"/>
      <c r="Q2" s="1983"/>
      <c r="R2" s="1983"/>
      <c r="S2" s="1983"/>
    </row>
    <row r="3" spans="1:28" ht="12" customHeight="1" x14ac:dyDescent="0.2">
      <c r="A3" s="155" t="s">
        <v>1944</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2063</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2064</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28006303026</v>
      </c>
      <c r="B13" s="2018"/>
      <c r="C13" s="2018"/>
      <c r="D13" s="2018"/>
      <c r="E13" s="2018"/>
      <c r="F13" s="2018"/>
      <c r="G13" s="2018"/>
      <c r="H13" s="2019"/>
      <c r="I13" s="31"/>
      <c r="J13" s="30"/>
      <c r="K13" s="28"/>
      <c r="L13" s="30"/>
      <c r="M13" s="30"/>
      <c r="N13" s="30"/>
      <c r="O13" s="30"/>
      <c r="P13" s="30"/>
      <c r="Q13" s="30"/>
      <c r="R13" s="30"/>
      <c r="S13" s="30"/>
      <c r="T13" s="2022" t="s">
        <v>2065</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2075</v>
      </c>
      <c r="B15" s="2020"/>
      <c r="C15" s="2020"/>
      <c r="D15" s="2020"/>
      <c r="E15" s="2020"/>
      <c r="F15" s="2020"/>
      <c r="G15" s="2020"/>
      <c r="H15" s="2021"/>
      <c r="T15" s="2026" t="s">
        <v>2066</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2138</v>
      </c>
      <c r="B17" s="1977"/>
      <c r="C17" s="1977"/>
      <c r="D17" s="1977"/>
      <c r="E17" s="1977"/>
      <c r="F17" s="1977"/>
      <c r="G17" s="1977"/>
      <c r="H17" s="2002"/>
      <c r="T17" s="2033" t="s">
        <v>2067</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2076</v>
      </c>
      <c r="B19" s="1962"/>
      <c r="C19" s="1962"/>
      <c r="D19" s="1962"/>
      <c r="E19" s="1962"/>
      <c r="F19" s="1962"/>
      <c r="G19" s="1962"/>
      <c r="H19" s="1942"/>
      <c r="I19" s="30"/>
      <c r="J19" s="99"/>
      <c r="K19" s="40"/>
      <c r="L19" s="38"/>
      <c r="M19" s="112" t="s">
        <v>315</v>
      </c>
      <c r="P19" s="27"/>
      <c r="Q19" s="27"/>
      <c r="R19" s="27"/>
      <c r="S19" s="31"/>
      <c r="T19" s="2016" t="s">
        <v>2068</v>
      </c>
      <c r="U19" s="1941"/>
      <c r="V19" s="1941"/>
      <c r="W19" s="1942"/>
      <c r="X19" s="2031" t="s">
        <v>2069</v>
      </c>
      <c r="Y19" s="2032"/>
      <c r="Z19" s="2029">
        <v>61326</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2077</v>
      </c>
      <c r="B21" s="1941"/>
      <c r="C21" s="1941"/>
      <c r="D21" s="1941"/>
      <c r="E21" s="1941"/>
      <c r="F21" s="1941"/>
      <c r="G21" s="1941"/>
      <c r="H21" s="1942"/>
      <c r="I21" s="1996" t="s">
        <v>678</v>
      </c>
      <c r="J21" s="1991"/>
      <c r="K21" s="1991"/>
      <c r="L21" s="1991"/>
      <c r="M21" s="1991"/>
      <c r="N21" s="1991"/>
      <c r="O21" s="1991"/>
      <c r="P21" s="1991"/>
      <c r="Q21" s="1991"/>
      <c r="R21" s="1991"/>
      <c r="S21" s="1997"/>
      <c r="T21" s="2040" t="s">
        <v>2070</v>
      </c>
      <c r="U21" s="2041"/>
      <c r="V21" s="2041"/>
      <c r="W21" s="2041"/>
      <c r="X21" s="2046" t="s">
        <v>2071</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t="s">
        <v>2078</v>
      </c>
      <c r="B23" s="1994"/>
      <c r="C23" s="1994"/>
      <c r="D23" s="1994"/>
      <c r="E23" s="1994"/>
      <c r="F23" s="1994"/>
      <c r="G23" s="1994"/>
      <c r="H23" s="1995"/>
      <c r="T23" s="1976" t="s">
        <v>2074</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61320</v>
      </c>
      <c r="B25" s="1941"/>
      <c r="C25" s="1941"/>
      <c r="D25" s="1941"/>
      <c r="E25" s="1941"/>
      <c r="F25" s="1941"/>
      <c r="G25" s="1941"/>
      <c r="H25" s="1942"/>
      <c r="I25" s="113"/>
      <c r="J25" s="1965"/>
      <c r="K25" s="1965"/>
      <c r="L25" s="1965"/>
      <c r="M25" s="1965"/>
      <c r="N25" s="1965"/>
      <c r="O25" s="1965"/>
      <c r="P25" s="1965"/>
      <c r="Q25" s="1965"/>
      <c r="R25" s="1965"/>
      <c r="S25" s="1966"/>
      <c r="T25" s="2036" t="s">
        <v>2072</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t="s">
        <v>2064</v>
      </c>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8" t="s">
        <v>2064</v>
      </c>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t="s">
        <v>2079</v>
      </c>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t="s">
        <v>2078</v>
      </c>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t="s">
        <v>2080</v>
      </c>
      <c r="B42" s="1960"/>
      <c r="C42" s="1961"/>
      <c r="D42" s="1959" t="s">
        <v>2081</v>
      </c>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6" t="s">
        <v>1611</v>
      </c>
    </row>
    <row r="23" spans="1:5" x14ac:dyDescent="0.2">
      <c r="A23" s="168"/>
      <c r="B23" s="162" t="s">
        <v>1856</v>
      </c>
      <c r="D23" s="167" t="s">
        <v>637</v>
      </c>
      <c r="E23" s="1836"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0" colorId="8" zoomScale="110" zoomScaleNormal="110" workbookViewId="0">
      <selection activeCell="F86" sqref="F8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2065</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52" colorId="8" zoomScale="110" zoomScaleNormal="110" workbookViewId="0">
      <selection activeCell="B33" sqref="B3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46729785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3.2242100000000003E-2</v>
      </c>
      <c r="E10" s="356" t="s">
        <v>1005</v>
      </c>
      <c r="F10" s="355">
        <v>6.8393000000000004E-3</v>
      </c>
      <c r="G10" s="356" t="s">
        <v>1005</v>
      </c>
      <c r="H10" s="355">
        <v>1.9540999999999998E-3</v>
      </c>
      <c r="I10" s="356" t="s">
        <v>1006</v>
      </c>
      <c r="J10" s="1732">
        <f>ROUND(D10+F10+H10,5)</f>
        <v>4.104E-2</v>
      </c>
      <c r="K10" s="222"/>
      <c r="L10" s="355">
        <v>4.8859999999999995E-4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2983636</v>
      </c>
      <c r="E16" s="356"/>
      <c r="F16" s="1733">
        <f>SUM('Acct Summary 7-8'!C17,'Acct Summary 7-8'!D17,'Acct Summary 7-8'!F17)</f>
        <v>3334211</v>
      </c>
      <c r="G16" s="356"/>
      <c r="H16" s="1733">
        <f>SUM(D16-F16)</f>
        <v>-350575</v>
      </c>
      <c r="I16" s="222"/>
      <c r="J16" s="1733">
        <f>SUM('Acct Summary 7-8'!C81,'Acct Summary 7-8'!D81,'Acct Summary 7-8'!F81,'Acct Summary 7-8'!I81)</f>
        <v>1737829</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5">
        <f>IF(B31="X",(J7*0.069),IF(B32="X",(J7*0.138),"Enter x in a.or b."))</f>
        <v>6448710.3300000001</v>
      </c>
      <c r="I31" s="368"/>
      <c r="J31" s="222"/>
      <c r="K31" s="222"/>
      <c r="L31" s="222"/>
      <c r="M31" s="222"/>
    </row>
    <row r="32" spans="1:13" ht="13.35" customHeight="1" x14ac:dyDescent="0.2">
      <c r="B32" s="369" t="s">
        <v>2064</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1133639</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C5" sqref="C5"/>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La Moille CUSD 303</v>
      </c>
      <c r="E7" s="391"/>
      <c r="G7" s="252"/>
      <c r="H7" s="387"/>
      <c r="I7" s="387"/>
      <c r="J7" s="387"/>
      <c r="K7" s="387"/>
      <c r="L7" s="329"/>
      <c r="M7" s="329"/>
      <c r="N7" s="329"/>
      <c r="O7" s="329"/>
      <c r="P7" s="329"/>
    </row>
    <row r="8" spans="1:18" ht="12.75" x14ac:dyDescent="0.2">
      <c r="A8" s="329"/>
      <c r="B8" s="329"/>
      <c r="C8" s="389" t="s">
        <v>1125</v>
      </c>
      <c r="D8" s="392">
        <f>COVER!A13</f>
        <v>28006303026</v>
      </c>
      <c r="E8" s="393"/>
      <c r="G8" s="329"/>
      <c r="H8" s="329"/>
      <c r="I8" s="329"/>
      <c r="J8" s="329"/>
      <c r="K8" s="329"/>
      <c r="L8" s="329"/>
      <c r="M8" s="329"/>
      <c r="N8" s="329"/>
      <c r="O8" s="329"/>
      <c r="P8" s="329"/>
    </row>
    <row r="9" spans="1:18" ht="12.75" x14ac:dyDescent="0.2">
      <c r="A9" s="329"/>
      <c r="B9" s="329"/>
      <c r="C9" s="389" t="s">
        <v>713</v>
      </c>
      <c r="D9" s="394" t="str">
        <f>COVER!A15</f>
        <v>BUREAU</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1737829</v>
      </c>
      <c r="I12" s="404"/>
      <c r="J12" s="404"/>
      <c r="K12" s="405">
        <f>TRUNC((H12/H13*100000),5)/100000</f>
        <v>0.58245342259999999</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2983636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3334211</v>
      </c>
      <c r="I17" s="404"/>
      <c r="J17" s="416"/>
      <c r="K17" s="405">
        <f>TRUNC((H17/H18*100000),5)/100000</f>
        <v>1.1174992525</v>
      </c>
      <c r="L17" s="406"/>
      <c r="M17" s="417" t="s">
        <v>1171</v>
      </c>
      <c r="O17" s="418" t="str">
        <f>IF(AND(O16="2", J20 &gt; 2),"1",IF(AND(O16 = "1", J20 &gt; 2),"2",IF(AND(O16="1", J20 &gt;1),"1","0")))</f>
        <v>1</v>
      </c>
      <c r="P17" s="218"/>
    </row>
    <row r="18" spans="1:18" s="408" customFormat="1" ht="11.25" x14ac:dyDescent="0.2">
      <c r="A18" s="218"/>
      <c r="B18" s="401"/>
      <c r="C18" s="2100" t="s">
        <v>1317</v>
      </c>
      <c r="D18" s="2101"/>
      <c r="E18" s="218"/>
      <c r="F18" s="419" t="s">
        <v>794</v>
      </c>
      <c r="G18" s="402"/>
      <c r="H18" s="403">
        <f>SUM('Acct Summary 7-8'!C8+'Acct Summary 7-8'!D8+'Acct Summary 7-8'!F8+'Acct Summary 7-8'!I8)+H19</f>
        <v>2983636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4.1060126000000006</v>
      </c>
      <c r="K20" s="405">
        <f>IF(K17&lt;=1,"0",IF(AND(O16="2", J20 &gt; 2),TRUNC(((K12-0.1)/(K17-1)*100),5)/100,IF(AND(O16 = "1", J20 &gt; 2),TRUNC(((K12-0.1)/(K17-1)*100),5)/100,IF(AND(O16="1", J20 &gt;1),TRUNC(((K12-0.1)/(K17-1)*100),5)/100,""))))</f>
        <v>4.1060126000000006</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1737892</v>
      </c>
      <c r="I24" s="422"/>
      <c r="J24" s="422"/>
      <c r="K24" s="423">
        <f>TRUNC(((H24/H25*100000)/100000),2)</f>
        <v>187.64</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9261.69722</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1630121.8199400001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1133639</v>
      </c>
      <c r="I32" s="420"/>
      <c r="J32" s="420"/>
      <c r="K32" s="423">
        <f>TRUNC(100-((((H32/H33*100))*100)/100),2)</f>
        <v>82.42</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6448710.3300000001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90" zoomScaleNormal="90" workbookViewId="0">
      <pane ySplit="2" topLeftCell="A3" activePane="bottomLeft" state="frozen"/>
      <selection pane="bottomLeft" activeCell="M41" sqref="M4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481705</v>
      </c>
      <c r="D4" s="466">
        <v>583048</v>
      </c>
      <c r="E4" s="466">
        <v>45226</v>
      </c>
      <c r="F4" s="466">
        <v>130208</v>
      </c>
      <c r="G4" s="466">
        <v>92397</v>
      </c>
      <c r="H4" s="466"/>
      <c r="I4" s="466">
        <v>542931</v>
      </c>
      <c r="J4" s="467">
        <v>179791</v>
      </c>
      <c r="K4" s="466">
        <v>42709</v>
      </c>
      <c r="L4" s="466">
        <f>5377+16170+1269+11456+1</f>
        <v>34273</v>
      </c>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481705</v>
      </c>
      <c r="D13" s="1737">
        <f t="shared" ref="D13:L13" si="0">SUM(D4:D12)</f>
        <v>583048</v>
      </c>
      <c r="E13" s="1737">
        <f t="shared" si="0"/>
        <v>45226</v>
      </c>
      <c r="F13" s="1737">
        <f t="shared" si="0"/>
        <v>130208</v>
      </c>
      <c r="G13" s="1737">
        <f t="shared" si="0"/>
        <v>92397</v>
      </c>
      <c r="H13" s="1737">
        <f t="shared" si="0"/>
        <v>0</v>
      </c>
      <c r="I13" s="1737">
        <f t="shared" si="0"/>
        <v>542931</v>
      </c>
      <c r="J13" s="1737">
        <f t="shared" si="0"/>
        <v>179791</v>
      </c>
      <c r="K13" s="1737">
        <f t="shared" si="0"/>
        <v>42709</v>
      </c>
      <c r="L13" s="1737">
        <f t="shared" si="0"/>
        <v>34273</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48291</v>
      </c>
      <c r="N16" s="484"/>
    </row>
    <row r="17" spans="1:14" s="485" customFormat="1" ht="12.75" customHeight="1" x14ac:dyDescent="0.2">
      <c r="A17" s="482" t="s">
        <v>1403</v>
      </c>
      <c r="B17" s="483">
        <v>230</v>
      </c>
      <c r="C17" s="477"/>
      <c r="D17" s="477"/>
      <c r="E17" s="477"/>
      <c r="F17" s="477"/>
      <c r="G17" s="477"/>
      <c r="H17" s="477"/>
      <c r="I17" s="477"/>
      <c r="J17" s="477"/>
      <c r="K17" s="477"/>
      <c r="L17" s="477"/>
      <c r="M17" s="467">
        <v>3772911</v>
      </c>
      <c r="N17" s="484"/>
    </row>
    <row r="18" spans="1:14" s="485" customFormat="1" ht="12.75" customHeight="1" x14ac:dyDescent="0.2">
      <c r="A18" s="482" t="s">
        <v>1404</v>
      </c>
      <c r="B18" s="483">
        <v>240</v>
      </c>
      <c r="C18" s="477"/>
      <c r="D18" s="477"/>
      <c r="E18" s="477"/>
      <c r="F18" s="477"/>
      <c r="G18" s="477"/>
      <c r="H18" s="477"/>
      <c r="I18" s="477"/>
      <c r="J18" s="477"/>
      <c r="K18" s="477"/>
      <c r="L18" s="477"/>
      <c r="M18" s="467">
        <v>232421</v>
      </c>
      <c r="N18" s="484"/>
    </row>
    <row r="19" spans="1:14" s="485" customFormat="1" ht="12.75" customHeight="1" x14ac:dyDescent="0.2">
      <c r="A19" s="482" t="s">
        <v>1405</v>
      </c>
      <c r="B19" s="483">
        <v>250</v>
      </c>
      <c r="C19" s="477"/>
      <c r="D19" s="477"/>
      <c r="E19" s="477"/>
      <c r="F19" s="477"/>
      <c r="G19" s="477"/>
      <c r="H19" s="477"/>
      <c r="I19" s="477"/>
      <c r="J19" s="477"/>
      <c r="K19" s="477"/>
      <c r="L19" s="477"/>
      <c r="M19" s="467">
        <v>1424613</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45226</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1088413</v>
      </c>
    </row>
    <row r="23" spans="1:14" ht="13.5" customHeight="1" thickBot="1" x14ac:dyDescent="0.25">
      <c r="A23" s="1736" t="s">
        <v>643</v>
      </c>
      <c r="B23" s="1741"/>
      <c r="C23" s="468"/>
      <c r="D23" s="468"/>
      <c r="E23" s="468"/>
      <c r="F23" s="468"/>
      <c r="G23" s="468"/>
      <c r="H23" s="468"/>
      <c r="I23" s="468"/>
      <c r="J23" s="468"/>
      <c r="K23" s="468"/>
      <c r="L23" s="468"/>
      <c r="M23" s="1688">
        <f>SUM(M15:M22)</f>
        <v>5478236</v>
      </c>
      <c r="N23" s="1688">
        <f>SUM(N21:N22)</f>
        <v>1133639</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63</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f>5378+16170</f>
        <v>21548</v>
      </c>
      <c r="M33" s="468"/>
      <c r="N33" s="469"/>
    </row>
    <row r="34" spans="1:14" ht="13.5" customHeight="1" thickBot="1" x14ac:dyDescent="0.25">
      <c r="A34" s="1738" t="s">
        <v>654</v>
      </c>
      <c r="B34" s="1739"/>
      <c r="C34" s="1740">
        <f>SUM(C25:C33)</f>
        <v>63</v>
      </c>
      <c r="D34" s="1740">
        <f t="shared" ref="D34:K34" si="1">SUM(D25:D33)</f>
        <v>0</v>
      </c>
      <c r="E34" s="1740">
        <f t="shared" si="1"/>
        <v>0</v>
      </c>
      <c r="F34" s="1740">
        <f t="shared" si="1"/>
        <v>0</v>
      </c>
      <c r="G34" s="1740">
        <f t="shared" si="1"/>
        <v>0</v>
      </c>
      <c r="H34" s="1740">
        <f t="shared" si="1"/>
        <v>0</v>
      </c>
      <c r="I34" s="1740">
        <f t="shared" si="1"/>
        <v>0</v>
      </c>
      <c r="J34" s="1740">
        <f t="shared" si="1"/>
        <v>0</v>
      </c>
      <c r="K34" s="1740">
        <f t="shared" si="1"/>
        <v>0</v>
      </c>
      <c r="L34" s="1721">
        <f>SUM(L33)</f>
        <v>21548</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1133639</v>
      </c>
    </row>
    <row r="37" spans="1:14" ht="13.5" thickBot="1" x14ac:dyDescent="0.25">
      <c r="A37" s="1736" t="s">
        <v>653</v>
      </c>
      <c r="B37" s="1741"/>
      <c r="C37" s="477"/>
      <c r="D37" s="477"/>
      <c r="E37" s="477"/>
      <c r="F37" s="477"/>
      <c r="G37" s="477"/>
      <c r="H37" s="477"/>
      <c r="I37" s="477"/>
      <c r="J37" s="477"/>
      <c r="K37" s="477"/>
      <c r="L37" s="480"/>
      <c r="M37" s="468"/>
      <c r="N37" s="1688">
        <f>SUM(N36:N36)</f>
        <v>1133639</v>
      </c>
    </row>
    <row r="38" spans="1:14" s="329" customFormat="1" ht="13.5" customHeight="1" thickTop="1" x14ac:dyDescent="0.2">
      <c r="A38" s="496" t="s">
        <v>420</v>
      </c>
      <c r="B38" s="483">
        <v>714</v>
      </c>
      <c r="C38" s="466">
        <v>9139</v>
      </c>
      <c r="D38" s="466"/>
      <c r="E38" s="466"/>
      <c r="F38" s="466"/>
      <c r="G38" s="466">
        <v>34437</v>
      </c>
      <c r="H38" s="466"/>
      <c r="I38" s="466"/>
      <c r="J38" s="467"/>
      <c r="K38" s="466"/>
      <c r="L38" s="481">
        <f>1269+11456</f>
        <v>12725</v>
      </c>
      <c r="M38" s="497"/>
      <c r="N38" s="497"/>
    </row>
    <row r="39" spans="1:14" s="329" customFormat="1" ht="13.5" customHeight="1" x14ac:dyDescent="0.2">
      <c r="A39" s="496" t="s">
        <v>342</v>
      </c>
      <c r="B39" s="483">
        <v>730</v>
      </c>
      <c r="C39" s="466">
        <f>481705-9139-63</f>
        <v>472503</v>
      </c>
      <c r="D39" s="466">
        <v>583048</v>
      </c>
      <c r="E39" s="466">
        <v>45226</v>
      </c>
      <c r="F39" s="466">
        <v>130208</v>
      </c>
      <c r="G39" s="466">
        <f>92397-34437</f>
        <v>57960</v>
      </c>
      <c r="H39" s="466"/>
      <c r="I39" s="466">
        <v>542931</v>
      </c>
      <c r="J39" s="467">
        <v>179791</v>
      </c>
      <c r="K39" s="466">
        <v>42709</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5478236</v>
      </c>
      <c r="N40" s="497"/>
    </row>
    <row r="41" spans="1:14" ht="13.5" customHeight="1" thickBot="1" x14ac:dyDescent="0.25">
      <c r="A41" s="1736" t="s">
        <v>655</v>
      </c>
      <c r="B41" s="1706"/>
      <c r="C41" s="1688">
        <f>(SUM(C34,C37,C38,C39))</f>
        <v>481705</v>
      </c>
      <c r="D41" s="1688">
        <f t="shared" ref="D41:L41" si="2">SUM(D34,D37,D38:D39)</f>
        <v>583048</v>
      </c>
      <c r="E41" s="1688">
        <f t="shared" si="2"/>
        <v>45226</v>
      </c>
      <c r="F41" s="1688">
        <f t="shared" si="2"/>
        <v>130208</v>
      </c>
      <c r="G41" s="1688">
        <f t="shared" si="2"/>
        <v>92397</v>
      </c>
      <c r="H41" s="1688">
        <f t="shared" si="2"/>
        <v>0</v>
      </c>
      <c r="I41" s="1688">
        <f t="shared" si="2"/>
        <v>542931</v>
      </c>
      <c r="J41" s="1688">
        <f t="shared" si="2"/>
        <v>179791</v>
      </c>
      <c r="K41" s="1688">
        <f t="shared" si="2"/>
        <v>42709</v>
      </c>
      <c r="L41" s="1688">
        <f t="shared" si="2"/>
        <v>34273</v>
      </c>
      <c r="M41" s="1688">
        <f>SUM(M40)</f>
        <v>5478236</v>
      </c>
      <c r="N41" s="1688">
        <f>SUM(N37)</f>
        <v>1133639</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 xml:space="preserve">&amp;L&amp;8Print Date:  &amp;D
&amp;F&amp;CThe notes are an integral part of these financial statements.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pane="bottomLeft" activeCell="C10" sqref="C1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5" t="s">
        <v>1499</v>
      </c>
      <c r="B4" s="1926">
        <v>1000</v>
      </c>
      <c r="C4" s="1742">
        <f>'Revenues 9-14'!C109</f>
        <v>1547735</v>
      </c>
      <c r="D4" s="1742">
        <f>'Revenues 9-14'!D109</f>
        <v>306734</v>
      </c>
      <c r="E4" s="1742">
        <f>'Revenues 9-14'!E109</f>
        <v>149708</v>
      </c>
      <c r="F4" s="1742">
        <f>'Revenues 9-14'!F109</f>
        <v>163835</v>
      </c>
      <c r="G4" s="1742">
        <f>'Revenues 9-14'!G109</f>
        <v>164099</v>
      </c>
      <c r="H4" s="1742">
        <f>'Revenues 9-14'!H109</f>
        <v>0</v>
      </c>
      <c r="I4" s="1742">
        <f>'Revenues 9-14'!I109</f>
        <v>21911</v>
      </c>
      <c r="J4" s="1742">
        <f>'Revenues 9-14'!J109</f>
        <v>313948</v>
      </c>
      <c r="K4" s="1742">
        <f>'Revenues 9-14'!K109</f>
        <v>21051</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599305</v>
      </c>
      <c r="D6" s="1743">
        <f>'Revenues 9-14'!D170</f>
        <v>0</v>
      </c>
      <c r="E6" s="1743">
        <f>'Revenues 9-14'!E170</f>
        <v>0</v>
      </c>
      <c r="F6" s="1743">
        <f>'Revenues 9-14'!F170</f>
        <v>167471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171050</v>
      </c>
      <c r="D7" s="1743">
        <f>'Revenues 9-14'!D267</f>
        <v>0</v>
      </c>
      <c r="E7" s="1743">
        <f>'Revenues 9-14'!E267</f>
        <v>0</v>
      </c>
      <c r="F7" s="1743">
        <f>'Revenues 9-14'!F267</f>
        <v>5595</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2318090</v>
      </c>
      <c r="D8" s="1688">
        <f t="shared" ref="D8:K8" si="0">SUM(D4:D7)</f>
        <v>306734</v>
      </c>
      <c r="E8" s="1688">
        <f t="shared" si="0"/>
        <v>149708</v>
      </c>
      <c r="F8" s="1688">
        <f t="shared" si="0"/>
        <v>336901</v>
      </c>
      <c r="G8" s="1688">
        <f t="shared" si="0"/>
        <v>164099</v>
      </c>
      <c r="H8" s="1688">
        <f t="shared" si="0"/>
        <v>0</v>
      </c>
      <c r="I8" s="1688">
        <f t="shared" si="0"/>
        <v>21911</v>
      </c>
      <c r="J8" s="1688">
        <f t="shared" si="0"/>
        <v>313948</v>
      </c>
      <c r="K8" s="1688">
        <f t="shared" si="0"/>
        <v>21051</v>
      </c>
      <c r="L8" s="347"/>
    </row>
    <row r="9" spans="1:13" ht="15.75" thickTop="1" x14ac:dyDescent="0.2">
      <c r="A9" s="514" t="s">
        <v>1653</v>
      </c>
      <c r="B9" s="515">
        <v>3998</v>
      </c>
      <c r="C9" s="481">
        <v>1214338</v>
      </c>
      <c r="D9" s="516"/>
      <c r="E9" s="481"/>
      <c r="F9" s="481"/>
      <c r="G9" s="517"/>
      <c r="H9" s="481"/>
      <c r="I9" s="509" t="s">
        <v>1169</v>
      </c>
      <c r="J9" s="478"/>
      <c r="K9" s="481"/>
      <c r="L9" s="347"/>
    </row>
    <row r="10" spans="1:13" s="519" customFormat="1" ht="13.5" thickBot="1" x14ac:dyDescent="0.25">
      <c r="A10" s="1736" t="s">
        <v>1173</v>
      </c>
      <c r="B10" s="1709"/>
      <c r="C10" s="1688">
        <f>SUM(C8:C9)</f>
        <v>3532428</v>
      </c>
      <c r="D10" s="1688">
        <f t="shared" ref="D10:K10" si="1">SUM(D8:D9)</f>
        <v>306734</v>
      </c>
      <c r="E10" s="1688">
        <f t="shared" si="1"/>
        <v>149708</v>
      </c>
      <c r="F10" s="1688">
        <f t="shared" si="1"/>
        <v>336901</v>
      </c>
      <c r="G10" s="1688">
        <f t="shared" si="1"/>
        <v>164099</v>
      </c>
      <c r="H10" s="1688">
        <f t="shared" si="1"/>
        <v>0</v>
      </c>
      <c r="I10" s="1688">
        <f t="shared" si="1"/>
        <v>21911</v>
      </c>
      <c r="J10" s="1688">
        <f t="shared" si="1"/>
        <v>313948</v>
      </c>
      <c r="K10" s="1688">
        <f t="shared" si="1"/>
        <v>21051</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1989437</v>
      </c>
      <c r="D12" s="520" t="s">
        <v>1169</v>
      </c>
      <c r="E12" s="468" t="s">
        <v>1169</v>
      </c>
      <c r="F12" s="468" t="s">
        <v>1169</v>
      </c>
      <c r="G12" s="1742">
        <f>'Expenditures 15-22'!K229</f>
        <v>51292</v>
      </c>
      <c r="H12" s="521"/>
      <c r="I12" s="468" t="s">
        <v>1169</v>
      </c>
      <c r="J12" s="468" t="s">
        <v>1169</v>
      </c>
      <c r="K12" s="521" t="s">
        <v>1169</v>
      </c>
      <c r="L12" s="347"/>
    </row>
    <row r="13" spans="1:13" ht="15.75" customHeight="1" x14ac:dyDescent="0.2">
      <c r="A13" s="1576" t="s">
        <v>457</v>
      </c>
      <c r="B13" s="1578">
        <v>2000</v>
      </c>
      <c r="C13" s="1743">
        <f>'Expenditures 15-22'!K74</f>
        <v>666026</v>
      </c>
      <c r="D13" s="1743">
        <f>'Expenditures 15-22'!K129</f>
        <v>345725</v>
      </c>
      <c r="E13" s="469" t="s">
        <v>1169</v>
      </c>
      <c r="F13" s="1743">
        <f>'Expenditures 15-22'!K184</f>
        <v>163981</v>
      </c>
      <c r="G13" s="1743">
        <f>'Expenditures 15-22'!K279</f>
        <v>80420</v>
      </c>
      <c r="H13" s="1743">
        <f>'Expenditures 15-22'!K303</f>
        <v>0</v>
      </c>
      <c r="I13" s="468" t="s">
        <v>1169</v>
      </c>
      <c r="J13" s="1743">
        <f>'Expenditures 15-22'!K330</f>
        <v>184233</v>
      </c>
      <c r="K13" s="1747">
        <f>'Expenditures 15-22'!K352</f>
        <v>34519</v>
      </c>
      <c r="L13" s="347"/>
    </row>
    <row r="14" spans="1:13" ht="15.75" customHeight="1" x14ac:dyDescent="0.2">
      <c r="A14" s="1576" t="s">
        <v>449</v>
      </c>
      <c r="B14" s="1578">
        <v>3000</v>
      </c>
      <c r="C14" s="1743">
        <f>'Expenditures 15-22'!K75</f>
        <v>0</v>
      </c>
      <c r="D14" s="1743">
        <f>'Expenditures 15-22'!K130</f>
        <v>0</v>
      </c>
      <c r="E14" s="520" t="s">
        <v>1169</v>
      </c>
      <c r="F14" s="1743">
        <f>'Expenditures 15-22'!K185</f>
        <v>0</v>
      </c>
      <c r="G14" s="1743">
        <f>'Expenditures 15-22'!K280</f>
        <v>0</v>
      </c>
      <c r="H14" s="512"/>
      <c r="I14" s="468" t="s">
        <v>1169</v>
      </c>
      <c r="J14" s="468" t="s">
        <v>1169</v>
      </c>
      <c r="K14" s="512" t="s">
        <v>1169</v>
      </c>
      <c r="L14" s="347"/>
    </row>
    <row r="15" spans="1:13" ht="15.75" customHeight="1" x14ac:dyDescent="0.2">
      <c r="A15" s="1576" t="s">
        <v>107</v>
      </c>
      <c r="B15" s="1578">
        <v>4000</v>
      </c>
      <c r="C15" s="1743">
        <f>'Expenditures 15-22'!K102</f>
        <v>59308</v>
      </c>
      <c r="D15" s="1743">
        <f>'Expenditures 15-22'!K139</f>
        <v>0</v>
      </c>
      <c r="E15" s="1743">
        <f>'Expenditures 15-22'!K160</f>
        <v>0</v>
      </c>
      <c r="F15" s="1743">
        <f>'Expenditures 15-22'!K196</f>
        <v>25938</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150000</v>
      </c>
      <c r="F16" s="1743">
        <f>'Expenditures 15-22'!K208</f>
        <v>83796</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2714771</v>
      </c>
      <c r="D17" s="1688">
        <f t="shared" si="2"/>
        <v>345725</v>
      </c>
      <c r="E17" s="1688">
        <f t="shared" si="2"/>
        <v>150000</v>
      </c>
      <c r="F17" s="1688">
        <f t="shared" si="2"/>
        <v>273715</v>
      </c>
      <c r="G17" s="1688">
        <f t="shared" si="2"/>
        <v>131712</v>
      </c>
      <c r="H17" s="1688">
        <f t="shared" si="2"/>
        <v>0</v>
      </c>
      <c r="I17" s="468"/>
      <c r="J17" s="1688">
        <f>SUM(J12:J16)</f>
        <v>184233</v>
      </c>
      <c r="K17" s="1688">
        <f>SUM(K12:K16)</f>
        <v>34519</v>
      </c>
      <c r="L17" s="347"/>
    </row>
    <row r="18" spans="1:12" ht="15" customHeight="1" thickTop="1" x14ac:dyDescent="0.2">
      <c r="A18" s="1744" t="s">
        <v>1654</v>
      </c>
      <c r="B18" s="1745">
        <v>4180</v>
      </c>
      <c r="C18" s="1742">
        <f t="shared" ref="C18:H18" si="3">C9</f>
        <v>1214338</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3929109</v>
      </c>
      <c r="D19" s="1688">
        <f t="shared" si="4"/>
        <v>345725</v>
      </c>
      <c r="E19" s="1688">
        <f t="shared" si="4"/>
        <v>150000</v>
      </c>
      <c r="F19" s="1688">
        <f t="shared" si="4"/>
        <v>273715</v>
      </c>
      <c r="G19" s="1688">
        <f t="shared" si="4"/>
        <v>131712</v>
      </c>
      <c r="H19" s="1688">
        <f t="shared" si="4"/>
        <v>0</v>
      </c>
      <c r="I19" s="468"/>
      <c r="J19" s="1688">
        <f>SUM(J17:J18)</f>
        <v>184233</v>
      </c>
      <c r="K19" s="1688">
        <f>SUM(K17:K18)</f>
        <v>34519</v>
      </c>
      <c r="L19" s="347"/>
    </row>
    <row r="20" spans="1:12" ht="16.5" thickTop="1" thickBot="1" x14ac:dyDescent="0.25">
      <c r="A20" s="2125" t="s">
        <v>1655</v>
      </c>
      <c r="B20" s="2126"/>
      <c r="C20" s="1746">
        <f>C8-C17</f>
        <v>-396681</v>
      </c>
      <c r="D20" s="1746">
        <f t="shared" ref="D20:K20" si="5">D8-D17</f>
        <v>-38991</v>
      </c>
      <c r="E20" s="1746">
        <f t="shared" si="5"/>
        <v>-292</v>
      </c>
      <c r="F20" s="1746">
        <f t="shared" si="5"/>
        <v>63186</v>
      </c>
      <c r="G20" s="1746">
        <f t="shared" si="5"/>
        <v>32387</v>
      </c>
      <c r="H20" s="1746">
        <f t="shared" si="5"/>
        <v>0</v>
      </c>
      <c r="I20" s="1746">
        <f t="shared" si="5"/>
        <v>21911</v>
      </c>
      <c r="J20" s="1746">
        <f t="shared" si="5"/>
        <v>129715</v>
      </c>
      <c r="K20" s="1746">
        <f t="shared" si="5"/>
        <v>-13468</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v>500000</v>
      </c>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0</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c r="D43" s="467"/>
      <c r="E43" s="467"/>
      <c r="F43" s="467"/>
      <c r="G43" s="467"/>
      <c r="H43" s="467"/>
      <c r="I43" s="467"/>
      <c r="J43" s="467"/>
      <c r="K43" s="467"/>
      <c r="L43" s="524"/>
    </row>
    <row r="44" spans="1:12" s="485" customFormat="1" ht="13.5" customHeight="1" thickBot="1" x14ac:dyDescent="0.25">
      <c r="A44" s="2139" t="s">
        <v>374</v>
      </c>
      <c r="B44" s="2140"/>
      <c r="C44" s="1703">
        <f>SUM(C24:C43)</f>
        <v>0</v>
      </c>
      <c r="D44" s="1703">
        <f t="shared" ref="D44:K44" si="6">SUM(D24:D43)</f>
        <v>0</v>
      </c>
      <c r="E44" s="1703">
        <f t="shared" si="6"/>
        <v>0</v>
      </c>
      <c r="F44" s="1703">
        <f t="shared" si="6"/>
        <v>0</v>
      </c>
      <c r="G44" s="1703">
        <f t="shared" si="6"/>
        <v>0</v>
      </c>
      <c r="H44" s="1703">
        <f t="shared" si="6"/>
        <v>0</v>
      </c>
      <c r="I44" s="1703">
        <f t="shared" si="6"/>
        <v>500000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v>4105</v>
      </c>
      <c r="J75" s="530"/>
      <c r="K75" s="532"/>
      <c r="L75" s="524"/>
    </row>
    <row r="76" spans="1:12" s="485" customFormat="1" ht="14.25" thickTop="1" thickBot="1" x14ac:dyDescent="0.25">
      <c r="A76" s="2115" t="s">
        <v>440</v>
      </c>
      <c r="B76" s="2116"/>
      <c r="C76" s="1703">
        <f t="shared" ref="C76:K76" si="7">SUM(C47:C75)</f>
        <v>0</v>
      </c>
      <c r="D76" s="1703">
        <f t="shared" si="7"/>
        <v>0</v>
      </c>
      <c r="E76" s="1703">
        <f t="shared" si="7"/>
        <v>0</v>
      </c>
      <c r="F76" s="1703">
        <f t="shared" si="7"/>
        <v>0</v>
      </c>
      <c r="G76" s="1703">
        <f t="shared" si="7"/>
        <v>0</v>
      </c>
      <c r="H76" s="1703">
        <f t="shared" si="7"/>
        <v>0</v>
      </c>
      <c r="I76" s="1703">
        <f t="shared" si="7"/>
        <v>4105</v>
      </c>
      <c r="J76" s="1703">
        <f t="shared" si="7"/>
        <v>0</v>
      </c>
      <c r="K76" s="1703">
        <f t="shared" si="7"/>
        <v>0</v>
      </c>
      <c r="L76" s="524"/>
    </row>
    <row r="77" spans="1:12" ht="14.25" thickTop="1" thickBot="1" x14ac:dyDescent="0.25">
      <c r="A77" s="2117" t="s">
        <v>1177</v>
      </c>
      <c r="B77" s="2118"/>
      <c r="C77" s="1703">
        <f t="shared" ref="C77:K77" si="8">C44-C76</f>
        <v>0</v>
      </c>
      <c r="D77" s="1703">
        <f t="shared" si="8"/>
        <v>0</v>
      </c>
      <c r="E77" s="1703">
        <f t="shared" si="8"/>
        <v>0</v>
      </c>
      <c r="F77" s="1703">
        <f t="shared" si="8"/>
        <v>0</v>
      </c>
      <c r="G77" s="1703">
        <f t="shared" si="8"/>
        <v>0</v>
      </c>
      <c r="H77" s="1703">
        <f t="shared" si="8"/>
        <v>0</v>
      </c>
      <c r="I77" s="1703">
        <f t="shared" si="8"/>
        <v>495895</v>
      </c>
      <c r="J77" s="1703">
        <f t="shared" si="8"/>
        <v>0</v>
      </c>
      <c r="K77" s="1703">
        <f t="shared" si="8"/>
        <v>0</v>
      </c>
      <c r="L77" s="347"/>
    </row>
    <row r="78" spans="1:12" ht="21.75" customHeight="1" thickTop="1" thickBot="1" x14ac:dyDescent="0.25">
      <c r="A78" s="2121" t="s">
        <v>597</v>
      </c>
      <c r="B78" s="2122"/>
      <c r="C78" s="1702">
        <f t="shared" ref="C78:K78" si="9">C20+C77</f>
        <v>-396681</v>
      </c>
      <c r="D78" s="1702">
        <f t="shared" si="9"/>
        <v>-38991</v>
      </c>
      <c r="E78" s="1702">
        <f t="shared" si="9"/>
        <v>-292</v>
      </c>
      <c r="F78" s="1702">
        <f t="shared" si="9"/>
        <v>63186</v>
      </c>
      <c r="G78" s="1702">
        <f t="shared" si="9"/>
        <v>32387</v>
      </c>
      <c r="H78" s="1702">
        <f t="shared" si="9"/>
        <v>0</v>
      </c>
      <c r="I78" s="1702">
        <f t="shared" si="9"/>
        <v>517806</v>
      </c>
      <c r="J78" s="1702">
        <f t="shared" si="9"/>
        <v>129715</v>
      </c>
      <c r="K78" s="1702">
        <f t="shared" si="9"/>
        <v>-13468</v>
      </c>
      <c r="L78" s="533"/>
    </row>
    <row r="79" spans="1:12" ht="13.5" thickTop="1" x14ac:dyDescent="0.2">
      <c r="A79" s="1494" t="s">
        <v>1948</v>
      </c>
      <c r="B79" s="534"/>
      <c r="C79" s="478">
        <v>878323</v>
      </c>
      <c r="D79" s="535">
        <v>622039</v>
      </c>
      <c r="E79" s="535">
        <v>45518</v>
      </c>
      <c r="F79" s="535">
        <v>67022</v>
      </c>
      <c r="G79" s="535">
        <v>60010</v>
      </c>
      <c r="H79" s="535"/>
      <c r="I79" s="535">
        <v>25125</v>
      </c>
      <c r="J79" s="535">
        <v>50076</v>
      </c>
      <c r="K79" s="535">
        <v>56177</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1949</v>
      </c>
      <c r="B81" s="2120"/>
      <c r="C81" s="1688">
        <f>(SUM(C78:C80))</f>
        <v>481642</v>
      </c>
      <c r="D81" s="1688">
        <f>SUM(D78:D80)</f>
        <v>583048</v>
      </c>
      <c r="E81" s="1688">
        <f t="shared" ref="E81:K81" si="10">SUM(E78:E80)</f>
        <v>45226</v>
      </c>
      <c r="F81" s="1688">
        <f t="shared" si="10"/>
        <v>130208</v>
      </c>
      <c r="G81" s="1688">
        <f t="shared" si="10"/>
        <v>92397</v>
      </c>
      <c r="H81" s="1688">
        <f t="shared" si="10"/>
        <v>0</v>
      </c>
      <c r="I81" s="1688">
        <f t="shared" si="10"/>
        <v>542931</v>
      </c>
      <c r="J81" s="1688">
        <f t="shared" si="10"/>
        <v>179791</v>
      </c>
      <c r="K81" s="1688">
        <f t="shared" si="10"/>
        <v>42709</v>
      </c>
      <c r="L81" s="347"/>
    </row>
    <row r="82" spans="1:12" ht="0.75" customHeight="1" thickTop="1" thickBot="1" x14ac:dyDescent="0.25">
      <c r="A82" s="536" t="s">
        <v>343</v>
      </c>
      <c r="B82" s="537"/>
      <c r="C82" s="538">
        <f>(C81-C79)</f>
        <v>-396681</v>
      </c>
      <c r="D82" s="538">
        <f t="shared" ref="D82:K82" si="11">(D81-D79)</f>
        <v>-38991</v>
      </c>
      <c r="E82" s="538">
        <f t="shared" si="11"/>
        <v>-292</v>
      </c>
      <c r="F82" s="538">
        <f t="shared" si="11"/>
        <v>63186</v>
      </c>
      <c r="G82" s="538">
        <f t="shared" si="11"/>
        <v>32387</v>
      </c>
      <c r="H82" s="538">
        <f t="shared" si="11"/>
        <v>0</v>
      </c>
      <c r="I82" s="538">
        <f t="shared" si="11"/>
        <v>517806</v>
      </c>
      <c r="J82" s="538">
        <f t="shared" si="11"/>
        <v>129715</v>
      </c>
      <c r="K82" s="538">
        <f t="shared" si="11"/>
        <v>-13468</v>
      </c>
    </row>
    <row r="83" spans="1:12" ht="14.25" hidden="1" thickTop="1" thickBot="1" x14ac:dyDescent="0.25">
      <c r="A83" s="539" t="s">
        <v>344</v>
      </c>
      <c r="B83" s="464"/>
      <c r="C83" s="540">
        <f>C82/C81</f>
        <v>-0.82360134705860366</v>
      </c>
      <c r="D83" s="540">
        <f t="shared" ref="D83:K83" si="12">D82/D81</f>
        <v>-6.6874425433240486E-2</v>
      </c>
      <c r="E83" s="540">
        <f t="shared" si="12"/>
        <v>-6.4564630964489451E-3</v>
      </c>
      <c r="F83" s="540">
        <f t="shared" si="12"/>
        <v>0.48526972229048904</v>
      </c>
      <c r="G83" s="540">
        <f t="shared" si="12"/>
        <v>0.35052003852938945</v>
      </c>
      <c r="H83" s="540" t="e">
        <f t="shared" si="12"/>
        <v>#DIV/0!</v>
      </c>
      <c r="I83" s="540">
        <f t="shared" si="12"/>
        <v>0.95372340131618938</v>
      </c>
      <c r="J83" s="540">
        <f t="shared" si="12"/>
        <v>0.72147660338949116</v>
      </c>
      <c r="K83" s="540">
        <f t="shared" si="12"/>
        <v>-0.31534337024983022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 xml:space="preserve">&amp;L&amp;8Print Date: &amp;D
&amp;F&amp;CThe notes are an integral part of these financial statements.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66" activePane="bottomLeft" state="frozen"/>
      <selection pane="bottomLeft" activeCell="C104" sqref="C10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1419360</v>
      </c>
      <c r="D5" s="481">
        <v>298816</v>
      </c>
      <c r="E5" s="466">
        <v>149426</v>
      </c>
      <c r="F5" s="548">
        <v>84664</v>
      </c>
      <c r="G5" s="466">
        <v>69724</v>
      </c>
      <c r="H5" s="466"/>
      <c r="I5" s="466">
        <v>20921</v>
      </c>
      <c r="J5" s="467">
        <v>311763</v>
      </c>
      <c r="K5" s="466">
        <v>20921</v>
      </c>
    </row>
    <row r="6" spans="1:12" ht="15" x14ac:dyDescent="0.2">
      <c r="A6" s="463" t="s">
        <v>1662</v>
      </c>
      <c r="B6" s="470">
        <v>1130</v>
      </c>
      <c r="C6" s="466">
        <v>20921</v>
      </c>
      <c r="D6" s="466"/>
      <c r="E6" s="475"/>
      <c r="F6" s="475"/>
      <c r="G6" s="468"/>
      <c r="H6" s="468"/>
      <c r="I6" s="468"/>
      <c r="J6" s="468"/>
      <c r="K6" s="468"/>
    </row>
    <row r="7" spans="1:12" x14ac:dyDescent="0.2">
      <c r="A7" s="463" t="s">
        <v>110</v>
      </c>
      <c r="B7" s="549">
        <v>1140</v>
      </c>
      <c r="C7" s="466">
        <v>16936</v>
      </c>
      <c r="D7" s="466"/>
      <c r="E7" s="468"/>
      <c r="F7" s="467"/>
      <c r="G7" s="467"/>
      <c r="H7" s="467"/>
      <c r="I7" s="468"/>
      <c r="J7" s="468"/>
      <c r="K7" s="468"/>
    </row>
    <row r="8" spans="1:12" x14ac:dyDescent="0.2">
      <c r="A8" s="463" t="s">
        <v>413</v>
      </c>
      <c r="B8" s="470">
        <v>1150</v>
      </c>
      <c r="C8" s="475"/>
      <c r="D8" s="475"/>
      <c r="E8" s="477"/>
      <c r="F8" s="477"/>
      <c r="G8" s="481">
        <v>89646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1457217</v>
      </c>
      <c r="D12" s="1707">
        <f t="shared" si="0"/>
        <v>298816</v>
      </c>
      <c r="E12" s="1707">
        <f t="shared" si="0"/>
        <v>149426</v>
      </c>
      <c r="F12" s="1707">
        <f t="shared" si="0"/>
        <v>84664</v>
      </c>
      <c r="G12" s="1707">
        <f t="shared" si="0"/>
        <v>159370</v>
      </c>
      <c r="H12" s="1707">
        <f t="shared" si="0"/>
        <v>0</v>
      </c>
      <c r="I12" s="1707">
        <f t="shared" si="0"/>
        <v>20921</v>
      </c>
      <c r="J12" s="1707">
        <f t="shared" si="0"/>
        <v>311763</v>
      </c>
      <c r="K12" s="1688">
        <f t="shared" si="0"/>
        <v>20921</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v>108</v>
      </c>
      <c r="D14" s="466">
        <v>22</v>
      </c>
      <c r="E14" s="466">
        <v>12</v>
      </c>
      <c r="F14" s="466">
        <v>6</v>
      </c>
      <c r="G14" s="466">
        <v>12</v>
      </c>
      <c r="H14" s="466"/>
      <c r="I14" s="466">
        <v>1</v>
      </c>
      <c r="J14" s="467">
        <v>19</v>
      </c>
      <c r="K14" s="466">
        <v>1</v>
      </c>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c r="D16" s="466"/>
      <c r="E16" s="466"/>
      <c r="F16" s="466">
        <v>76231</v>
      </c>
      <c r="G16" s="466">
        <v>4300</v>
      </c>
      <c r="H16" s="466"/>
      <c r="I16" s="466"/>
      <c r="J16" s="467"/>
      <c r="K16" s="466"/>
    </row>
    <row r="17" spans="1:11" ht="12.75" customHeight="1" x14ac:dyDescent="0.2">
      <c r="A17" s="463" t="s">
        <v>807</v>
      </c>
      <c r="B17" s="470">
        <v>1290</v>
      </c>
      <c r="C17" s="551"/>
      <c r="D17" s="466">
        <v>2214</v>
      </c>
      <c r="E17" s="466"/>
      <c r="F17" s="466"/>
      <c r="G17" s="466"/>
      <c r="H17" s="466"/>
      <c r="I17" s="466"/>
      <c r="J17" s="467"/>
      <c r="K17" s="466"/>
    </row>
    <row r="18" spans="1:11" ht="12.75" customHeight="1" thickBot="1" x14ac:dyDescent="0.25">
      <c r="A18" s="1708" t="s">
        <v>537</v>
      </c>
      <c r="B18" s="1709"/>
      <c r="C18" s="1710">
        <f>SUM(C14:C17)</f>
        <v>108</v>
      </c>
      <c r="D18" s="1710">
        <f t="shared" ref="D18:K18" si="1">SUM(D14:D17)</f>
        <v>2236</v>
      </c>
      <c r="E18" s="1710">
        <f t="shared" si="1"/>
        <v>12</v>
      </c>
      <c r="F18" s="1710">
        <f t="shared" si="1"/>
        <v>76237</v>
      </c>
      <c r="G18" s="1710">
        <f t="shared" si="1"/>
        <v>4312</v>
      </c>
      <c r="H18" s="1710">
        <f t="shared" si="1"/>
        <v>0</v>
      </c>
      <c r="I18" s="1710">
        <f t="shared" si="1"/>
        <v>1</v>
      </c>
      <c r="J18" s="1710">
        <f t="shared" si="1"/>
        <v>19</v>
      </c>
      <c r="K18" s="1711">
        <f t="shared" si="1"/>
        <v>1</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v>2784</v>
      </c>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2784</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4113</v>
      </c>
      <c r="D65" s="466">
        <v>2868</v>
      </c>
      <c r="E65" s="466">
        <v>270</v>
      </c>
      <c r="F65" s="467">
        <v>150</v>
      </c>
      <c r="G65" s="466">
        <v>417</v>
      </c>
      <c r="H65" s="466"/>
      <c r="I65" s="466">
        <v>989</v>
      </c>
      <c r="J65" s="467">
        <v>766</v>
      </c>
      <c r="K65" s="466">
        <v>129</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4113</v>
      </c>
      <c r="D67" s="1688">
        <f t="shared" ref="D67:K67" si="2">SUM(D65:D66)</f>
        <v>2868</v>
      </c>
      <c r="E67" s="1688">
        <f t="shared" si="2"/>
        <v>270</v>
      </c>
      <c r="F67" s="1688">
        <f t="shared" si="2"/>
        <v>150</v>
      </c>
      <c r="G67" s="1688">
        <f t="shared" si="2"/>
        <v>417</v>
      </c>
      <c r="H67" s="1688">
        <f t="shared" si="2"/>
        <v>0</v>
      </c>
      <c r="I67" s="1688">
        <f t="shared" si="2"/>
        <v>989</v>
      </c>
      <c r="J67" s="1688">
        <f t="shared" si="2"/>
        <v>766</v>
      </c>
      <c r="K67" s="1688">
        <f t="shared" si="2"/>
        <v>129</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33207</v>
      </c>
      <c r="D69" s="468"/>
      <c r="E69" s="468"/>
      <c r="F69" s="468"/>
      <c r="G69" s="468"/>
      <c r="H69" s="468"/>
      <c r="I69" s="468"/>
      <c r="J69" s="468"/>
      <c r="K69" s="468"/>
    </row>
    <row r="70" spans="1:11" ht="12.75" customHeight="1" x14ac:dyDescent="0.2">
      <c r="A70" s="463" t="s">
        <v>997</v>
      </c>
      <c r="B70" s="470">
        <v>1612</v>
      </c>
      <c r="C70" s="551">
        <v>666</v>
      </c>
      <c r="D70" s="468"/>
      <c r="E70" s="468"/>
      <c r="F70" s="468"/>
      <c r="G70" s="468"/>
      <c r="H70" s="468"/>
      <c r="I70" s="468"/>
      <c r="J70" s="468"/>
      <c r="K70" s="468"/>
    </row>
    <row r="71" spans="1:11" ht="12.75" customHeight="1" x14ac:dyDescent="0.2">
      <c r="A71" s="463" t="s">
        <v>273</v>
      </c>
      <c r="B71" s="470">
        <v>1613</v>
      </c>
      <c r="C71" s="551">
        <v>906</v>
      </c>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896</v>
      </c>
      <c r="D73" s="468"/>
      <c r="E73" s="468"/>
      <c r="F73" s="468"/>
      <c r="G73" s="468"/>
      <c r="H73" s="468"/>
      <c r="I73" s="468"/>
      <c r="J73" s="468"/>
      <c r="K73" s="468"/>
    </row>
    <row r="74" spans="1:11" ht="12.75" customHeight="1" x14ac:dyDescent="0.2">
      <c r="A74" s="463" t="s">
        <v>25</v>
      </c>
      <c r="B74" s="470">
        <v>1690</v>
      </c>
      <c r="C74" s="551">
        <v>64</v>
      </c>
      <c r="D74" s="468"/>
      <c r="E74" s="468"/>
      <c r="F74" s="468"/>
      <c r="G74" s="468"/>
      <c r="H74" s="468"/>
      <c r="I74" s="468"/>
      <c r="J74" s="468"/>
      <c r="K74" s="468"/>
    </row>
    <row r="75" spans="1:11" ht="12.75" customHeight="1" thickBot="1" x14ac:dyDescent="0.25">
      <c r="A75" s="1708" t="s">
        <v>548</v>
      </c>
      <c r="B75" s="1709"/>
      <c r="C75" s="1688">
        <f>SUM(C69:C74)</f>
        <v>35739</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10630</v>
      </c>
      <c r="D77" s="466"/>
      <c r="E77" s="468"/>
      <c r="F77" s="468"/>
      <c r="G77" s="468"/>
      <c r="H77" s="468"/>
      <c r="I77" s="468"/>
      <c r="J77" s="468"/>
      <c r="K77" s="468"/>
    </row>
    <row r="78" spans="1:11" ht="12.75" customHeight="1" x14ac:dyDescent="0.2">
      <c r="A78" s="463" t="s">
        <v>76</v>
      </c>
      <c r="B78" s="470">
        <v>1719</v>
      </c>
      <c r="C78" s="551">
        <v>270</v>
      </c>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v>1223</v>
      </c>
      <c r="D81" s="466"/>
      <c r="E81" s="468"/>
      <c r="F81" s="468"/>
      <c r="G81" s="468"/>
      <c r="H81" s="468"/>
      <c r="I81" s="468"/>
      <c r="J81" s="468"/>
      <c r="K81" s="468"/>
    </row>
    <row r="82" spans="1:11" ht="12.75" customHeight="1" thickBot="1" x14ac:dyDescent="0.25">
      <c r="A82" s="1708" t="s">
        <v>241</v>
      </c>
      <c r="B82" s="1709"/>
      <c r="C82" s="1707">
        <f>SUM(C77:C81)</f>
        <v>12123</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6397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6397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v>440</v>
      </c>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v>9648</v>
      </c>
      <c r="D98" s="466"/>
      <c r="E98" s="512"/>
      <c r="F98" s="466"/>
      <c r="G98" s="512"/>
      <c r="H98" s="512"/>
      <c r="I98" s="510"/>
      <c r="J98" s="512"/>
      <c r="K98" s="512"/>
    </row>
    <row r="99" spans="1:12" ht="12.75" customHeight="1" x14ac:dyDescent="0.2">
      <c r="A99" s="463" t="s">
        <v>821</v>
      </c>
      <c r="B99" s="470">
        <v>1950</v>
      </c>
      <c r="C99" s="489">
        <v>165</v>
      </c>
      <c r="D99" s="466"/>
      <c r="E99" s="466"/>
      <c r="F99" s="466"/>
      <c r="G99" s="466"/>
      <c r="H99" s="466"/>
      <c r="I99" s="468"/>
      <c r="J99" s="467">
        <v>1400</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500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16854</v>
      </c>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4871</v>
      </c>
      <c r="D107" s="466">
        <v>2374</v>
      </c>
      <c r="E107" s="466"/>
      <c r="F107" s="466"/>
      <c r="G107" s="466"/>
      <c r="H107" s="466"/>
      <c r="I107" s="466"/>
      <c r="J107" s="467"/>
      <c r="K107" s="466"/>
    </row>
    <row r="108" spans="1:12" ht="12.75" customHeight="1" thickBot="1" x14ac:dyDescent="0.25">
      <c r="A108" s="1708" t="s">
        <v>487</v>
      </c>
      <c r="B108" s="1712"/>
      <c r="C108" s="1707">
        <f>SUM(C95:C107)</f>
        <v>32038</v>
      </c>
      <c r="D108" s="1707">
        <f t="shared" ref="D108:K108" si="3">SUM(D95:D107)</f>
        <v>2814</v>
      </c>
      <c r="E108" s="1707">
        <f t="shared" si="3"/>
        <v>0</v>
      </c>
      <c r="F108" s="1707">
        <f t="shared" si="3"/>
        <v>0</v>
      </c>
      <c r="G108" s="1707">
        <f t="shared" si="3"/>
        <v>0</v>
      </c>
      <c r="H108" s="1707">
        <f t="shared" si="3"/>
        <v>0</v>
      </c>
      <c r="I108" s="1707">
        <f t="shared" si="3"/>
        <v>0</v>
      </c>
      <c r="J108" s="1707">
        <f t="shared" si="3"/>
        <v>1400</v>
      </c>
      <c r="K108" s="1688">
        <f t="shared" si="3"/>
        <v>0</v>
      </c>
    </row>
    <row r="109" spans="1:12" ht="14.25" thickTop="1" thickBot="1" x14ac:dyDescent="0.25">
      <c r="A109" s="1713" t="s">
        <v>248</v>
      </c>
      <c r="B109" s="1714" t="s">
        <v>570</v>
      </c>
      <c r="C109" s="1715">
        <f t="shared" ref="C109:K109" si="4">SUM(C12,C18,C40,C63,C67,C75,C82,C93,C108,)</f>
        <v>1547735</v>
      </c>
      <c r="D109" s="1715">
        <f t="shared" si="4"/>
        <v>306734</v>
      </c>
      <c r="E109" s="1715">
        <f t="shared" si="4"/>
        <v>149708</v>
      </c>
      <c r="F109" s="1715">
        <f t="shared" si="4"/>
        <v>163835</v>
      </c>
      <c r="G109" s="1715">
        <f t="shared" si="4"/>
        <v>164099</v>
      </c>
      <c r="H109" s="1715">
        <f t="shared" si="4"/>
        <v>0</v>
      </c>
      <c r="I109" s="1715">
        <f t="shared" si="4"/>
        <v>21911</v>
      </c>
      <c r="J109" s="1715">
        <f t="shared" si="4"/>
        <v>313948</v>
      </c>
      <c r="K109" s="1702">
        <f t="shared" si="4"/>
        <v>21051</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568532</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7"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568532</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21859</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21859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3626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3626</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718</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4076</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92262</v>
      </c>
      <c r="G152" s="467"/>
      <c r="H152" s="468"/>
      <c r="I152" s="468"/>
      <c r="J152" s="468"/>
      <c r="K152" s="468"/>
    </row>
    <row r="153" spans="1:11" ht="12.75" customHeight="1" x14ac:dyDescent="0.2">
      <c r="A153" s="463" t="s">
        <v>1057</v>
      </c>
      <c r="B153" s="562">
        <v>3510</v>
      </c>
      <c r="C153" s="551"/>
      <c r="D153" s="466"/>
      <c r="E153" s="561"/>
      <c r="F153" s="466">
        <v>75209</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167471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494</v>
      </c>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30773</v>
      </c>
      <c r="D169" s="1722">
        <f t="shared" si="6"/>
        <v>0</v>
      </c>
      <c r="E169" s="1722">
        <f t="shared" si="6"/>
        <v>0</v>
      </c>
      <c r="F169" s="1722">
        <f t="shared" si="6"/>
        <v>167471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599305</v>
      </c>
      <c r="D170" s="1715">
        <f t="shared" si="7"/>
        <v>0</v>
      </c>
      <c r="E170" s="1715">
        <f t="shared" si="7"/>
        <v>0</v>
      </c>
      <c r="F170" s="1715">
        <f t="shared" si="7"/>
        <v>167471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21024</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21024</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39611</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4972</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44583</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47673</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47673</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v>10000</v>
      </c>
      <c r="D207" s="466"/>
      <c r="E207" s="468"/>
      <c r="F207" s="466">
        <v>5595</v>
      </c>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10000</v>
      </c>
      <c r="D209" s="1707">
        <f>SUM(D206:D208)</f>
        <v>0</v>
      </c>
      <c r="E209" s="468" t="s">
        <v>1169</v>
      </c>
      <c r="F209" s="1707">
        <f>SUM(F206:F208)</f>
        <v>5595</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14406</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14406</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7871</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7" t="s">
        <v>1936</v>
      </c>
      <c r="B261" s="470">
        <v>4981</v>
      </c>
      <c r="C261" s="575"/>
      <c r="D261" s="576"/>
      <c r="E261" s="468"/>
      <c r="F261" s="576"/>
      <c r="G261" s="576"/>
      <c r="H261" s="468"/>
      <c r="I261" s="468"/>
      <c r="J261" s="468"/>
      <c r="K261" s="468"/>
    </row>
    <row r="262" spans="1:11" ht="12.75" customHeight="1" thickTop="1" thickBot="1" x14ac:dyDescent="0.25">
      <c r="A262" s="1928"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4401</v>
      </c>
      <c r="D263" s="576"/>
      <c r="E263" s="468"/>
      <c r="F263" s="576"/>
      <c r="G263" s="576"/>
      <c r="H263" s="468"/>
      <c r="I263" s="468"/>
      <c r="J263" s="468"/>
      <c r="K263" s="468"/>
    </row>
    <row r="264" spans="1:11" ht="12.75" customHeight="1" thickTop="1" thickBot="1" x14ac:dyDescent="0.25">
      <c r="A264" s="463" t="s">
        <v>377</v>
      </c>
      <c r="B264" s="470">
        <v>4992</v>
      </c>
      <c r="C264" s="575">
        <v>21092</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171050</v>
      </c>
      <c r="D266" s="1715">
        <f t="shared" si="10"/>
        <v>0</v>
      </c>
      <c r="E266" s="1715">
        <f t="shared" si="10"/>
        <v>0</v>
      </c>
      <c r="F266" s="1715">
        <f t="shared" si="10"/>
        <v>5595</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171050</v>
      </c>
      <c r="D267" s="1715">
        <f>SUM(D175,D181,D266)</f>
        <v>0</v>
      </c>
      <c r="E267" s="1715">
        <f>SUM(E175,E266)</f>
        <v>0</v>
      </c>
      <c r="F267" s="1715">
        <f t="shared" ref="F267:K267" si="11">SUM(F175,F181,F266)</f>
        <v>5595</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2318090</v>
      </c>
      <c r="D268" s="1715">
        <f t="shared" si="12"/>
        <v>306734</v>
      </c>
      <c r="E268" s="1715">
        <f t="shared" si="12"/>
        <v>149708</v>
      </c>
      <c r="F268" s="1715">
        <f t="shared" si="12"/>
        <v>336901</v>
      </c>
      <c r="G268" s="1715">
        <f t="shared" si="12"/>
        <v>164099</v>
      </c>
      <c r="H268" s="1715">
        <f t="shared" si="12"/>
        <v>0</v>
      </c>
      <c r="I268" s="1715">
        <f t="shared" si="12"/>
        <v>21911</v>
      </c>
      <c r="J268" s="1715">
        <f t="shared" si="12"/>
        <v>313948</v>
      </c>
      <c r="K268" s="1702">
        <f t="shared" si="12"/>
        <v>21051</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&amp;F&amp;CThe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202" activePane="bottomLeft" state="frozen"/>
      <selection pane="bottomLeft" activeCell="D223" sqref="D223"/>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1150867</v>
      </c>
      <c r="D5" s="466">
        <v>218395</v>
      </c>
      <c r="E5" s="466">
        <v>69353</v>
      </c>
      <c r="F5" s="466">
        <v>34509</v>
      </c>
      <c r="G5" s="466"/>
      <c r="H5" s="466"/>
      <c r="I5" s="467"/>
      <c r="J5" s="467"/>
      <c r="K5" s="1671">
        <f>SUM(C5:J5)</f>
        <v>1473124</v>
      </c>
      <c r="L5" s="466">
        <v>1584000</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c r="D7" s="467"/>
      <c r="E7" s="467"/>
      <c r="F7" s="467"/>
      <c r="G7" s="467"/>
      <c r="H7" s="467"/>
      <c r="I7" s="467"/>
      <c r="J7" s="467"/>
      <c r="K7" s="1671">
        <f t="shared" ref="K7:K32" si="0">SUM(C7:J7)</f>
        <v>0</v>
      </c>
      <c r="L7" s="466"/>
    </row>
    <row r="8" spans="1:14" x14ac:dyDescent="0.2">
      <c r="A8" s="1504" t="s">
        <v>164</v>
      </c>
      <c r="B8" s="614">
        <v>1200</v>
      </c>
      <c r="C8" s="466">
        <v>159668</v>
      </c>
      <c r="D8" s="466">
        <v>23678</v>
      </c>
      <c r="E8" s="466">
        <v>2417</v>
      </c>
      <c r="F8" s="466">
        <v>404</v>
      </c>
      <c r="G8" s="466"/>
      <c r="H8" s="466"/>
      <c r="I8" s="467"/>
      <c r="J8" s="467"/>
      <c r="K8" s="1671">
        <f t="shared" si="0"/>
        <v>186167</v>
      </c>
      <c r="L8" s="466">
        <v>178500</v>
      </c>
    </row>
    <row r="9" spans="1:14" x14ac:dyDescent="0.2">
      <c r="A9" s="1504" t="s">
        <v>721</v>
      </c>
      <c r="B9" s="614" t="s">
        <v>968</v>
      </c>
      <c r="C9" s="467"/>
      <c r="D9" s="467"/>
      <c r="E9" s="467"/>
      <c r="F9" s="467"/>
      <c r="G9" s="467"/>
      <c r="H9" s="467"/>
      <c r="I9" s="467"/>
      <c r="J9" s="467"/>
      <c r="K9" s="1671">
        <f t="shared" si="0"/>
        <v>0</v>
      </c>
      <c r="L9" s="466"/>
    </row>
    <row r="10" spans="1:14" x14ac:dyDescent="0.2">
      <c r="A10" s="1504" t="s">
        <v>722</v>
      </c>
      <c r="B10" s="614">
        <v>1250</v>
      </c>
      <c r="C10" s="466">
        <v>40000</v>
      </c>
      <c r="D10" s="466">
        <v>4266</v>
      </c>
      <c r="E10" s="466">
        <v>8303</v>
      </c>
      <c r="F10" s="466">
        <v>14059</v>
      </c>
      <c r="G10" s="466"/>
      <c r="H10" s="466"/>
      <c r="I10" s="467"/>
      <c r="J10" s="467"/>
      <c r="K10" s="1671">
        <f t="shared" si="0"/>
        <v>66628</v>
      </c>
      <c r="L10" s="466">
        <v>47673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v>111153</v>
      </c>
      <c r="D13" s="466">
        <v>18649</v>
      </c>
      <c r="E13" s="466"/>
      <c r="F13" s="466">
        <v>2810</v>
      </c>
      <c r="G13" s="466"/>
      <c r="H13" s="466"/>
      <c r="I13" s="467"/>
      <c r="J13" s="467"/>
      <c r="K13" s="1671">
        <f t="shared" si="0"/>
        <v>132612</v>
      </c>
      <c r="L13" s="466">
        <v>141300</v>
      </c>
    </row>
    <row r="14" spans="1:14" x14ac:dyDescent="0.2">
      <c r="A14" s="1504" t="s">
        <v>963</v>
      </c>
      <c r="B14" s="614">
        <v>1500</v>
      </c>
      <c r="C14" s="466">
        <v>36990</v>
      </c>
      <c r="D14" s="466">
        <v>54</v>
      </c>
      <c r="E14" s="466">
        <f>12048+1776</f>
        <v>13824</v>
      </c>
      <c r="F14" s="466">
        <f>5170+1770</f>
        <v>6940</v>
      </c>
      <c r="G14" s="466"/>
      <c r="H14" s="466">
        <f>1195+385</f>
        <v>1580</v>
      </c>
      <c r="I14" s="467"/>
      <c r="J14" s="467"/>
      <c r="K14" s="1671">
        <f t="shared" si="0"/>
        <v>59388</v>
      </c>
      <c r="L14" s="466">
        <v>75300</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v>7227</v>
      </c>
      <c r="D17" s="467">
        <v>107</v>
      </c>
      <c r="E17" s="467">
        <v>2120</v>
      </c>
      <c r="F17" s="467"/>
      <c r="G17" s="467"/>
      <c r="H17" s="467"/>
      <c r="I17" s="467"/>
      <c r="J17" s="467"/>
      <c r="K17" s="1671">
        <f t="shared" si="0"/>
        <v>9454</v>
      </c>
      <c r="L17" s="466">
        <v>10625</v>
      </c>
    </row>
    <row r="18" spans="1:12" x14ac:dyDescent="0.2">
      <c r="A18" s="1504" t="s">
        <v>1087</v>
      </c>
      <c r="B18" s="614">
        <v>1800</v>
      </c>
      <c r="C18" s="466"/>
      <c r="D18" s="466"/>
      <c r="E18" s="466"/>
      <c r="F18" s="466"/>
      <c r="G18" s="466"/>
      <c r="H18" s="466"/>
      <c r="I18" s="467"/>
      <c r="J18" s="467"/>
      <c r="K18" s="1671">
        <f t="shared" si="0"/>
        <v>0</v>
      </c>
      <c r="L18" s="466"/>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v>62064</v>
      </c>
      <c r="I22" s="616"/>
      <c r="J22" s="477"/>
      <c r="K22" s="1671">
        <f t="shared" si="0"/>
        <v>62064</v>
      </c>
      <c r="L22" s="471">
        <v>85000</v>
      </c>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1505905</v>
      </c>
      <c r="D33" s="1670">
        <f t="shared" ref="D33:L33" si="1">SUM(D5:D32)</f>
        <v>265149</v>
      </c>
      <c r="E33" s="1670">
        <f t="shared" si="1"/>
        <v>96017</v>
      </c>
      <c r="F33" s="1670">
        <f t="shared" si="1"/>
        <v>58722</v>
      </c>
      <c r="G33" s="1670">
        <f t="shared" si="1"/>
        <v>0</v>
      </c>
      <c r="H33" s="1670">
        <f t="shared" si="1"/>
        <v>63644</v>
      </c>
      <c r="I33" s="1670">
        <f t="shared" si="1"/>
        <v>0</v>
      </c>
      <c r="J33" s="1670">
        <f t="shared" si="1"/>
        <v>0</v>
      </c>
      <c r="K33" s="1670">
        <f t="shared" si="1"/>
        <v>1989437</v>
      </c>
      <c r="L33" s="1670">
        <f t="shared" si="1"/>
        <v>2122398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c r="D36" s="481"/>
      <c r="E36" s="481"/>
      <c r="F36" s="481"/>
      <c r="G36" s="481"/>
      <c r="H36" s="481"/>
      <c r="I36" s="467"/>
      <c r="J36" s="467"/>
      <c r="K36" s="1671">
        <f t="shared" ref="K36:K41" si="2">SUM(C36:J36)</f>
        <v>0</v>
      </c>
      <c r="L36" s="466"/>
    </row>
    <row r="37" spans="1:14" x14ac:dyDescent="0.2">
      <c r="A37" s="1504" t="s">
        <v>1090</v>
      </c>
      <c r="B37" s="614">
        <v>2120</v>
      </c>
      <c r="C37" s="466">
        <v>53330</v>
      </c>
      <c r="D37" s="466">
        <v>9252</v>
      </c>
      <c r="E37" s="466"/>
      <c r="F37" s="466">
        <v>200</v>
      </c>
      <c r="G37" s="466"/>
      <c r="H37" s="466"/>
      <c r="I37" s="467"/>
      <c r="J37" s="467"/>
      <c r="K37" s="1671">
        <f t="shared" si="2"/>
        <v>62782</v>
      </c>
      <c r="L37" s="466">
        <v>61675</v>
      </c>
    </row>
    <row r="38" spans="1:14" x14ac:dyDescent="0.2">
      <c r="A38" s="1504" t="s">
        <v>198</v>
      </c>
      <c r="B38" s="614">
        <v>2130</v>
      </c>
      <c r="C38" s="466">
        <v>38723</v>
      </c>
      <c r="D38" s="466">
        <v>8499</v>
      </c>
      <c r="E38" s="466">
        <v>1407</v>
      </c>
      <c r="F38" s="466">
        <v>1330</v>
      </c>
      <c r="G38" s="466"/>
      <c r="H38" s="466">
        <v>146</v>
      </c>
      <c r="I38" s="467"/>
      <c r="J38" s="467"/>
      <c r="K38" s="1671">
        <f t="shared" si="2"/>
        <v>50105</v>
      </c>
      <c r="L38" s="466">
        <v>55550</v>
      </c>
    </row>
    <row r="39" spans="1:14" x14ac:dyDescent="0.2">
      <c r="A39" s="1504" t="s">
        <v>199</v>
      </c>
      <c r="B39" s="614">
        <v>2140</v>
      </c>
      <c r="C39" s="466"/>
      <c r="D39" s="466"/>
      <c r="E39" s="466"/>
      <c r="F39" s="466"/>
      <c r="G39" s="466"/>
      <c r="H39" s="466"/>
      <c r="I39" s="467"/>
      <c r="J39" s="467"/>
      <c r="K39" s="1671">
        <f t="shared" si="2"/>
        <v>0</v>
      </c>
      <c r="L39" s="466"/>
    </row>
    <row r="40" spans="1:14" x14ac:dyDescent="0.2">
      <c r="A40" s="1504" t="s">
        <v>200</v>
      </c>
      <c r="B40" s="614">
        <v>2150</v>
      </c>
      <c r="C40" s="466"/>
      <c r="D40" s="466"/>
      <c r="E40" s="466">
        <v>72545</v>
      </c>
      <c r="F40" s="466"/>
      <c r="G40" s="466"/>
      <c r="H40" s="466"/>
      <c r="I40" s="467"/>
      <c r="J40" s="467"/>
      <c r="K40" s="1671">
        <f t="shared" si="2"/>
        <v>72545</v>
      </c>
      <c r="L40" s="466">
        <v>80000</v>
      </c>
    </row>
    <row r="41" spans="1:14" x14ac:dyDescent="0.2">
      <c r="A41" s="1504" t="s">
        <v>1669</v>
      </c>
      <c r="B41" s="614">
        <v>2190</v>
      </c>
      <c r="C41" s="466"/>
      <c r="D41" s="466"/>
      <c r="E41" s="466">
        <v>581</v>
      </c>
      <c r="F41" s="466">
        <v>573</v>
      </c>
      <c r="G41" s="466"/>
      <c r="H41" s="466"/>
      <c r="I41" s="467"/>
      <c r="J41" s="467"/>
      <c r="K41" s="1671">
        <f t="shared" si="2"/>
        <v>1154</v>
      </c>
      <c r="L41" s="466">
        <v>1400</v>
      </c>
    </row>
    <row r="42" spans="1:14" ht="12.75" customHeight="1" thickBot="1" x14ac:dyDescent="0.25">
      <c r="A42" s="1668" t="s">
        <v>560</v>
      </c>
      <c r="B42" s="1669" t="s">
        <v>716</v>
      </c>
      <c r="C42" s="1670">
        <f>SUM(C36:C41)</f>
        <v>92053</v>
      </c>
      <c r="D42" s="1670">
        <f t="shared" ref="D42:L42" si="3">SUM(D36:D41)</f>
        <v>17751</v>
      </c>
      <c r="E42" s="1670">
        <f t="shared" si="3"/>
        <v>74533</v>
      </c>
      <c r="F42" s="1670">
        <f t="shared" si="3"/>
        <v>2103</v>
      </c>
      <c r="G42" s="1670">
        <f t="shared" si="3"/>
        <v>0</v>
      </c>
      <c r="H42" s="1670">
        <f t="shared" si="3"/>
        <v>146</v>
      </c>
      <c r="I42" s="1670">
        <f t="shared" si="3"/>
        <v>0</v>
      </c>
      <c r="J42" s="1670">
        <f t="shared" si="3"/>
        <v>0</v>
      </c>
      <c r="K42" s="1670">
        <f t="shared" si="3"/>
        <v>186586</v>
      </c>
      <c r="L42" s="1670">
        <f t="shared" si="3"/>
        <v>198625</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c r="D44" s="481"/>
      <c r="E44" s="481">
        <v>5865</v>
      </c>
      <c r="F44" s="481"/>
      <c r="G44" s="481"/>
      <c r="H44" s="481"/>
      <c r="I44" s="467"/>
      <c r="J44" s="467"/>
      <c r="K44" s="1672">
        <f>SUM(C44:J44)</f>
        <v>5865</v>
      </c>
      <c r="L44" s="481">
        <v>5900</v>
      </c>
    </row>
    <row r="45" spans="1:14" x14ac:dyDescent="0.2">
      <c r="A45" s="1504" t="s">
        <v>815</v>
      </c>
      <c r="B45" s="614">
        <v>2220</v>
      </c>
      <c r="C45" s="466"/>
      <c r="D45" s="466"/>
      <c r="E45" s="466"/>
      <c r="F45" s="466">
        <v>1285</v>
      </c>
      <c r="G45" s="466"/>
      <c r="H45" s="466"/>
      <c r="I45" s="467"/>
      <c r="J45" s="467"/>
      <c r="K45" s="1672">
        <f>SUM(C45:J45)</f>
        <v>1285</v>
      </c>
      <c r="L45" s="466">
        <v>1500</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0</v>
      </c>
      <c r="D47" s="1670">
        <f t="shared" ref="D47:K47" si="4">SUM(D44:D46)</f>
        <v>0</v>
      </c>
      <c r="E47" s="1670">
        <f t="shared" si="4"/>
        <v>5865</v>
      </c>
      <c r="F47" s="1670">
        <f t="shared" si="4"/>
        <v>1285</v>
      </c>
      <c r="G47" s="1670">
        <f t="shared" si="4"/>
        <v>0</v>
      </c>
      <c r="H47" s="1670">
        <f t="shared" si="4"/>
        <v>0</v>
      </c>
      <c r="I47" s="1670">
        <f t="shared" si="4"/>
        <v>0</v>
      </c>
      <c r="J47" s="1670">
        <f t="shared" si="4"/>
        <v>0</v>
      </c>
      <c r="K47" s="1670">
        <f t="shared" si="4"/>
        <v>7150</v>
      </c>
      <c r="L47" s="1670">
        <f>SUM(L44:L46)</f>
        <v>7400</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2299</v>
      </c>
      <c r="D49" s="481"/>
      <c r="E49" s="481">
        <v>17071</v>
      </c>
      <c r="F49" s="481"/>
      <c r="G49" s="481"/>
      <c r="H49" s="481">
        <v>2215</v>
      </c>
      <c r="I49" s="467"/>
      <c r="J49" s="467"/>
      <c r="K49" s="1672">
        <f>SUM(C49:J49)</f>
        <v>21585</v>
      </c>
      <c r="L49" s="481">
        <v>21400</v>
      </c>
    </row>
    <row r="50" spans="1:14" x14ac:dyDescent="0.2">
      <c r="A50" s="1504" t="s">
        <v>818</v>
      </c>
      <c r="B50" s="614">
        <v>2320</v>
      </c>
      <c r="C50" s="466">
        <v>54055</v>
      </c>
      <c r="D50" s="466"/>
      <c r="E50" s="466">
        <v>769</v>
      </c>
      <c r="F50" s="466"/>
      <c r="G50" s="466"/>
      <c r="H50" s="466">
        <v>375</v>
      </c>
      <c r="I50" s="467"/>
      <c r="J50" s="467"/>
      <c r="K50" s="1672">
        <f>SUM(C50:J50)</f>
        <v>55199</v>
      </c>
      <c r="L50" s="466">
        <v>53000</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56354</v>
      </c>
      <c r="D53" s="1670">
        <f t="shared" ref="D53:L53" si="5">SUM(D49:D52)</f>
        <v>0</v>
      </c>
      <c r="E53" s="1670">
        <f t="shared" si="5"/>
        <v>17840</v>
      </c>
      <c r="F53" s="1670">
        <f t="shared" si="5"/>
        <v>0</v>
      </c>
      <c r="G53" s="1670">
        <f t="shared" si="5"/>
        <v>0</v>
      </c>
      <c r="H53" s="1670">
        <f t="shared" si="5"/>
        <v>2590</v>
      </c>
      <c r="I53" s="1670">
        <f t="shared" si="5"/>
        <v>0</v>
      </c>
      <c r="J53" s="1670">
        <f t="shared" si="5"/>
        <v>0</v>
      </c>
      <c r="K53" s="1670">
        <f t="shared" si="5"/>
        <v>76784</v>
      </c>
      <c r="L53" s="1670">
        <f t="shared" si="5"/>
        <v>74400</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163200</v>
      </c>
      <c r="D55" s="481">
        <v>37313</v>
      </c>
      <c r="E55" s="481">
        <v>3236</v>
      </c>
      <c r="F55" s="481"/>
      <c r="G55" s="481"/>
      <c r="H55" s="481">
        <v>614</v>
      </c>
      <c r="I55" s="467"/>
      <c r="J55" s="467"/>
      <c r="K55" s="1672">
        <f>SUM(C55:J55)</f>
        <v>204363</v>
      </c>
      <c r="L55" s="481">
        <v>227000</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163200</v>
      </c>
      <c r="D57" s="1674">
        <f t="shared" ref="D57:K57" si="6">SUM(D55:D56)</f>
        <v>37313</v>
      </c>
      <c r="E57" s="1674">
        <f t="shared" si="6"/>
        <v>3236</v>
      </c>
      <c r="F57" s="1674">
        <f t="shared" si="6"/>
        <v>0</v>
      </c>
      <c r="G57" s="1674">
        <f t="shared" si="6"/>
        <v>0</v>
      </c>
      <c r="H57" s="1674">
        <f t="shared" si="6"/>
        <v>614</v>
      </c>
      <c r="I57" s="1674">
        <f t="shared" si="6"/>
        <v>0</v>
      </c>
      <c r="J57" s="1674">
        <f t="shared" si="6"/>
        <v>0</v>
      </c>
      <c r="K57" s="1674">
        <f t="shared" si="6"/>
        <v>204363</v>
      </c>
      <c r="L57" s="1670">
        <f>SUM(L55:L56)</f>
        <v>227000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72">
        <f t="shared" ref="K59:K64" si="7">SUM(C59:J59)</f>
        <v>0</v>
      </c>
      <c r="L59" s="481"/>
      <c r="M59" s="609"/>
      <c r="N59" s="609"/>
    </row>
    <row r="60" spans="1:14" s="343" customFormat="1" x14ac:dyDescent="0.2">
      <c r="A60" s="1504" t="s">
        <v>463</v>
      </c>
      <c r="B60" s="614">
        <v>2520</v>
      </c>
      <c r="C60" s="466">
        <v>36249</v>
      </c>
      <c r="D60" s="466">
        <v>8499</v>
      </c>
      <c r="E60" s="466">
        <v>760</v>
      </c>
      <c r="F60" s="466">
        <v>155</v>
      </c>
      <c r="G60" s="466"/>
      <c r="H60" s="466"/>
      <c r="I60" s="467"/>
      <c r="J60" s="467"/>
      <c r="K60" s="1672">
        <f t="shared" si="7"/>
        <v>45663</v>
      </c>
      <c r="L60" s="466">
        <v>44450</v>
      </c>
      <c r="M60" s="609"/>
      <c r="N60" s="609"/>
    </row>
    <row r="61" spans="1:14" s="343" customFormat="1" x14ac:dyDescent="0.2">
      <c r="A61" s="1504" t="s">
        <v>197</v>
      </c>
      <c r="B61" s="614">
        <v>2540</v>
      </c>
      <c r="C61" s="466"/>
      <c r="D61" s="466"/>
      <c r="E61" s="466"/>
      <c r="F61" s="466"/>
      <c r="G61" s="466"/>
      <c r="H61" s="466"/>
      <c r="I61" s="467"/>
      <c r="J61" s="467"/>
      <c r="K61" s="1672">
        <f t="shared" si="7"/>
        <v>0</v>
      </c>
      <c r="L61" s="466"/>
      <c r="M61" s="609"/>
      <c r="N61" s="609"/>
    </row>
    <row r="62" spans="1:14" s="343" customFormat="1" x14ac:dyDescent="0.2">
      <c r="A62" s="1504" t="s">
        <v>953</v>
      </c>
      <c r="B62" s="614">
        <v>2550</v>
      </c>
      <c r="C62" s="466"/>
      <c r="D62" s="466"/>
      <c r="E62" s="466"/>
      <c r="F62" s="466"/>
      <c r="G62" s="466"/>
      <c r="H62" s="466"/>
      <c r="I62" s="467"/>
      <c r="J62" s="467"/>
      <c r="K62" s="1672">
        <f t="shared" si="7"/>
        <v>0</v>
      </c>
      <c r="L62" s="466"/>
      <c r="M62" s="609"/>
      <c r="N62" s="609"/>
    </row>
    <row r="63" spans="1:14" s="609" customFormat="1" x14ac:dyDescent="0.2">
      <c r="A63" s="1504" t="s">
        <v>100</v>
      </c>
      <c r="B63" s="614">
        <v>2560</v>
      </c>
      <c r="C63" s="466">
        <v>54439</v>
      </c>
      <c r="D63" s="466">
        <v>8499</v>
      </c>
      <c r="E63" s="466">
        <v>1088</v>
      </c>
      <c r="F63" s="466">
        <v>38870</v>
      </c>
      <c r="G63" s="466"/>
      <c r="H63" s="466">
        <v>229</v>
      </c>
      <c r="I63" s="467"/>
      <c r="J63" s="467"/>
      <c r="K63" s="1672">
        <f t="shared" si="7"/>
        <v>103125</v>
      </c>
      <c r="L63" s="466">
        <v>112600</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90688</v>
      </c>
      <c r="D65" s="1670">
        <f t="shared" ref="D65:L65" si="8">SUM(D59:D64)</f>
        <v>16998</v>
      </c>
      <c r="E65" s="1670">
        <f t="shared" si="8"/>
        <v>1848</v>
      </c>
      <c r="F65" s="1670">
        <f t="shared" si="8"/>
        <v>39025</v>
      </c>
      <c r="G65" s="1670">
        <f t="shared" si="8"/>
        <v>0</v>
      </c>
      <c r="H65" s="1670">
        <f t="shared" si="8"/>
        <v>229</v>
      </c>
      <c r="I65" s="1670">
        <f t="shared" si="8"/>
        <v>0</v>
      </c>
      <c r="J65" s="1670">
        <f t="shared" si="8"/>
        <v>0</v>
      </c>
      <c r="K65" s="1670">
        <f t="shared" si="8"/>
        <v>148788</v>
      </c>
      <c r="L65" s="1670">
        <f t="shared" si="8"/>
        <v>157050</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c r="D70" s="466"/>
      <c r="E70" s="466"/>
      <c r="F70" s="466"/>
      <c r="G70" s="466"/>
      <c r="H70" s="466"/>
      <c r="I70" s="467"/>
      <c r="J70" s="467"/>
      <c r="K70" s="1672">
        <f>SUM(C70:J70)</f>
        <v>0</v>
      </c>
      <c r="L70" s="466"/>
      <c r="M70" s="609"/>
      <c r="N70" s="609"/>
    </row>
    <row r="71" spans="1:14" s="343" customFormat="1" x14ac:dyDescent="0.2">
      <c r="A71" s="1504" t="s">
        <v>404</v>
      </c>
      <c r="B71" s="614">
        <v>2660</v>
      </c>
      <c r="C71" s="466"/>
      <c r="D71" s="466"/>
      <c r="E71" s="466"/>
      <c r="F71" s="466"/>
      <c r="G71" s="466"/>
      <c r="H71" s="466"/>
      <c r="I71" s="467"/>
      <c r="J71" s="467"/>
      <c r="K71" s="1672">
        <f>SUM(C71:J71)</f>
        <v>0</v>
      </c>
      <c r="L71" s="466"/>
      <c r="M71" s="609"/>
      <c r="N71" s="609"/>
    </row>
    <row r="72" spans="1:14" s="343" customFormat="1" ht="12.75" customHeight="1" thickBot="1" x14ac:dyDescent="0.25">
      <c r="A72" s="1668" t="s">
        <v>37</v>
      </c>
      <c r="B72" s="1675" t="s">
        <v>36</v>
      </c>
      <c r="C72" s="1670">
        <f>SUM(C67:C71)</f>
        <v>0</v>
      </c>
      <c r="D72" s="1670">
        <f t="shared" ref="D72:K72" si="9">SUM(D67:D71)</f>
        <v>0</v>
      </c>
      <c r="E72" s="1670">
        <f t="shared" si="9"/>
        <v>0</v>
      </c>
      <c r="F72" s="1670">
        <f t="shared" si="9"/>
        <v>0</v>
      </c>
      <c r="G72" s="1670">
        <f t="shared" si="9"/>
        <v>0</v>
      </c>
      <c r="H72" s="1670">
        <f t="shared" si="9"/>
        <v>0</v>
      </c>
      <c r="I72" s="1670">
        <f t="shared" si="9"/>
        <v>0</v>
      </c>
      <c r="J72" s="1670">
        <f t="shared" si="9"/>
        <v>0</v>
      </c>
      <c r="K72" s="1670">
        <f t="shared" si="9"/>
        <v>0</v>
      </c>
      <c r="L72" s="1670">
        <f>SUM(L67:L71)</f>
        <v>0</v>
      </c>
      <c r="M72" s="609"/>
      <c r="N72" s="609"/>
    </row>
    <row r="73" spans="1:14" s="343" customFormat="1" ht="14.25" thickTop="1" thickBot="1" x14ac:dyDescent="0.25">
      <c r="A73" s="1510" t="s">
        <v>980</v>
      </c>
      <c r="B73" s="632" t="s">
        <v>574</v>
      </c>
      <c r="C73" s="573">
        <v>33869</v>
      </c>
      <c r="D73" s="573">
        <v>8486</v>
      </c>
      <c r="E73" s="573"/>
      <c r="F73" s="573"/>
      <c r="G73" s="573"/>
      <c r="H73" s="573"/>
      <c r="I73" s="531"/>
      <c r="J73" s="531"/>
      <c r="K73" s="1670">
        <f>SUM(C73:J73)</f>
        <v>42355</v>
      </c>
      <c r="L73" s="576">
        <v>42700</v>
      </c>
      <c r="M73" s="609"/>
      <c r="N73" s="609"/>
    </row>
    <row r="74" spans="1:14" ht="12.75" customHeight="1" thickTop="1" thickBot="1" x14ac:dyDescent="0.25">
      <c r="A74" s="1668" t="s">
        <v>811</v>
      </c>
      <c r="B74" s="1676">
        <v>2000</v>
      </c>
      <c r="C74" s="1677">
        <f>SUM(C42,C47,C53,C57,C65,C72,C73)</f>
        <v>436164</v>
      </c>
      <c r="D74" s="1677">
        <f t="shared" ref="D74:K74" si="10">SUM(D42,D47,D53,D57,D65,D72,D73)</f>
        <v>80548</v>
      </c>
      <c r="E74" s="1677">
        <f t="shared" si="10"/>
        <v>103322</v>
      </c>
      <c r="F74" s="1677">
        <f t="shared" si="10"/>
        <v>42413</v>
      </c>
      <c r="G74" s="1677">
        <f t="shared" si="10"/>
        <v>0</v>
      </c>
      <c r="H74" s="1677">
        <f t="shared" si="10"/>
        <v>3579</v>
      </c>
      <c r="I74" s="1677">
        <f t="shared" si="10"/>
        <v>0</v>
      </c>
      <c r="J74" s="1677">
        <f t="shared" si="10"/>
        <v>0</v>
      </c>
      <c r="K74" s="1677">
        <f t="shared" si="10"/>
        <v>666026</v>
      </c>
      <c r="L74" s="1677">
        <f>SUM(L42,L47,L53,L57,L65,L72,L73)</f>
        <v>707175</v>
      </c>
    </row>
    <row r="75" spans="1:14" s="259" customFormat="1" ht="15.75" customHeight="1" thickTop="1" thickBot="1" x14ac:dyDescent="0.25">
      <c r="A75" s="1610" t="s">
        <v>47</v>
      </c>
      <c r="B75" s="1611" t="s">
        <v>575</v>
      </c>
      <c r="C75" s="573"/>
      <c r="D75" s="573"/>
      <c r="E75" s="573"/>
      <c r="F75" s="573"/>
      <c r="G75" s="573"/>
      <c r="H75" s="573"/>
      <c r="I75" s="531"/>
      <c r="J75" s="531"/>
      <c r="K75" s="1670">
        <f>SUM(C75:J75)</f>
        <v>0</v>
      </c>
      <c r="L75" s="576"/>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v>1997</v>
      </c>
      <c r="I78" s="477"/>
      <c r="J78" s="477"/>
      <c r="K78" s="1671">
        <f t="shared" ref="K78:K83" si="11">SUM(C78:J78)</f>
        <v>1997</v>
      </c>
      <c r="L78" s="481">
        <v>2000</v>
      </c>
    </row>
    <row r="79" spans="1:14" x14ac:dyDescent="0.2">
      <c r="A79" s="1504" t="s">
        <v>304</v>
      </c>
      <c r="B79" s="614">
        <v>4120</v>
      </c>
      <c r="C79" s="616"/>
      <c r="D79" s="616"/>
      <c r="E79" s="466">
        <v>26073</v>
      </c>
      <c r="F79" s="616"/>
      <c r="G79" s="616"/>
      <c r="H79" s="466"/>
      <c r="I79" s="477"/>
      <c r="J79" s="477"/>
      <c r="K79" s="1671">
        <f t="shared" si="11"/>
        <v>26073</v>
      </c>
      <c r="L79" s="466">
        <v>27000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v>294</v>
      </c>
      <c r="F81" s="616"/>
      <c r="G81" s="616"/>
      <c r="H81" s="466"/>
      <c r="I81" s="477"/>
      <c r="J81" s="477"/>
      <c r="K81" s="1671">
        <f t="shared" si="11"/>
        <v>294</v>
      </c>
      <c r="L81" s="466">
        <v>300</v>
      </c>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v>2240</v>
      </c>
      <c r="F83" s="616"/>
      <c r="G83" s="616"/>
      <c r="H83" s="466"/>
      <c r="I83" s="477"/>
      <c r="J83" s="477"/>
      <c r="K83" s="1671">
        <f t="shared" si="11"/>
        <v>2240</v>
      </c>
      <c r="L83" s="466">
        <v>2100</v>
      </c>
    </row>
    <row r="84" spans="1:12" ht="13.5" thickBot="1" x14ac:dyDescent="0.25">
      <c r="A84" s="1668" t="s">
        <v>1485</v>
      </c>
      <c r="B84" s="1678">
        <v>4100</v>
      </c>
      <c r="C84" s="616"/>
      <c r="D84" s="616"/>
      <c r="E84" s="1670">
        <f>SUM(E78:E83)</f>
        <v>28607</v>
      </c>
      <c r="F84" s="616"/>
      <c r="G84" s="616"/>
      <c r="H84" s="1670">
        <f>SUM(H78:H83)</f>
        <v>1997</v>
      </c>
      <c r="I84" s="477"/>
      <c r="J84" s="477"/>
      <c r="K84" s="1670">
        <f>SUM(K78:K83)</f>
        <v>30604</v>
      </c>
      <c r="L84" s="1670">
        <f>SUM(L78:L83)</f>
        <v>31400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v>16329</v>
      </c>
      <c r="I86" s="477"/>
      <c r="J86" s="477"/>
      <c r="K86" s="1677">
        <f t="shared" ref="K86:K98" si="12">H86</f>
        <v>16329</v>
      </c>
      <c r="L86" s="530">
        <v>20000</v>
      </c>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v>12375</v>
      </c>
      <c r="I88" s="477"/>
      <c r="J88" s="477"/>
      <c r="K88" s="1677">
        <f t="shared" si="12"/>
        <v>12375</v>
      </c>
      <c r="L88" s="530">
        <v>18000</v>
      </c>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28704</v>
      </c>
      <c r="I92" s="477"/>
      <c r="J92" s="477"/>
      <c r="K92" s="1677">
        <f t="shared" si="12"/>
        <v>28704</v>
      </c>
      <c r="L92" s="1670">
        <f>SUM(L85:L91)</f>
        <v>38000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28607</v>
      </c>
      <c r="F102" s="616"/>
      <c r="G102" s="616"/>
      <c r="H102" s="1677">
        <f>SUM(H84,H92,H100,H101)</f>
        <v>30701</v>
      </c>
      <c r="I102" s="477"/>
      <c r="J102" s="477"/>
      <c r="K102" s="1677">
        <f>SUM(K84,K92,K100,K101)</f>
        <v>59308</v>
      </c>
      <c r="L102" s="1677">
        <f>SUM(L84,L92,L100,L101)</f>
        <v>69400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1942069</v>
      </c>
      <c r="D114" s="1670">
        <f t="shared" ref="D114:K114" si="13">SUM(D33,D74,D75,D102,D112,D113)</f>
        <v>345697</v>
      </c>
      <c r="E114" s="1670">
        <f t="shared" si="13"/>
        <v>227946</v>
      </c>
      <c r="F114" s="1670">
        <f t="shared" si="13"/>
        <v>101135</v>
      </c>
      <c r="G114" s="1670">
        <f t="shared" si="13"/>
        <v>0</v>
      </c>
      <c r="H114" s="1670">
        <f>SUM(H33,H74,H75,H102,H112,H113)</f>
        <v>97924</v>
      </c>
      <c r="I114" s="1670">
        <f t="shared" si="13"/>
        <v>0</v>
      </c>
      <c r="J114" s="1670">
        <f t="shared" si="13"/>
        <v>0</v>
      </c>
      <c r="K114" s="1670">
        <f t="shared" si="13"/>
        <v>2714771</v>
      </c>
      <c r="L114" s="1670">
        <f>SUM(L33,L74,L75,L102,L112,L113)</f>
        <v>2898973</v>
      </c>
    </row>
    <row r="115" spans="1:14" ht="13.5" thickTop="1" x14ac:dyDescent="0.2">
      <c r="A115" s="2155" t="s">
        <v>996</v>
      </c>
      <c r="B115" s="2156"/>
      <c r="C115" s="618"/>
      <c r="D115" s="618"/>
      <c r="E115" s="618"/>
      <c r="F115" s="618"/>
      <c r="G115" s="618"/>
      <c r="H115" s="618"/>
      <c r="I115" s="618"/>
      <c r="J115" s="618"/>
      <c r="K115" s="1684">
        <f>'Revenues 9-14'!C268-'Expenditures 15-22'!K114</f>
        <v>-396681</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c r="F123" s="466"/>
      <c r="G123" s="466"/>
      <c r="H123" s="466"/>
      <c r="I123" s="467"/>
      <c r="J123" s="467"/>
      <c r="K123" s="1670">
        <f>SUM(C123:J123)</f>
        <v>0</v>
      </c>
      <c r="L123" s="466"/>
    </row>
    <row r="124" spans="1:14" ht="14.25" thickTop="1" thickBot="1" x14ac:dyDescent="0.25">
      <c r="A124" s="1504" t="s">
        <v>197</v>
      </c>
      <c r="B124" s="614">
        <v>2540</v>
      </c>
      <c r="C124" s="466">
        <v>151135</v>
      </c>
      <c r="D124" s="466">
        <v>12836</v>
      </c>
      <c r="E124" s="466">
        <v>66196</v>
      </c>
      <c r="F124" s="466">
        <v>90654</v>
      </c>
      <c r="G124" s="466">
        <v>24904</v>
      </c>
      <c r="H124" s="466"/>
      <c r="I124" s="467"/>
      <c r="J124" s="467"/>
      <c r="K124" s="1670">
        <f>SUM(C124:J124)</f>
        <v>345725</v>
      </c>
      <c r="L124" s="466">
        <v>331000</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151135</v>
      </c>
      <c r="D127" s="1670">
        <f t="shared" ref="D127:L127" si="14">SUM(D122:D126)</f>
        <v>12836</v>
      </c>
      <c r="E127" s="1670">
        <f t="shared" si="14"/>
        <v>66196</v>
      </c>
      <c r="F127" s="1670">
        <f t="shared" si="14"/>
        <v>90654</v>
      </c>
      <c r="G127" s="1670">
        <f t="shared" si="14"/>
        <v>24904</v>
      </c>
      <c r="H127" s="1670">
        <f t="shared" si="14"/>
        <v>0</v>
      </c>
      <c r="I127" s="1670">
        <f t="shared" si="14"/>
        <v>0</v>
      </c>
      <c r="J127" s="1670">
        <f t="shared" si="14"/>
        <v>0</v>
      </c>
      <c r="K127" s="1670">
        <f t="shared" si="14"/>
        <v>345725</v>
      </c>
      <c r="L127" s="1670">
        <f t="shared" si="14"/>
        <v>331000</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151135</v>
      </c>
      <c r="D129" s="1677">
        <f t="shared" ref="D129:L129" si="15">SUM(D120,D127,D128)</f>
        <v>12836</v>
      </c>
      <c r="E129" s="1677">
        <f t="shared" si="15"/>
        <v>66196</v>
      </c>
      <c r="F129" s="1677">
        <f t="shared" si="15"/>
        <v>90654</v>
      </c>
      <c r="G129" s="1677">
        <f t="shared" si="15"/>
        <v>24904</v>
      </c>
      <c r="H129" s="1677">
        <f t="shared" si="15"/>
        <v>0</v>
      </c>
      <c r="I129" s="1677">
        <f t="shared" si="15"/>
        <v>0</v>
      </c>
      <c r="J129" s="1677">
        <f t="shared" si="15"/>
        <v>0</v>
      </c>
      <c r="K129" s="1677">
        <f t="shared" si="15"/>
        <v>345725</v>
      </c>
      <c r="L129" s="1677">
        <f t="shared" si="15"/>
        <v>331000</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1844</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151135</v>
      </c>
      <c r="D151" s="1670">
        <f t="shared" ref="D151:K151" si="16">SUM(D129,D130,D139,D149,D150)</f>
        <v>12836</v>
      </c>
      <c r="E151" s="1670">
        <f t="shared" si="16"/>
        <v>66196</v>
      </c>
      <c r="F151" s="1670">
        <f t="shared" si="16"/>
        <v>90654</v>
      </c>
      <c r="G151" s="1670">
        <f t="shared" si="16"/>
        <v>24904</v>
      </c>
      <c r="H151" s="1670">
        <f t="shared" si="16"/>
        <v>0</v>
      </c>
      <c r="I151" s="1670">
        <f t="shared" si="16"/>
        <v>0</v>
      </c>
      <c r="J151" s="1670">
        <f t="shared" si="16"/>
        <v>0</v>
      </c>
      <c r="K151" s="1670">
        <f t="shared" si="16"/>
        <v>345725</v>
      </c>
      <c r="L151" s="1670">
        <f>SUM(L129,L130,L139,L149,L150)</f>
        <v>331000</v>
      </c>
    </row>
    <row r="152" spans="1:14" ht="12.75" customHeight="1" thickTop="1" x14ac:dyDescent="0.2">
      <c r="A152" s="2175" t="s">
        <v>1178</v>
      </c>
      <c r="B152" s="2176"/>
      <c r="C152" s="618"/>
      <c r="D152" s="618"/>
      <c r="E152" s="618"/>
      <c r="F152" s="618"/>
      <c r="G152" s="618"/>
      <c r="H152" s="618"/>
      <c r="I152" s="618"/>
      <c r="J152" s="616"/>
      <c r="K152" s="1684">
        <f>'Revenues 9-14'!D268-'Expenditures 15-22'!K151</f>
        <v>-38991</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1845</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1844</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1846</v>
      </c>
      <c r="C158" s="616"/>
      <c r="D158" s="616"/>
      <c r="E158" s="616"/>
      <c r="F158" s="616"/>
      <c r="G158" s="616"/>
      <c r="H158" s="467"/>
      <c r="I158" s="616"/>
      <c r="J158" s="616"/>
      <c r="K158" s="1671">
        <f>H158</f>
        <v>0</v>
      </c>
      <c r="L158" s="467"/>
      <c r="M158" s="619"/>
      <c r="N158" s="619"/>
    </row>
    <row r="159" spans="1:14" s="620" customFormat="1" ht="12" x14ac:dyDescent="0.2">
      <c r="A159" s="1826" t="s">
        <v>1847</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1848</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c r="I169" s="616"/>
      <c r="J169" s="616"/>
      <c r="K169" s="1671">
        <f>SUM(C169:H169)</f>
        <v>0</v>
      </c>
      <c r="L169" s="656"/>
    </row>
    <row r="170" spans="1:14" ht="33.75" customHeight="1" x14ac:dyDescent="0.2">
      <c r="A170" s="669" t="s">
        <v>1670</v>
      </c>
      <c r="B170" s="671" t="s">
        <v>31</v>
      </c>
      <c r="C170" s="616"/>
      <c r="D170" s="616"/>
      <c r="E170" s="616"/>
      <c r="F170" s="616"/>
      <c r="G170" s="616"/>
      <c r="H170" s="569">
        <v>150000</v>
      </c>
      <c r="I170" s="616"/>
      <c r="J170" s="616"/>
      <c r="K170" s="1671">
        <f>SUM(C170:J170)</f>
        <v>150000</v>
      </c>
      <c r="L170" s="569">
        <v>150000</v>
      </c>
    </row>
    <row r="171" spans="1:14" ht="15.75" customHeight="1" x14ac:dyDescent="0.2">
      <c r="A171" s="621" t="s">
        <v>766</v>
      </c>
      <c r="B171" s="672" t="s">
        <v>84</v>
      </c>
      <c r="C171" s="616"/>
      <c r="D171" s="616"/>
      <c r="E171" s="466"/>
      <c r="F171" s="616"/>
      <c r="G171" s="616"/>
      <c r="H171" s="569"/>
      <c r="I171" s="477"/>
      <c r="J171" s="616"/>
      <c r="K171" s="1671">
        <f>SUM(C171:J171)</f>
        <v>0</v>
      </c>
      <c r="L171" s="569"/>
    </row>
    <row r="172" spans="1:14" ht="12.75" customHeight="1" thickBot="1" x14ac:dyDescent="0.25">
      <c r="A172" s="1668" t="s">
        <v>638</v>
      </c>
      <c r="B172" s="1669" t="s">
        <v>492</v>
      </c>
      <c r="C172" s="616"/>
      <c r="D172" s="616"/>
      <c r="E172" s="1677">
        <f>SUM(E168,E169,E170,E171)</f>
        <v>0</v>
      </c>
      <c r="F172" s="616"/>
      <c r="G172" s="616"/>
      <c r="H172" s="1677">
        <f>SUM(H168,H169,H170,H171)</f>
        <v>150000</v>
      </c>
      <c r="I172" s="638"/>
      <c r="J172" s="616"/>
      <c r="K172" s="1677">
        <f>SUM(K168,K169,K170,K171)</f>
        <v>150000</v>
      </c>
      <c r="L172" s="1677">
        <f>SUM(L168,L169,L170,L171)</f>
        <v>150000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150000</v>
      </c>
      <c r="I174" s="638"/>
      <c r="J174" s="616"/>
      <c r="K174" s="1677">
        <f>SUM(K160,K172,K173)</f>
        <v>150000</v>
      </c>
      <c r="L174" s="1677">
        <f>SUM(L160,L172,L173)</f>
        <v>150000</v>
      </c>
    </row>
    <row r="175" spans="1:14" ht="13.5" thickTop="1" x14ac:dyDescent="0.2">
      <c r="A175" s="2155" t="s">
        <v>996</v>
      </c>
      <c r="B175" s="2156"/>
      <c r="C175" s="616"/>
      <c r="D175" s="616"/>
      <c r="E175" s="616"/>
      <c r="F175" s="616"/>
      <c r="G175" s="616"/>
      <c r="H175" s="618"/>
      <c r="I175" s="616"/>
      <c r="J175" s="616"/>
      <c r="K175" s="1684">
        <f>'Revenues 9-14'!E268-'Expenditures 15-22'!K174</f>
        <v>-292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113320</v>
      </c>
      <c r="D182" s="466">
        <v>6319</v>
      </c>
      <c r="E182" s="466">
        <v>17659</v>
      </c>
      <c r="F182" s="466">
        <v>26683</v>
      </c>
      <c r="G182" s="466"/>
      <c r="H182" s="466"/>
      <c r="I182" s="467"/>
      <c r="J182" s="467"/>
      <c r="K182" s="1671">
        <f>SUM(C182:J182)</f>
        <v>163981</v>
      </c>
      <c r="L182" s="466">
        <v>191200</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113320</v>
      </c>
      <c r="D184" s="1677">
        <f t="shared" ref="D184:J184" si="17">SUM(D180,D182,D183)</f>
        <v>6319</v>
      </c>
      <c r="E184" s="1677">
        <f t="shared" si="17"/>
        <v>17659</v>
      </c>
      <c r="F184" s="1677">
        <f t="shared" si="17"/>
        <v>26683</v>
      </c>
      <c r="G184" s="1677">
        <f t="shared" si="17"/>
        <v>0</v>
      </c>
      <c r="H184" s="1677">
        <f t="shared" si="17"/>
        <v>0</v>
      </c>
      <c r="I184" s="1677">
        <f t="shared" si="17"/>
        <v>0</v>
      </c>
      <c r="J184" s="1677">
        <f t="shared" si="17"/>
        <v>0</v>
      </c>
      <c r="K184" s="1677">
        <f>SUM(K180,K182,K183)</f>
        <v>163981</v>
      </c>
      <c r="L184" s="1677">
        <f>SUM(L180, L182:L183)</f>
        <v>191200</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v>25878</v>
      </c>
      <c r="F189" s="616"/>
      <c r="G189" s="616"/>
      <c r="H189" s="466"/>
      <c r="I189" s="477"/>
      <c r="J189" s="616"/>
      <c r="K189" s="1671">
        <f t="shared" si="18"/>
        <v>25878</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v>60</v>
      </c>
      <c r="F193" s="616"/>
      <c r="G193" s="616"/>
      <c r="H193" s="466"/>
      <c r="I193" s="477"/>
      <c r="J193" s="616"/>
      <c r="K193" s="1671">
        <f t="shared" si="18"/>
        <v>60</v>
      </c>
      <c r="L193" s="466"/>
    </row>
    <row r="194" spans="1:14" ht="12.75" customHeight="1" thickBot="1" x14ac:dyDescent="0.25">
      <c r="A194" s="1668" t="s">
        <v>1140</v>
      </c>
      <c r="B194" s="1669" t="s">
        <v>559</v>
      </c>
      <c r="C194" s="616"/>
      <c r="D194" s="616"/>
      <c r="E194" s="1670">
        <f>SUM(E188:E193)</f>
        <v>25938</v>
      </c>
      <c r="F194" s="616"/>
      <c r="G194" s="616"/>
      <c r="H194" s="1670">
        <f>SUM(H188:H193)</f>
        <v>0</v>
      </c>
      <c r="I194" s="477"/>
      <c r="J194" s="616"/>
      <c r="K194" s="1670">
        <f>SUM(K188:K193)</f>
        <v>25938</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25938</v>
      </c>
      <c r="F196" s="616"/>
      <c r="G196" s="616"/>
      <c r="H196" s="1677">
        <f>SUM(H194,H195)</f>
        <v>0</v>
      </c>
      <c r="I196" s="477"/>
      <c r="J196" s="616"/>
      <c r="K196" s="1677">
        <f>SUM(K194,K195)</f>
        <v>25938</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v>6210</v>
      </c>
      <c r="I205" s="616"/>
      <c r="J205" s="616"/>
      <c r="K205" s="1685">
        <f>SUM(H205)</f>
        <v>6210</v>
      </c>
      <c r="L205" s="535">
        <v>7700</v>
      </c>
    </row>
    <row r="206" spans="1:14" ht="30" customHeight="1" x14ac:dyDescent="0.2">
      <c r="A206" s="681" t="s">
        <v>1671</v>
      </c>
      <c r="B206" s="672" t="s">
        <v>31</v>
      </c>
      <c r="C206" s="616"/>
      <c r="D206" s="616"/>
      <c r="E206" s="616"/>
      <c r="F206" s="616"/>
      <c r="G206" s="616"/>
      <c r="H206" s="466">
        <v>77586</v>
      </c>
      <c r="I206" s="616"/>
      <c r="J206" s="616"/>
      <c r="K206" s="1671">
        <f>SUM(H206)</f>
        <v>77586</v>
      </c>
      <c r="L206" s="466">
        <v>76500</v>
      </c>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83796</v>
      </c>
      <c r="I208" s="616"/>
      <c r="J208" s="616"/>
      <c r="K208" s="1677">
        <f>SUM(K204,K205,K206,K207)</f>
        <v>83796</v>
      </c>
      <c r="L208" s="1677">
        <f>SUM(L204,L205,L206,L207)</f>
        <v>84200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113320</v>
      </c>
      <c r="D210" s="1670">
        <f>SUM(D184,D185)</f>
        <v>6319</v>
      </c>
      <c r="E210" s="1670">
        <f>SUM(E184,E185,E196)</f>
        <v>43597</v>
      </c>
      <c r="F210" s="1670">
        <f>SUM(F184,F185)</f>
        <v>26683</v>
      </c>
      <c r="G210" s="1670">
        <f>SUM(G184,G185)</f>
        <v>0</v>
      </c>
      <c r="H210" s="1670">
        <f>SUM(H184,H185,H196,H208,H209)</f>
        <v>83796</v>
      </c>
      <c r="I210" s="1670">
        <f>SUM(I184,I185)</f>
        <v>0</v>
      </c>
      <c r="J210" s="1670">
        <f>SUM(J184,J185)</f>
        <v>0</v>
      </c>
      <c r="K210" s="1671">
        <f>SUM(K184,K185,K196,K208,K209)</f>
        <v>273715</v>
      </c>
      <c r="L210" s="1670">
        <f>SUM(L184,L185,L196,L208,L209)</f>
        <v>275400</v>
      </c>
    </row>
    <row r="211" spans="1:14" ht="13.5" thickTop="1" x14ac:dyDescent="0.2">
      <c r="A211" s="2155" t="s">
        <v>996</v>
      </c>
      <c r="B211" s="2156"/>
      <c r="C211" s="618"/>
      <c r="D211" s="618"/>
      <c r="E211" s="618"/>
      <c r="F211" s="618"/>
      <c r="G211" s="618"/>
      <c r="H211" s="618"/>
      <c r="I211" s="616"/>
      <c r="J211" s="616"/>
      <c r="K211" s="1684">
        <f>'Revenues 9-14'!F268-'Expenditures 15-22'!K210</f>
        <v>63186</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f>14971+11888+16820</f>
        <v>43679</v>
      </c>
      <c r="E215" s="616"/>
      <c r="F215" s="616"/>
      <c r="G215" s="616"/>
      <c r="H215" s="616"/>
      <c r="I215" s="616"/>
      <c r="J215" s="616"/>
      <c r="K215" s="1671">
        <f>D215</f>
        <v>43679</v>
      </c>
      <c r="L215" s="466">
        <v>54000</v>
      </c>
    </row>
    <row r="216" spans="1:14" x14ac:dyDescent="0.2">
      <c r="A216" s="1504" t="s">
        <v>163</v>
      </c>
      <c r="B216" s="614" t="s">
        <v>967</v>
      </c>
      <c r="C216" s="616"/>
      <c r="D216" s="467"/>
      <c r="E216" s="616"/>
      <c r="F216" s="616"/>
      <c r="G216" s="616"/>
      <c r="H216" s="616"/>
      <c r="I216" s="616"/>
      <c r="J216" s="616"/>
      <c r="K216" s="1671">
        <f t="shared" ref="K216:K228" si="19">D216</f>
        <v>0</v>
      </c>
      <c r="L216" s="466"/>
    </row>
    <row r="217" spans="1:14" x14ac:dyDescent="0.2">
      <c r="A217" s="1504" t="s">
        <v>164</v>
      </c>
      <c r="B217" s="614">
        <v>1200</v>
      </c>
      <c r="C217" s="616"/>
      <c r="D217" s="466">
        <v>2895</v>
      </c>
      <c r="E217" s="616"/>
      <c r="F217" s="616"/>
      <c r="G217" s="616"/>
      <c r="H217" s="616"/>
      <c r="I217" s="616"/>
      <c r="J217" s="616"/>
      <c r="K217" s="1671">
        <f t="shared" si="19"/>
        <v>2895</v>
      </c>
      <c r="L217" s="466">
        <v>4000</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c r="E219" s="616"/>
      <c r="F219" s="616"/>
      <c r="G219" s="616"/>
      <c r="H219" s="616"/>
      <c r="I219" s="616"/>
      <c r="J219" s="616"/>
      <c r="K219" s="1671">
        <f t="shared" si="19"/>
        <v>0</v>
      </c>
      <c r="L219" s="466">
        <v>600</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v>1612</v>
      </c>
      <c r="E222" s="616"/>
      <c r="F222" s="616"/>
      <c r="G222" s="616"/>
      <c r="H222" s="616"/>
      <c r="I222" s="616"/>
      <c r="J222" s="616"/>
      <c r="K222" s="1671">
        <f t="shared" si="19"/>
        <v>1612</v>
      </c>
      <c r="L222" s="466">
        <v>1500</v>
      </c>
    </row>
    <row r="223" spans="1:14" x14ac:dyDescent="0.2">
      <c r="A223" s="1504" t="s">
        <v>963</v>
      </c>
      <c r="B223" s="614">
        <v>1500</v>
      </c>
      <c r="C223" s="616"/>
      <c r="D223" s="466">
        <f>1090+404+1507</f>
        <v>3001</v>
      </c>
      <c r="E223" s="616"/>
      <c r="F223" s="616"/>
      <c r="G223" s="616"/>
      <c r="H223" s="616"/>
      <c r="I223" s="616"/>
      <c r="J223" s="616"/>
      <c r="K223" s="1671">
        <f t="shared" si="19"/>
        <v>3001</v>
      </c>
      <c r="L223" s="466">
        <v>3800</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v>105</v>
      </c>
      <c r="E226" s="616"/>
      <c r="F226" s="616"/>
      <c r="G226" s="616"/>
      <c r="H226" s="616"/>
      <c r="I226" s="616"/>
      <c r="J226" s="616"/>
      <c r="K226" s="1671">
        <f t="shared" si="19"/>
        <v>105</v>
      </c>
      <c r="L226" s="466">
        <v>100</v>
      </c>
    </row>
    <row r="227" spans="1:12" x14ac:dyDescent="0.2">
      <c r="A227" s="1504" t="s">
        <v>1087</v>
      </c>
      <c r="B227" s="614">
        <v>1800</v>
      </c>
      <c r="C227" s="616"/>
      <c r="D227" s="466"/>
      <c r="E227" s="616"/>
      <c r="F227" s="616"/>
      <c r="G227" s="616"/>
      <c r="H227" s="616"/>
      <c r="I227" s="616"/>
      <c r="J227" s="616"/>
      <c r="K227" s="1671">
        <f t="shared" si="19"/>
        <v>0</v>
      </c>
      <c r="L227" s="466"/>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51292</v>
      </c>
      <c r="E229" s="616"/>
      <c r="F229" s="616"/>
      <c r="G229" s="616"/>
      <c r="H229" s="616"/>
      <c r="I229" s="616"/>
      <c r="J229" s="616"/>
      <c r="K229" s="1670">
        <f>SUM(K215:K228)</f>
        <v>51292</v>
      </c>
      <c r="L229" s="1670">
        <f>SUM(L215:L228)</f>
        <v>64000</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c r="E232" s="616"/>
      <c r="F232" s="616"/>
      <c r="G232" s="616"/>
      <c r="H232" s="616"/>
      <c r="I232" s="616"/>
      <c r="J232" s="616"/>
      <c r="K232" s="1671">
        <f t="shared" ref="K232:K237" si="20">D232</f>
        <v>0</v>
      </c>
      <c r="L232" s="466"/>
    </row>
    <row r="233" spans="1:12" x14ac:dyDescent="0.2">
      <c r="A233" s="1504" t="s">
        <v>1090</v>
      </c>
      <c r="B233" s="614">
        <v>2120</v>
      </c>
      <c r="C233" s="616"/>
      <c r="D233" s="466">
        <v>773</v>
      </c>
      <c r="E233" s="616"/>
      <c r="F233" s="616"/>
      <c r="G233" s="616"/>
      <c r="H233" s="616"/>
      <c r="I233" s="616"/>
      <c r="J233" s="616"/>
      <c r="K233" s="1671">
        <f t="shared" si="20"/>
        <v>773</v>
      </c>
      <c r="L233" s="466">
        <v>800</v>
      </c>
    </row>
    <row r="234" spans="1:12" x14ac:dyDescent="0.2">
      <c r="A234" s="1504" t="s">
        <v>198</v>
      </c>
      <c r="B234" s="614">
        <v>2130</v>
      </c>
      <c r="C234" s="616"/>
      <c r="D234" s="466">
        <f>3260+2401+561</f>
        <v>6222</v>
      </c>
      <c r="E234" s="616"/>
      <c r="F234" s="616"/>
      <c r="G234" s="616"/>
      <c r="H234" s="616"/>
      <c r="I234" s="616"/>
      <c r="J234" s="616"/>
      <c r="K234" s="1671">
        <f t="shared" si="20"/>
        <v>6222</v>
      </c>
      <c r="L234" s="466">
        <v>7400</v>
      </c>
    </row>
    <row r="235" spans="1:12" x14ac:dyDescent="0.2">
      <c r="A235" s="1504" t="s">
        <v>199</v>
      </c>
      <c r="B235" s="614">
        <v>2140</v>
      </c>
      <c r="C235" s="616"/>
      <c r="D235" s="466"/>
      <c r="E235" s="616"/>
      <c r="F235" s="616"/>
      <c r="G235" s="616"/>
      <c r="H235" s="616"/>
      <c r="I235" s="616"/>
      <c r="J235" s="616"/>
      <c r="K235" s="1671">
        <f t="shared" si="20"/>
        <v>0</v>
      </c>
      <c r="L235" s="466"/>
    </row>
    <row r="236" spans="1:12" x14ac:dyDescent="0.2">
      <c r="A236" s="1504" t="s">
        <v>200</v>
      </c>
      <c r="B236" s="614">
        <v>2150</v>
      </c>
      <c r="C236" s="616"/>
      <c r="D236" s="466"/>
      <c r="E236" s="616"/>
      <c r="F236" s="616"/>
      <c r="G236" s="616"/>
      <c r="H236" s="616"/>
      <c r="I236" s="616"/>
      <c r="J236" s="616"/>
      <c r="K236" s="1671">
        <f t="shared" si="20"/>
        <v>0</v>
      </c>
      <c r="L236" s="466"/>
    </row>
    <row r="237" spans="1:12" x14ac:dyDescent="0.2">
      <c r="A237" s="1504" t="s">
        <v>165</v>
      </c>
      <c r="B237" s="614">
        <v>2190</v>
      </c>
      <c r="C237" s="616"/>
      <c r="D237" s="466"/>
      <c r="E237" s="616"/>
      <c r="F237" s="616"/>
      <c r="G237" s="616"/>
      <c r="H237" s="616"/>
      <c r="I237" s="616"/>
      <c r="J237" s="616"/>
      <c r="K237" s="1671">
        <f t="shared" si="20"/>
        <v>0</v>
      </c>
      <c r="L237" s="466"/>
    </row>
    <row r="238" spans="1:12" ht="12.75" customHeight="1" thickBot="1" x14ac:dyDescent="0.25">
      <c r="A238" s="1668" t="s">
        <v>560</v>
      </c>
      <c r="B238" s="1675" t="s">
        <v>716</v>
      </c>
      <c r="C238" s="616"/>
      <c r="D238" s="1670">
        <f>SUM(D232:D237)</f>
        <v>6995</v>
      </c>
      <c r="E238" s="616"/>
      <c r="F238" s="616"/>
      <c r="G238" s="616"/>
      <c r="H238" s="616"/>
      <c r="I238" s="616"/>
      <c r="J238" s="616"/>
      <c r="K238" s="1670">
        <f>SUM(K232:K237)</f>
        <v>6995</v>
      </c>
      <c r="L238" s="1670">
        <f>SUM(L232:L237)</f>
        <v>8200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c r="E240" s="616"/>
      <c r="F240" s="616"/>
      <c r="G240" s="616"/>
      <c r="H240" s="616"/>
      <c r="I240" s="616"/>
      <c r="J240" s="616"/>
      <c r="K240" s="1672">
        <f>D240</f>
        <v>0</v>
      </c>
      <c r="L240" s="481"/>
    </row>
    <row r="241" spans="1:12" x14ac:dyDescent="0.2">
      <c r="A241" s="1504" t="s">
        <v>815</v>
      </c>
      <c r="B241" s="614">
        <v>2220</v>
      </c>
      <c r="C241" s="616"/>
      <c r="D241" s="466"/>
      <c r="E241" s="616"/>
      <c r="F241" s="616"/>
      <c r="G241" s="616"/>
      <c r="H241" s="616"/>
      <c r="I241" s="616"/>
      <c r="J241" s="616"/>
      <c r="K241" s="1672">
        <f>D241</f>
        <v>0</v>
      </c>
      <c r="L241" s="466"/>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0</v>
      </c>
      <c r="E243" s="616"/>
      <c r="F243" s="616"/>
      <c r="G243" s="616"/>
      <c r="H243" s="616"/>
      <c r="I243" s="616"/>
      <c r="J243" s="616"/>
      <c r="K243" s="1670">
        <f>SUM(K240:K242)</f>
        <v>0</v>
      </c>
      <c r="L243" s="1670">
        <f>SUM(L240:L242)</f>
        <v>0</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f>143+33</f>
        <v>176</v>
      </c>
      <c r="E245" s="616"/>
      <c r="F245" s="616"/>
      <c r="G245" s="616"/>
      <c r="H245" s="616"/>
      <c r="I245" s="616"/>
      <c r="J245" s="616"/>
      <c r="K245" s="1672">
        <f>D245</f>
        <v>176</v>
      </c>
      <c r="L245" s="481">
        <v>250</v>
      </c>
    </row>
    <row r="246" spans="1:12" x14ac:dyDescent="0.2">
      <c r="A246" s="1504" t="s">
        <v>818</v>
      </c>
      <c r="B246" s="614">
        <v>2320</v>
      </c>
      <c r="C246" s="616"/>
      <c r="D246" s="466">
        <v>1173</v>
      </c>
      <c r="E246" s="616"/>
      <c r="F246" s="616"/>
      <c r="G246" s="616"/>
      <c r="H246" s="616"/>
      <c r="I246" s="616"/>
      <c r="J246" s="616"/>
      <c r="K246" s="1672">
        <f t="shared" ref="K246:K256" si="21">D246</f>
        <v>1173</v>
      </c>
      <c r="L246" s="466">
        <v>1500</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1349</v>
      </c>
      <c r="E257" s="616"/>
      <c r="F257" s="616"/>
      <c r="G257" s="616"/>
      <c r="H257" s="616"/>
      <c r="I257" s="616"/>
      <c r="J257" s="616"/>
      <c r="K257" s="1670">
        <f>SUM(K245:K256)</f>
        <v>1349</v>
      </c>
      <c r="L257" s="1670">
        <f>SUM(L245:L256)</f>
        <v>1750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f>4047+2922+3097</f>
        <v>10066</v>
      </c>
      <c r="E259" s="616"/>
      <c r="F259" s="616"/>
      <c r="G259" s="616"/>
      <c r="H259" s="616"/>
      <c r="I259" s="616"/>
      <c r="J259" s="616"/>
      <c r="K259" s="1672">
        <f>D259</f>
        <v>10066</v>
      </c>
      <c r="L259" s="481">
        <v>12000</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10066</v>
      </c>
      <c r="E261" s="616"/>
      <c r="F261" s="616"/>
      <c r="G261" s="616"/>
      <c r="H261" s="616"/>
      <c r="I261" s="616"/>
      <c r="J261" s="616"/>
      <c r="K261" s="1670">
        <f>SUM(K259:K260)</f>
        <v>10066</v>
      </c>
      <c r="L261" s="1670">
        <f>SUM(L259:L260)</f>
        <v>12000</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72">
        <f>D263</f>
        <v>0</v>
      </c>
      <c r="L263" s="481"/>
    </row>
    <row r="264" spans="1:14" x14ac:dyDescent="0.2">
      <c r="A264" s="1504" t="s">
        <v>463</v>
      </c>
      <c r="B264" s="685">
        <v>2520</v>
      </c>
      <c r="C264" s="616"/>
      <c r="D264" s="466">
        <f>3086+2247+526</f>
        <v>5859</v>
      </c>
      <c r="E264" s="616"/>
      <c r="F264" s="616"/>
      <c r="G264" s="616"/>
      <c r="H264" s="616"/>
      <c r="I264" s="616"/>
      <c r="J264" s="616"/>
      <c r="K264" s="1672">
        <f t="shared" ref="K264:K269" si="22">D264</f>
        <v>5859</v>
      </c>
      <c r="L264" s="466">
        <v>6000</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f>12593+9920+2320</f>
        <v>24833</v>
      </c>
      <c r="E266" s="616"/>
      <c r="F266" s="616"/>
      <c r="G266" s="616"/>
      <c r="H266" s="616"/>
      <c r="I266" s="616"/>
      <c r="J266" s="616"/>
      <c r="K266" s="1672">
        <f t="shared" si="22"/>
        <v>24833</v>
      </c>
      <c r="L266" s="466">
        <v>27500</v>
      </c>
    </row>
    <row r="267" spans="1:14" x14ac:dyDescent="0.2">
      <c r="A267" s="1504" t="s">
        <v>953</v>
      </c>
      <c r="B267" s="614">
        <v>2550</v>
      </c>
      <c r="C267" s="616"/>
      <c r="D267" s="466">
        <f>9312+6795+1589</f>
        <v>17696</v>
      </c>
      <c r="E267" s="616"/>
      <c r="F267" s="616"/>
      <c r="G267" s="616"/>
      <c r="H267" s="616"/>
      <c r="I267" s="616"/>
      <c r="J267" s="616"/>
      <c r="K267" s="1672">
        <f t="shared" si="22"/>
        <v>17696</v>
      </c>
      <c r="L267" s="466">
        <v>22000</v>
      </c>
    </row>
    <row r="268" spans="1:14" x14ac:dyDescent="0.2">
      <c r="A268" s="1504" t="s">
        <v>100</v>
      </c>
      <c r="B268" s="614">
        <v>2560</v>
      </c>
      <c r="C268" s="616"/>
      <c r="D268" s="466">
        <f>3986+3375+789</f>
        <v>8150</v>
      </c>
      <c r="E268" s="616"/>
      <c r="F268" s="616"/>
      <c r="G268" s="616"/>
      <c r="H268" s="616"/>
      <c r="I268" s="616"/>
      <c r="J268" s="616"/>
      <c r="K268" s="1672">
        <f t="shared" si="22"/>
        <v>8150</v>
      </c>
      <c r="L268" s="466">
        <v>9000</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56538</v>
      </c>
      <c r="E270" s="616"/>
      <c r="F270" s="616"/>
      <c r="G270" s="616"/>
      <c r="H270" s="616"/>
      <c r="I270" s="616"/>
      <c r="J270" s="616"/>
      <c r="K270" s="1670">
        <f>SUM(K263:K269)</f>
        <v>56538</v>
      </c>
      <c r="L270" s="1670">
        <f>SUM(L263:L269)</f>
        <v>64500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c r="E275" s="616"/>
      <c r="F275" s="616"/>
      <c r="G275" s="616"/>
      <c r="H275" s="616"/>
      <c r="I275" s="616"/>
      <c r="J275" s="616"/>
      <c r="K275" s="1672">
        <f>D275</f>
        <v>0</v>
      </c>
      <c r="L275" s="466"/>
    </row>
    <row r="276" spans="1:12" x14ac:dyDescent="0.2">
      <c r="A276" s="1504" t="s">
        <v>404</v>
      </c>
      <c r="B276" s="614">
        <v>2660</v>
      </c>
      <c r="C276" s="616"/>
      <c r="D276" s="466"/>
      <c r="E276" s="616"/>
      <c r="F276" s="616"/>
      <c r="G276" s="616"/>
      <c r="H276" s="616"/>
      <c r="I276" s="616"/>
      <c r="J276" s="616"/>
      <c r="K276" s="1672">
        <f>D276</f>
        <v>0</v>
      </c>
      <c r="L276" s="466"/>
    </row>
    <row r="277" spans="1:12" ht="12.75" customHeight="1" thickBot="1" x14ac:dyDescent="0.25">
      <c r="A277" s="1691" t="s">
        <v>37</v>
      </c>
      <c r="B277" s="1669" t="s">
        <v>36</v>
      </c>
      <c r="C277" s="616"/>
      <c r="D277" s="1670">
        <f>SUM(D272:D276)</f>
        <v>0</v>
      </c>
      <c r="E277" s="616"/>
      <c r="F277" s="616"/>
      <c r="G277" s="616"/>
      <c r="H277" s="616"/>
      <c r="I277" s="616"/>
      <c r="J277" s="616"/>
      <c r="K277" s="1670">
        <f>SUM(K272:K276)</f>
        <v>0</v>
      </c>
      <c r="L277" s="1670">
        <f>SUM(L272:L276)</f>
        <v>0</v>
      </c>
    </row>
    <row r="278" spans="1:12" ht="13.5" customHeight="1" thickTop="1" x14ac:dyDescent="0.2">
      <c r="A278" s="1510" t="s">
        <v>980</v>
      </c>
      <c r="B278" s="655" t="s">
        <v>574</v>
      </c>
      <c r="C278" s="616"/>
      <c r="D278" s="656">
        <f>2881+2100+491</f>
        <v>5472</v>
      </c>
      <c r="E278" s="616"/>
      <c r="F278" s="616"/>
      <c r="G278" s="616"/>
      <c r="H278" s="616"/>
      <c r="I278" s="616"/>
      <c r="J278" s="616"/>
      <c r="K278" s="1685">
        <f>D278</f>
        <v>5472</v>
      </c>
      <c r="L278" s="656">
        <v>7500</v>
      </c>
    </row>
    <row r="279" spans="1:12" ht="12.75" customHeight="1" thickBot="1" x14ac:dyDescent="0.25">
      <c r="A279" s="1698" t="s">
        <v>811</v>
      </c>
      <c r="B279" s="1681">
        <v>2000</v>
      </c>
      <c r="C279" s="616"/>
      <c r="D279" s="1677">
        <f>SUM(D238,D243,D257,D261,D270,D277,D278)</f>
        <v>80420</v>
      </c>
      <c r="E279" s="616"/>
      <c r="F279" s="616"/>
      <c r="G279" s="616"/>
      <c r="H279" s="616"/>
      <c r="I279" s="616"/>
      <c r="J279" s="616"/>
      <c r="K279" s="1677">
        <f>SUM(K238,K243,K257,K261,K270,K277,K278)</f>
        <v>80420</v>
      </c>
      <c r="L279" s="1677">
        <f>SUM(L238,L243,L257,L261,L270,L277,L278)</f>
        <v>93950</v>
      </c>
    </row>
    <row r="280" spans="1:12" ht="15.75" customHeight="1" thickTop="1" thickBot="1" x14ac:dyDescent="0.25">
      <c r="A280" s="1624" t="s">
        <v>875</v>
      </c>
      <c r="B280" s="1613">
        <v>3000</v>
      </c>
      <c r="C280" s="616"/>
      <c r="D280" s="576"/>
      <c r="E280" s="616"/>
      <c r="F280" s="616"/>
      <c r="G280" s="616"/>
      <c r="H280" s="616"/>
      <c r="I280" s="616"/>
      <c r="J280" s="616"/>
      <c r="K280" s="1679">
        <f>D280</f>
        <v>0</v>
      </c>
      <c r="L280" s="576"/>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1844</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131712</v>
      </c>
      <c r="E295" s="616"/>
      <c r="F295" s="616"/>
      <c r="G295" s="616"/>
      <c r="H295" s="1670">
        <f>H293</f>
        <v>0</v>
      </c>
      <c r="I295" s="616"/>
      <c r="J295" s="616"/>
      <c r="K295" s="1670">
        <f>SUM(K229,K279,K280,K285,K293,K294)</f>
        <v>131712</v>
      </c>
      <c r="L295" s="1670">
        <f>SUM(L229,L279,L280,L285,L293,L294)</f>
        <v>157950</v>
      </c>
    </row>
    <row r="296" spans="1:14" ht="13.5" thickTop="1" x14ac:dyDescent="0.2">
      <c r="A296" s="2155" t="s">
        <v>996</v>
      </c>
      <c r="B296" s="2156"/>
      <c r="C296" s="616"/>
      <c r="D296" s="618"/>
      <c r="E296" s="616"/>
      <c r="F296" s="616"/>
      <c r="G296" s="616"/>
      <c r="H296" s="687"/>
      <c r="I296" s="616"/>
      <c r="J296" s="616"/>
      <c r="K296" s="1684">
        <f>'Revenues 9-14'!G268-'Expenditures 15-22'!K295</f>
        <v>32387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v>6360</v>
      </c>
      <c r="F321" s="467"/>
      <c r="G321" s="467"/>
      <c r="H321" s="467"/>
      <c r="I321" s="467"/>
      <c r="J321" s="467"/>
      <c r="K321" s="1671">
        <f t="shared" si="24"/>
        <v>6360</v>
      </c>
      <c r="L321" s="467">
        <v>7000</v>
      </c>
      <c r="M321" s="665"/>
      <c r="N321" s="665"/>
    </row>
    <row r="322" spans="1:14" s="674" customFormat="1" x14ac:dyDescent="0.2">
      <c r="A322" s="1519" t="s">
        <v>238</v>
      </c>
      <c r="B322" s="697" t="s">
        <v>284</v>
      </c>
      <c r="C322" s="467"/>
      <c r="D322" s="467"/>
      <c r="E322" s="467">
        <v>79896</v>
      </c>
      <c r="F322" s="467"/>
      <c r="G322" s="467"/>
      <c r="H322" s="467"/>
      <c r="I322" s="467"/>
      <c r="J322" s="467"/>
      <c r="K322" s="1671">
        <f t="shared" si="24"/>
        <v>79896</v>
      </c>
      <c r="L322" s="467">
        <v>75000</v>
      </c>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v>82351</v>
      </c>
      <c r="D325" s="467"/>
      <c r="E325" s="467">
        <v>7876</v>
      </c>
      <c r="F325" s="467">
        <v>3435</v>
      </c>
      <c r="G325" s="467"/>
      <c r="H325" s="467"/>
      <c r="I325" s="467"/>
      <c r="J325" s="467"/>
      <c r="K325" s="1671">
        <f t="shared" si="24"/>
        <v>93662</v>
      </c>
      <c r="L325" s="467">
        <v>104500</v>
      </c>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v>4315</v>
      </c>
      <c r="F327" s="467"/>
      <c r="G327" s="467"/>
      <c r="H327" s="467"/>
      <c r="I327" s="467"/>
      <c r="J327" s="467"/>
      <c r="K327" s="1671">
        <f t="shared" si="24"/>
        <v>4315</v>
      </c>
      <c r="L327" s="467">
        <v>10000</v>
      </c>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82351</v>
      </c>
      <c r="D330" s="1670">
        <f t="shared" ref="D330:J330" si="25">SUM(D319:D329)</f>
        <v>0</v>
      </c>
      <c r="E330" s="1670">
        <f t="shared" si="25"/>
        <v>98447</v>
      </c>
      <c r="F330" s="1670">
        <f t="shared" si="25"/>
        <v>3435</v>
      </c>
      <c r="G330" s="1670">
        <f t="shared" si="25"/>
        <v>0</v>
      </c>
      <c r="H330" s="1670">
        <f t="shared" si="25"/>
        <v>0</v>
      </c>
      <c r="I330" s="1670">
        <f t="shared" si="25"/>
        <v>0</v>
      </c>
      <c r="J330" s="1670">
        <f t="shared" si="25"/>
        <v>0</v>
      </c>
      <c r="K330" s="1670">
        <f>SUM(K319:K329)</f>
        <v>184233</v>
      </c>
      <c r="L330" s="1670">
        <f>SUM(L319:L329)</f>
        <v>196500</v>
      </c>
      <c r="M330" s="665"/>
      <c r="N330" s="665"/>
    </row>
    <row r="331" spans="1:14" s="674" customFormat="1" ht="12.75" customHeight="1" thickTop="1" x14ac:dyDescent="0.2">
      <c r="A331" s="1831" t="s">
        <v>1850</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1844</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1846</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1851</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82351</v>
      </c>
      <c r="D342" s="1670">
        <f>SUM(D330)</f>
        <v>0</v>
      </c>
      <c r="E342" s="1670">
        <f>SUM(E330)</f>
        <v>98447</v>
      </c>
      <c r="F342" s="1670">
        <f>SUM(F330)</f>
        <v>3435</v>
      </c>
      <c r="G342" s="1670">
        <f>SUM(G330)</f>
        <v>0</v>
      </c>
      <c r="H342" s="1670">
        <f>SUM(H330,H334,H340)</f>
        <v>0</v>
      </c>
      <c r="I342" s="1670">
        <f>SUM(I330)</f>
        <v>0</v>
      </c>
      <c r="J342" s="1670">
        <f>SUM(J330)</f>
        <v>0</v>
      </c>
      <c r="K342" s="1670">
        <f>SUM(K330,K334,K340)</f>
        <v>184233</v>
      </c>
      <c r="L342" s="1677">
        <f>SUM(L330,L340,L341)</f>
        <v>196500</v>
      </c>
    </row>
    <row r="343" spans="1:14" ht="12.75" customHeight="1" thickTop="1" x14ac:dyDescent="0.2">
      <c r="A343" s="2168" t="s">
        <v>996</v>
      </c>
      <c r="B343" s="2169"/>
      <c r="C343" s="616"/>
      <c r="D343" s="616"/>
      <c r="E343" s="616"/>
      <c r="F343" s="616"/>
      <c r="G343" s="616"/>
      <c r="H343" s="616"/>
      <c r="I343" s="616"/>
      <c r="J343" s="616"/>
      <c r="K343" s="1684">
        <f>'Revenues 9-14'!J268-'Expenditures 15-22'!K342</f>
        <v>129715</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v>34519</v>
      </c>
      <c r="H349" s="466"/>
      <c r="I349" s="467"/>
      <c r="J349" s="467"/>
      <c r="K349" s="1671">
        <f>SUM(C349:J349)</f>
        <v>34519</v>
      </c>
      <c r="L349" s="466">
        <v>45000</v>
      </c>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34519</v>
      </c>
      <c r="H350" s="1670">
        <f t="shared" si="26"/>
        <v>0</v>
      </c>
      <c r="I350" s="1670">
        <f t="shared" si="26"/>
        <v>0</v>
      </c>
      <c r="J350" s="1670">
        <f t="shared" si="26"/>
        <v>0</v>
      </c>
      <c r="K350" s="1670">
        <f t="shared" si="26"/>
        <v>34519</v>
      </c>
      <c r="L350" s="1670">
        <f t="shared" si="26"/>
        <v>45000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34519</v>
      </c>
      <c r="H352" s="1670">
        <f t="shared" si="27"/>
        <v>0</v>
      </c>
      <c r="I352" s="1670">
        <f t="shared" si="27"/>
        <v>0</v>
      </c>
      <c r="J352" s="1670">
        <f t="shared" si="27"/>
        <v>0</v>
      </c>
      <c r="K352" s="1670">
        <f t="shared" si="27"/>
        <v>34519</v>
      </c>
      <c r="L352" s="1670">
        <f t="shared" si="27"/>
        <v>45000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1852</v>
      </c>
      <c r="B354" s="683" t="s">
        <v>1844</v>
      </c>
      <c r="C354" s="616"/>
      <c r="D354" s="616"/>
      <c r="E354" s="616"/>
      <c r="F354" s="616"/>
      <c r="G354" s="616"/>
      <c r="H354" s="474"/>
      <c r="I354" s="701"/>
      <c r="J354" s="616"/>
      <c r="K354" s="1699">
        <f>H354</f>
        <v>0</v>
      </c>
      <c r="L354" s="471"/>
    </row>
    <row r="355" spans="1:14" ht="12.75" customHeight="1" x14ac:dyDescent="0.2">
      <c r="A355" s="1513" t="s">
        <v>1853</v>
      </c>
      <c r="B355" s="690" t="s">
        <v>1846</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34519</v>
      </c>
      <c r="H367" s="1670">
        <f t="shared" si="28"/>
        <v>0</v>
      </c>
      <c r="I367" s="1670">
        <f t="shared" si="28"/>
        <v>0</v>
      </c>
      <c r="J367" s="1670">
        <f t="shared" si="28"/>
        <v>0</v>
      </c>
      <c r="K367" s="1670">
        <f t="shared" si="28"/>
        <v>34519</v>
      </c>
      <c r="L367" s="1670">
        <f t="shared" si="28"/>
        <v>45000</v>
      </c>
    </row>
    <row r="368" spans="1:14" ht="13.5" thickTop="1" x14ac:dyDescent="0.2">
      <c r="A368" s="2155" t="s">
        <v>996</v>
      </c>
      <c r="B368" s="2156"/>
      <c r="C368" s="654"/>
      <c r="D368" s="654"/>
      <c r="E368" s="626"/>
      <c r="F368" s="626"/>
      <c r="G368" s="626"/>
      <c r="H368" s="626"/>
      <c r="I368" s="626"/>
      <c r="J368" s="623"/>
      <c r="K368" s="1671">
        <f>'Revenues 9-14'!K268-'Expenditures 15-22'!K367</f>
        <v>-13468</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 xml:space="preserve">&amp;L&amp;8Print Date: &amp;D
&amp;F&amp;CThe notes are an integral part of these financial statements.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E17" sqref="E17"/>
    </sheetView>
  </sheetViews>
  <sheetFormatPr defaultColWidth="9.140625"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82" t="s">
        <v>1802</v>
      </c>
      <c r="B2" s="1528" t="s">
        <v>1950</v>
      </c>
      <c r="C2" s="714" t="s">
        <v>1951</v>
      </c>
      <c r="D2" s="714" t="s">
        <v>1952</v>
      </c>
      <c r="E2" s="714" t="s">
        <v>1953</v>
      </c>
      <c r="F2" s="714" t="s">
        <v>1954</v>
      </c>
    </row>
    <row r="3" spans="1:6" ht="12" customHeight="1" x14ac:dyDescent="0.2">
      <c r="A3" s="2183"/>
      <c r="B3" s="1525"/>
      <c r="C3" s="1526"/>
      <c r="D3" s="1527" t="s">
        <v>256</v>
      </c>
      <c r="E3" s="1526"/>
      <c r="F3" s="1527" t="s">
        <v>257</v>
      </c>
    </row>
    <row r="4" spans="1:6" ht="13.7" customHeight="1" x14ac:dyDescent="0.2">
      <c r="A4" s="715" t="s">
        <v>1155</v>
      </c>
      <c r="B4" s="1749">
        <f>'Revenues 9-14'!C5</f>
        <v>1419360</v>
      </c>
      <c r="C4" s="1524"/>
      <c r="D4" s="1752">
        <f>B4-C4</f>
        <v>1419360</v>
      </c>
      <c r="E4" s="1524">
        <f>46729785*0.0322421</f>
        <v>1506666.4009485</v>
      </c>
      <c r="F4" s="1752">
        <f>E4-C4</f>
        <v>1506666.4009485</v>
      </c>
    </row>
    <row r="5" spans="1:6" ht="13.7" customHeight="1" x14ac:dyDescent="0.2">
      <c r="A5" s="715" t="s">
        <v>870</v>
      </c>
      <c r="B5" s="1750">
        <f>'Revenues 9-14'!D5</f>
        <v>298816</v>
      </c>
      <c r="C5" s="585"/>
      <c r="D5" s="1753">
        <f t="shared" ref="D5:D18" si="0">B5-C5</f>
        <v>298816</v>
      </c>
      <c r="E5" s="585">
        <f>46729785*0.0068393</f>
        <v>319599.01855050004</v>
      </c>
      <c r="F5" s="1753">
        <f>E5-C5</f>
        <v>319599.01855050004</v>
      </c>
    </row>
    <row r="6" spans="1:6" ht="13.7" customHeight="1" x14ac:dyDescent="0.2">
      <c r="A6" s="715" t="s">
        <v>411</v>
      </c>
      <c r="B6" s="1750">
        <f>'Revenues 9-14'!E5</f>
        <v>149426</v>
      </c>
      <c r="C6" s="585"/>
      <c r="D6" s="1753">
        <f t="shared" si="0"/>
        <v>149426</v>
      </c>
      <c r="E6" s="585">
        <f>46729785*0.0031565</f>
        <v>147502.5663525</v>
      </c>
      <c r="F6" s="1753">
        <f t="shared" ref="F6:F18" si="1">E6-C6</f>
        <v>147502.5663525</v>
      </c>
    </row>
    <row r="7" spans="1:6" ht="13.7" customHeight="1" x14ac:dyDescent="0.2">
      <c r="A7" s="715" t="s">
        <v>155</v>
      </c>
      <c r="B7" s="1750">
        <f>'Revenues 9-14'!F5</f>
        <v>84664</v>
      </c>
      <c r="C7" s="585"/>
      <c r="D7" s="1753">
        <f t="shared" si="0"/>
        <v>84664</v>
      </c>
      <c r="E7" s="585">
        <f>46729785*0.0019541</f>
        <v>91314.672868499998</v>
      </c>
      <c r="F7" s="1753">
        <f t="shared" si="1"/>
        <v>91314.672868499998</v>
      </c>
    </row>
    <row r="8" spans="1:6" ht="13.7" customHeight="1" x14ac:dyDescent="0.2">
      <c r="A8" s="715" t="s">
        <v>1179</v>
      </c>
      <c r="B8" s="1750">
        <f>'Revenues 9-14'!G5</f>
        <v>69724</v>
      </c>
      <c r="C8" s="585"/>
      <c r="D8" s="1753">
        <f t="shared" si="0"/>
        <v>69724</v>
      </c>
      <c r="E8" s="585">
        <f>46729785*0.001534</f>
        <v>71683.490189999997</v>
      </c>
      <c r="F8" s="1753">
        <f t="shared" si="1"/>
        <v>71683.490189999997</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20921</v>
      </c>
      <c r="C10" s="585"/>
      <c r="D10" s="1753">
        <f t="shared" si="0"/>
        <v>20921</v>
      </c>
      <c r="E10" s="585">
        <f>46729785*0.0004886</f>
        <v>22832.172950999997</v>
      </c>
      <c r="F10" s="1753">
        <f t="shared" si="1"/>
        <v>22832.172950999997</v>
      </c>
    </row>
    <row r="11" spans="1:6" x14ac:dyDescent="0.2">
      <c r="A11" s="715" t="s">
        <v>409</v>
      </c>
      <c r="B11" s="1750">
        <f>'Revenues 9-14'!J5</f>
        <v>311763</v>
      </c>
      <c r="C11" s="585"/>
      <c r="D11" s="1753">
        <f t="shared" si="0"/>
        <v>311763</v>
      </c>
      <c r="E11" s="585">
        <f>46729785*0.0066981</f>
        <v>313000.77290849999</v>
      </c>
      <c r="F11" s="1753">
        <f t="shared" si="1"/>
        <v>313000.77290849999</v>
      </c>
    </row>
    <row r="12" spans="1:6" ht="13.7" customHeight="1" x14ac:dyDescent="0.2">
      <c r="A12" s="715" t="s">
        <v>157</v>
      </c>
      <c r="B12" s="1750">
        <f>'Revenues 9-14'!K5</f>
        <v>20921</v>
      </c>
      <c r="C12" s="585"/>
      <c r="D12" s="1753">
        <f t="shared" si="0"/>
        <v>20921</v>
      </c>
      <c r="E12" s="585">
        <f>46729785*0.0004886</f>
        <v>22832.172950999997</v>
      </c>
      <c r="F12" s="1753">
        <f t="shared" si="1"/>
        <v>22832.172950999997</v>
      </c>
    </row>
    <row r="13" spans="1:6" ht="13.7" customHeight="1" x14ac:dyDescent="0.2">
      <c r="A13" s="715" t="s">
        <v>936</v>
      </c>
      <c r="B13" s="1750">
        <f>SUM('Revenues 9-14'!C6:D6)</f>
        <v>20921</v>
      </c>
      <c r="C13" s="585"/>
      <c r="D13" s="1753">
        <f t="shared" si="0"/>
        <v>20921</v>
      </c>
      <c r="E13" s="585">
        <f>46729785*0.0004886</f>
        <v>22832.172950999997</v>
      </c>
      <c r="F13" s="1753">
        <f t="shared" si="1"/>
        <v>22832.172950999997</v>
      </c>
    </row>
    <row r="14" spans="1:6" ht="13.7" customHeight="1" x14ac:dyDescent="0.2">
      <c r="A14" s="715" t="s">
        <v>410</v>
      </c>
      <c r="B14" s="1750">
        <f>SUM('Revenues 9-14'!C7:D7,'Revenues 9-14'!F7:H7)</f>
        <v>16936</v>
      </c>
      <c r="C14" s="585"/>
      <c r="D14" s="1753">
        <f t="shared" si="0"/>
        <v>16936</v>
      </c>
      <c r="E14" s="585">
        <f>46729785*0.0003909</f>
        <v>18266.672956500002</v>
      </c>
      <c r="F14" s="1753">
        <f t="shared" si="1"/>
        <v>18266.672956500002</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89646</v>
      </c>
      <c r="C16" s="585"/>
      <c r="D16" s="1753">
        <f t="shared" si="0"/>
        <v>89646</v>
      </c>
      <c r="E16" s="585">
        <f>46729785*0.0019541</f>
        <v>91314.672868499998</v>
      </c>
      <c r="F16" s="1753">
        <f t="shared" si="1"/>
        <v>91314.672868499998</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2503098</v>
      </c>
      <c r="C19" s="1751">
        <f>SUM(C4:C18)</f>
        <v>0</v>
      </c>
      <c r="D19" s="1751">
        <f>SUM(D4:D18)</f>
        <v>2503098</v>
      </c>
      <c r="E19" s="1751">
        <f>SUM(E4:E18)</f>
        <v>2627844.7864964996</v>
      </c>
      <c r="F19" s="1751">
        <f>SUM(F4:F18)</f>
        <v>2627844.7864964996</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16" colorId="8" zoomScale="110" zoomScaleNormal="110" workbookViewId="0">
      <selection activeCell="J41" sqref="J4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1" t="s">
        <v>1955</v>
      </c>
      <c r="D2" s="723" t="s">
        <v>1956</v>
      </c>
      <c r="E2" s="723" t="s">
        <v>1957</v>
      </c>
      <c r="F2" s="1881" t="s">
        <v>1958</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2" t="s">
        <v>583</v>
      </c>
      <c r="D30" s="1882" t="s">
        <v>1673</v>
      </c>
      <c r="E30" s="1882" t="s">
        <v>1959</v>
      </c>
      <c r="F30" s="1882" t="s">
        <v>1960</v>
      </c>
      <c r="G30" s="1882" t="s">
        <v>1910</v>
      </c>
      <c r="H30" s="1882" t="s">
        <v>1961</v>
      </c>
      <c r="I30" s="1882" t="s">
        <v>1962</v>
      </c>
      <c r="J30" s="1883" t="s">
        <v>2</v>
      </c>
      <c r="K30" s="731"/>
    </row>
    <row r="31" spans="1:11" ht="12" customHeight="1" x14ac:dyDescent="0.2">
      <c r="A31" s="732" t="s">
        <v>2082</v>
      </c>
      <c r="B31" s="733">
        <v>41612</v>
      </c>
      <c r="C31" s="734">
        <v>500000</v>
      </c>
      <c r="D31" s="735">
        <v>1</v>
      </c>
      <c r="E31" s="734">
        <v>105000</v>
      </c>
      <c r="F31" s="734"/>
      <c r="G31" s="734"/>
      <c r="H31" s="734">
        <v>105000</v>
      </c>
      <c r="I31" s="1756">
        <f>((E31+F31)-H31)+G31</f>
        <v>0</v>
      </c>
      <c r="J31" s="734"/>
      <c r="K31" s="736"/>
    </row>
    <row r="32" spans="1:11" ht="12" customHeight="1" x14ac:dyDescent="0.2">
      <c r="A32" s="732" t="s">
        <v>2083</v>
      </c>
      <c r="B32" s="733">
        <v>43473</v>
      </c>
      <c r="C32" s="734">
        <v>706000</v>
      </c>
      <c r="D32" s="735">
        <v>1</v>
      </c>
      <c r="E32" s="734">
        <v>615000</v>
      </c>
      <c r="F32" s="734"/>
      <c r="G32" s="734"/>
      <c r="H32" s="734">
        <v>45000</v>
      </c>
      <c r="I32" s="1756">
        <f>((E32+F32)-H32)+G32</f>
        <v>570000</v>
      </c>
      <c r="J32" s="734">
        <f>570000-45226</f>
        <v>524774</v>
      </c>
      <c r="K32" s="736"/>
    </row>
    <row r="33" spans="1:11" ht="12" customHeight="1" x14ac:dyDescent="0.2">
      <c r="A33" s="732" t="s">
        <v>2084</v>
      </c>
      <c r="B33" s="733">
        <v>42551</v>
      </c>
      <c r="C33" s="734">
        <v>78523</v>
      </c>
      <c r="D33" s="735">
        <v>7</v>
      </c>
      <c r="E33" s="734">
        <v>14517</v>
      </c>
      <c r="F33" s="734"/>
      <c r="G33" s="734"/>
      <c r="H33" s="734">
        <v>14517</v>
      </c>
      <c r="I33" s="1756">
        <f t="shared" ref="I33:I48" si="1">((E33+F33)-H33)+G33</f>
        <v>0</v>
      </c>
      <c r="J33" s="734"/>
      <c r="K33" s="736"/>
    </row>
    <row r="34" spans="1:11" ht="12" customHeight="1" x14ac:dyDescent="0.2">
      <c r="A34" s="732" t="s">
        <v>2085</v>
      </c>
      <c r="B34" s="733">
        <v>42917</v>
      </c>
      <c r="C34" s="734">
        <v>31769</v>
      </c>
      <c r="D34" s="735">
        <v>7</v>
      </c>
      <c r="E34" s="734">
        <v>19804</v>
      </c>
      <c r="F34" s="734"/>
      <c r="G34" s="734"/>
      <c r="H34" s="734">
        <v>9704</v>
      </c>
      <c r="I34" s="1756">
        <f t="shared" si="1"/>
        <v>10100</v>
      </c>
      <c r="J34" s="734">
        <v>10100</v>
      </c>
      <c r="K34" s="737"/>
    </row>
    <row r="35" spans="1:11" ht="12" customHeight="1" x14ac:dyDescent="0.2">
      <c r="A35" s="732" t="s">
        <v>2086</v>
      </c>
      <c r="B35" s="733">
        <v>42917</v>
      </c>
      <c r="C35" s="738">
        <v>31538</v>
      </c>
      <c r="D35" s="735">
        <v>7</v>
      </c>
      <c r="E35" s="738">
        <v>19253</v>
      </c>
      <c r="F35" s="738"/>
      <c r="G35" s="738"/>
      <c r="H35" s="738">
        <v>9435</v>
      </c>
      <c r="I35" s="1756">
        <f t="shared" si="1"/>
        <v>9818</v>
      </c>
      <c r="J35" s="738">
        <v>9818</v>
      </c>
      <c r="K35" s="737"/>
    </row>
    <row r="36" spans="1:11" ht="12" customHeight="1" x14ac:dyDescent="0.2">
      <c r="A36" s="732" t="s">
        <v>2119</v>
      </c>
      <c r="B36" s="733">
        <v>43282</v>
      </c>
      <c r="C36" s="734">
        <v>33183</v>
      </c>
      <c r="D36" s="735">
        <v>7</v>
      </c>
      <c r="E36" s="734"/>
      <c r="F36" s="734">
        <v>33183</v>
      </c>
      <c r="G36" s="734"/>
      <c r="H36" s="734">
        <v>11061</v>
      </c>
      <c r="I36" s="1756">
        <f t="shared" si="1"/>
        <v>22122</v>
      </c>
      <c r="J36" s="734">
        <v>22122</v>
      </c>
      <c r="K36" s="739"/>
    </row>
    <row r="37" spans="1:11" ht="12" customHeight="1" x14ac:dyDescent="0.2">
      <c r="A37" s="732" t="s">
        <v>2120</v>
      </c>
      <c r="B37" s="733">
        <v>43282</v>
      </c>
      <c r="C37" s="467">
        <v>35398</v>
      </c>
      <c r="D37" s="740">
        <v>7</v>
      </c>
      <c r="E37" s="467"/>
      <c r="F37" s="467">
        <v>33398</v>
      </c>
      <c r="G37" s="467"/>
      <c r="H37" s="467">
        <v>11799</v>
      </c>
      <c r="I37" s="1756">
        <f t="shared" si="1"/>
        <v>21599</v>
      </c>
      <c r="J37" s="467">
        <v>21599</v>
      </c>
      <c r="K37" s="737"/>
    </row>
    <row r="38" spans="1:11" ht="12" customHeight="1" x14ac:dyDescent="0.2">
      <c r="A38" s="732" t="s">
        <v>2121</v>
      </c>
      <c r="B38" s="733">
        <v>43282</v>
      </c>
      <c r="C38" s="734">
        <v>10085</v>
      </c>
      <c r="D38" s="741">
        <v>7</v>
      </c>
      <c r="E38" s="742"/>
      <c r="F38" s="742">
        <v>10085</v>
      </c>
      <c r="G38" s="742"/>
      <c r="H38" s="742">
        <v>10085</v>
      </c>
      <c r="I38" s="1756">
        <f t="shared" si="1"/>
        <v>0</v>
      </c>
      <c r="J38" s="743" t="s">
        <v>264</v>
      </c>
      <c r="K38" s="744"/>
    </row>
    <row r="39" spans="1:11" ht="12" customHeight="1" x14ac:dyDescent="0.2">
      <c r="A39" s="732" t="s">
        <v>2122</v>
      </c>
      <c r="B39" s="733">
        <v>43282</v>
      </c>
      <c r="C39" s="734">
        <v>10985</v>
      </c>
      <c r="D39" s="741">
        <v>7</v>
      </c>
      <c r="E39" s="742"/>
      <c r="F39" s="742">
        <v>10985</v>
      </c>
      <c r="G39" s="742"/>
      <c r="H39" s="742">
        <v>10985</v>
      </c>
      <c r="I39" s="1756">
        <f t="shared" si="1"/>
        <v>0</v>
      </c>
      <c r="J39" s="743"/>
      <c r="K39" s="744"/>
    </row>
    <row r="40" spans="1:11" ht="12" customHeight="1" x14ac:dyDescent="0.2">
      <c r="A40" s="732" t="s">
        <v>2123</v>
      </c>
      <c r="B40" s="733">
        <v>43524</v>
      </c>
      <c r="C40" s="734">
        <v>500000</v>
      </c>
      <c r="D40" s="741">
        <v>1</v>
      </c>
      <c r="E40" s="742"/>
      <c r="F40" s="742">
        <v>500000</v>
      </c>
      <c r="G40" s="742"/>
      <c r="H40" s="742"/>
      <c r="I40" s="1756">
        <f t="shared" si="1"/>
        <v>500000</v>
      </c>
      <c r="J40" s="743">
        <v>500000</v>
      </c>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1937481</v>
      </c>
      <c r="D49" s="745"/>
      <c r="E49" s="1756">
        <f t="shared" ref="E49:J49" si="2">SUM(E31:E48)</f>
        <v>773574</v>
      </c>
      <c r="F49" s="1756">
        <f t="shared" si="2"/>
        <v>587651</v>
      </c>
      <c r="G49" s="1756">
        <f t="shared" si="2"/>
        <v>0</v>
      </c>
      <c r="H49" s="1756">
        <f t="shared" si="2"/>
        <v>227586</v>
      </c>
      <c r="I49" s="1756">
        <f t="shared" si="2"/>
        <v>1133639</v>
      </c>
      <c r="J49" s="1756">
        <f t="shared" si="2"/>
        <v>1088413</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t="s">
        <v>2087</v>
      </c>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H15" sqref="H15"/>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1963</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v>16936</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500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4076</v>
      </c>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16936</v>
      </c>
      <c r="I12" s="1758">
        <f>SUM(I5:I11)</f>
        <v>0</v>
      </c>
      <c r="J12" s="1758">
        <f>SUM(J5:J11)</f>
        <v>0</v>
      </c>
      <c r="K12" s="1758">
        <f>SUM(K5:K11)</f>
        <v>4576</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v>16936</v>
      </c>
      <c r="I14" s="771"/>
      <c r="J14" s="773"/>
      <c r="K14" s="765">
        <v>4576</v>
      </c>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16936</v>
      </c>
      <c r="I23" s="1758">
        <f>SUM(I14:I16,I21,I22)</f>
        <v>0</v>
      </c>
      <c r="J23" s="1758">
        <f>SUM(J14:J16,J21,J22)</f>
        <v>0</v>
      </c>
      <c r="K23" s="1758">
        <f>SUM(K14:K16,K21,K22)</f>
        <v>4576</v>
      </c>
    </row>
    <row r="24" spans="1:11" ht="14.25" thickTop="1" thickBot="1" x14ac:dyDescent="0.25">
      <c r="A24" s="2247" t="s">
        <v>1964</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77" t="s">
        <v>1909</v>
      </c>
      <c r="B28" s="1878"/>
      <c r="C28" s="1878"/>
      <c r="D28" s="1878"/>
      <c r="E28" s="1879"/>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I11" sqref="I1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1908</v>
      </c>
      <c r="B1" s="2253"/>
      <c r="C1" s="2254"/>
      <c r="D1" s="826"/>
      <c r="E1" s="827"/>
      <c r="F1" s="827"/>
      <c r="G1" s="828"/>
      <c r="H1" s="829"/>
      <c r="I1" s="830"/>
      <c r="J1" s="2250"/>
      <c r="K1" s="2251"/>
      <c r="L1" s="2251"/>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48291</v>
      </c>
      <c r="D5" s="841"/>
      <c r="E5" s="841"/>
      <c r="F5" s="1760">
        <f>(C5+D5)-E5</f>
        <v>48291</v>
      </c>
      <c r="G5" s="837"/>
      <c r="H5" s="842"/>
      <c r="I5" s="842"/>
      <c r="J5" s="842"/>
      <c r="K5" s="793"/>
      <c r="L5" s="1769">
        <f>F5-K5</f>
        <v>48291</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3727823</v>
      </c>
      <c r="D8" s="844">
        <f>10569+34519</f>
        <v>45088</v>
      </c>
      <c r="E8" s="844"/>
      <c r="F8" s="1760">
        <f>(C8+D8)-E8</f>
        <v>3772911</v>
      </c>
      <c r="G8" s="843">
        <v>50</v>
      </c>
      <c r="H8" s="765">
        <v>1948013</v>
      </c>
      <c r="I8" s="765">
        <v>55377</v>
      </c>
      <c r="J8" s="765"/>
      <c r="K8" s="1769">
        <f>(H8+I8)-J8</f>
        <v>2003390</v>
      </c>
      <c r="L8" s="1769">
        <f>F8-K8</f>
        <v>1769521</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v>232421</v>
      </c>
      <c r="D10" s="846"/>
      <c r="E10" s="846"/>
      <c r="F10" s="1764">
        <f>(C10+D10)-E10</f>
        <v>232421</v>
      </c>
      <c r="G10" s="843">
        <v>20</v>
      </c>
      <c r="H10" s="847">
        <v>126354</v>
      </c>
      <c r="I10" s="847">
        <v>8785</v>
      </c>
      <c r="J10" s="847"/>
      <c r="K10" s="1769">
        <f>(H10+I10)-J10</f>
        <v>135139</v>
      </c>
      <c r="L10" s="1769">
        <f>F10-K10</f>
        <v>97282</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844476</v>
      </c>
      <c r="D12" s="844">
        <v>14335</v>
      </c>
      <c r="E12" s="844"/>
      <c r="F12" s="1760">
        <f>(C12+D12)-E12</f>
        <v>858811</v>
      </c>
      <c r="G12" s="843">
        <v>10</v>
      </c>
      <c r="H12" s="765">
        <v>494175</v>
      </c>
      <c r="I12" s="765">
        <v>72029</v>
      </c>
      <c r="J12" s="765"/>
      <c r="K12" s="1769">
        <f>(H12+I12)-J12</f>
        <v>566204</v>
      </c>
      <c r="L12" s="1769">
        <f>F12-K12</f>
        <v>292607</v>
      </c>
    </row>
    <row r="13" spans="1:14" ht="14.25" thickTop="1" thickBot="1" x14ac:dyDescent="0.25">
      <c r="A13" s="848" t="s">
        <v>1122</v>
      </c>
      <c r="B13" s="840">
        <v>252</v>
      </c>
      <c r="C13" s="844">
        <v>565802</v>
      </c>
      <c r="D13" s="844"/>
      <c r="E13" s="844"/>
      <c r="F13" s="1760">
        <f>(C13+D13)-E13</f>
        <v>565802</v>
      </c>
      <c r="G13" s="843">
        <v>5</v>
      </c>
      <c r="H13" s="765">
        <v>467670</v>
      </c>
      <c r="I13" s="765">
        <v>83167</v>
      </c>
      <c r="J13" s="765"/>
      <c r="K13" s="1769">
        <f>(H13+I13)-J13</f>
        <v>550837</v>
      </c>
      <c r="L13" s="1769">
        <f>F13-K13</f>
        <v>14965</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c r="D15" s="844"/>
      <c r="E15" s="844"/>
      <c r="F15" s="1760">
        <f>(C15+D15)-E15</f>
        <v>0</v>
      </c>
      <c r="G15" s="849" t="s">
        <v>862</v>
      </c>
      <c r="H15" s="781"/>
      <c r="I15" s="781"/>
      <c r="J15" s="781"/>
      <c r="K15" s="781"/>
      <c r="L15" s="1769">
        <f>F15-K15</f>
        <v>0</v>
      </c>
    </row>
    <row r="16" spans="1:14" ht="15" customHeight="1" thickTop="1" thickBot="1" x14ac:dyDescent="0.25">
      <c r="A16" s="1765" t="s">
        <v>643</v>
      </c>
      <c r="B16" s="1766">
        <v>200</v>
      </c>
      <c r="C16" s="1760">
        <f>SUM(C3,C5:C6,C8:C10,C12:C15)</f>
        <v>5418813</v>
      </c>
      <c r="D16" s="1760">
        <f>SUM(D3,D5:D6,D8:D10,D12:D15)</f>
        <v>59423</v>
      </c>
      <c r="E16" s="1760">
        <f>SUM(E3,E5:E6,E8:E10,E12:E15)</f>
        <v>0</v>
      </c>
      <c r="F16" s="1760">
        <f>SUM(F3,F5:F6,F8:F10,F12:F15)</f>
        <v>5478236</v>
      </c>
      <c r="G16" s="843"/>
      <c r="H16" s="1760">
        <f>SUM(H3,H6,H8:H10,H12:H14,)</f>
        <v>3036212</v>
      </c>
      <c r="I16" s="1760">
        <f>SUM(I3,I6,I8:I10,I12:I14,)</f>
        <v>219358</v>
      </c>
      <c r="J16" s="1760">
        <f>SUM(J3,J6,J8:J10,J12:J14,)</f>
        <v>0</v>
      </c>
      <c r="K16" s="1760">
        <f>(H16+I16)-J16</f>
        <v>3255570</v>
      </c>
      <c r="L16" s="1760">
        <f>F16-K16</f>
        <v>2222666</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0</v>
      </c>
      <c r="G17" s="837">
        <v>10</v>
      </c>
      <c r="H17" s="769"/>
      <c r="I17" s="1769">
        <f>F17/G17</f>
        <v>0</v>
      </c>
      <c r="J17" s="769"/>
      <c r="K17" s="795"/>
      <c r="L17" s="795"/>
    </row>
    <row r="18" spans="1:12" ht="14.25" thickTop="1" thickBot="1" x14ac:dyDescent="0.25">
      <c r="A18" s="1767" t="s">
        <v>685</v>
      </c>
      <c r="B18" s="1768"/>
      <c r="C18" s="771"/>
      <c r="D18" s="771"/>
      <c r="E18" s="771"/>
      <c r="F18" s="850"/>
      <c r="G18" s="851"/>
      <c r="H18" s="773"/>
      <c r="I18" s="1760">
        <f>SUM(I16,I17)</f>
        <v>219358</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11" activePane="bottomLeft" state="frozen"/>
      <selection activeCell="A47" sqref="A47"/>
      <selection pane="bottomLeft" activeCell="F172" sqref="F172"/>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1974</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5">
        <f>'Expenditures 15-22'!K114</f>
        <v>2714771</v>
      </c>
      <c r="G8" s="865"/>
    </row>
    <row r="9" spans="1:7" x14ac:dyDescent="0.2">
      <c r="A9" s="869" t="s">
        <v>460</v>
      </c>
      <c r="B9" s="870" t="s">
        <v>1876</v>
      </c>
      <c r="C9" s="871"/>
      <c r="D9" s="869" t="s">
        <v>501</v>
      </c>
      <c r="E9" s="868"/>
      <c r="F9" s="1906">
        <f>'Expenditures 15-22'!K151</f>
        <v>345725</v>
      </c>
      <c r="G9" s="872"/>
    </row>
    <row r="10" spans="1:7" x14ac:dyDescent="0.2">
      <c r="A10" s="869" t="s">
        <v>499</v>
      </c>
      <c r="B10" s="870" t="s">
        <v>1877</v>
      </c>
      <c r="C10" s="871"/>
      <c r="D10" s="869" t="s">
        <v>501</v>
      </c>
      <c r="E10" s="868"/>
      <c r="F10" s="1906">
        <f>'Expenditures 15-22'!K174</f>
        <v>150000</v>
      </c>
      <c r="G10" s="872"/>
    </row>
    <row r="11" spans="1:7" x14ac:dyDescent="0.2">
      <c r="A11" s="869" t="s">
        <v>461</v>
      </c>
      <c r="B11" s="870" t="s">
        <v>1878</v>
      </c>
      <c r="C11" s="871"/>
      <c r="D11" s="869" t="s">
        <v>501</v>
      </c>
      <c r="E11" s="868"/>
      <c r="F11" s="1906">
        <f>'Expenditures 15-22'!K210</f>
        <v>273715</v>
      </c>
      <c r="G11" s="872"/>
    </row>
    <row r="12" spans="1:7" x14ac:dyDescent="0.2">
      <c r="A12" s="869" t="s">
        <v>462</v>
      </c>
      <c r="B12" s="870" t="s">
        <v>1879</v>
      </c>
      <c r="C12" s="871"/>
      <c r="D12" s="869" t="s">
        <v>501</v>
      </c>
      <c r="E12" s="868"/>
      <c r="F12" s="1906">
        <f>'Expenditures 15-22'!K295</f>
        <v>131712</v>
      </c>
      <c r="G12" s="872"/>
    </row>
    <row r="13" spans="1:7" x14ac:dyDescent="0.2">
      <c r="A13" s="869" t="s">
        <v>106</v>
      </c>
      <c r="B13" s="870" t="s">
        <v>1880</v>
      </c>
      <c r="C13" s="871"/>
      <c r="D13" s="869" t="s">
        <v>501</v>
      </c>
      <c r="E13" s="868"/>
      <c r="F13" s="1906">
        <f>'Expenditures 15-22'!K342</f>
        <v>184233</v>
      </c>
      <c r="G13" s="873"/>
    </row>
    <row r="14" spans="1:7" ht="12" customHeight="1" thickBot="1" x14ac:dyDescent="0.25">
      <c r="A14" s="1770"/>
      <c r="B14" s="1771"/>
      <c r="C14" s="1772"/>
      <c r="D14" s="1773" t="s">
        <v>501</v>
      </c>
      <c r="E14" s="1774" t="s">
        <v>958</v>
      </c>
      <c r="F14" s="1775">
        <f>SUM(F8:F13)</f>
        <v>3800156</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7">
        <f>'Revenues 9-14'!F43</f>
        <v>0</v>
      </c>
      <c r="G18" s="865"/>
    </row>
    <row r="19" spans="1:7" x14ac:dyDescent="0.2">
      <c r="A19" s="869" t="s">
        <v>461</v>
      </c>
      <c r="B19" s="870" t="s">
        <v>1011</v>
      </c>
      <c r="C19" s="877">
        <f>'Revenues 9-14'!B47</f>
        <v>1421</v>
      </c>
      <c r="D19" s="878" t="str">
        <f>'Revenues 9-14'!A47</f>
        <v>Summer Sch - Transp. Fees from Pupils or Parents (In State)</v>
      </c>
      <c r="E19" s="879"/>
      <c r="F19" s="1908">
        <f>'Revenues 9-14'!F47</f>
        <v>0</v>
      </c>
      <c r="G19" s="865"/>
    </row>
    <row r="20" spans="1:7" x14ac:dyDescent="0.2">
      <c r="A20" s="869" t="s">
        <v>461</v>
      </c>
      <c r="B20" s="870" t="s">
        <v>1012</v>
      </c>
      <c r="C20" s="875">
        <f>'Revenues 9-14'!B48</f>
        <v>1422</v>
      </c>
      <c r="D20" s="876" t="str">
        <f>'Revenues 9-14'!A48</f>
        <v>Summer Sch - Transp. Fees from Other Districts (In State)</v>
      </c>
      <c r="E20" s="868"/>
      <c r="F20" s="1909">
        <f>'Revenues 9-14'!F48</f>
        <v>0</v>
      </c>
      <c r="G20" s="865"/>
    </row>
    <row r="21" spans="1:7" x14ac:dyDescent="0.2">
      <c r="A21" s="869" t="s">
        <v>461</v>
      </c>
      <c r="B21" s="870" t="s">
        <v>1013</v>
      </c>
      <c r="C21" s="877">
        <f>'Revenues 9-14'!B49</f>
        <v>1423</v>
      </c>
      <c r="D21" s="876" t="str">
        <f>'Revenues 9-14'!A49</f>
        <v>Summer Sch - Transp. Fees from Other Sources (In State)</v>
      </c>
      <c r="E21" s="868"/>
      <c r="F21" s="1910">
        <f>'Revenues 9-14'!F49</f>
        <v>0</v>
      </c>
      <c r="G21" s="865"/>
    </row>
    <row r="22" spans="1:7" x14ac:dyDescent="0.2">
      <c r="A22" s="869" t="s">
        <v>461</v>
      </c>
      <c r="B22" s="870" t="s">
        <v>1014</v>
      </c>
      <c r="C22" s="877">
        <f>'Revenues 9-14'!B50</f>
        <v>1424</v>
      </c>
      <c r="D22" s="876" t="str">
        <f>'Revenues 9-14'!A50</f>
        <v>Summer Sch - Transp. Fees from Other Sources (Out of State)</v>
      </c>
      <c r="E22" s="868"/>
      <c r="F22" s="1910">
        <f>'Revenues 9-14'!F50</f>
        <v>0</v>
      </c>
      <c r="G22" s="865"/>
    </row>
    <row r="23" spans="1:7" x14ac:dyDescent="0.2">
      <c r="A23" s="869" t="s">
        <v>461</v>
      </c>
      <c r="B23" s="870" t="s">
        <v>1015</v>
      </c>
      <c r="C23" s="875">
        <f>'Revenues 9-14'!B52</f>
        <v>1432</v>
      </c>
      <c r="D23" s="876" t="str">
        <f>'Revenues 9-14'!A52</f>
        <v>CTE - Transp Fees from Other Districts (In State)</v>
      </c>
      <c r="E23" s="868"/>
      <c r="F23" s="1910">
        <f>'Revenues 9-14'!F52</f>
        <v>2784</v>
      </c>
      <c r="G23" s="865"/>
    </row>
    <row r="24" spans="1:7" x14ac:dyDescent="0.2">
      <c r="A24" s="869" t="s">
        <v>461</v>
      </c>
      <c r="B24" s="870" t="s">
        <v>1016</v>
      </c>
      <c r="C24" s="875">
        <f>'Revenues 9-14'!B56</f>
        <v>1442</v>
      </c>
      <c r="D24" s="876" t="str">
        <f>'Revenues 9-14'!A56</f>
        <v>Special Ed - Transp Fees from Other Districts (In State)</v>
      </c>
      <c r="E24" s="868"/>
      <c r="F24" s="1910">
        <f>'Revenues 9-14'!F56</f>
        <v>0</v>
      </c>
      <c r="G24" s="865"/>
    </row>
    <row r="25" spans="1:7" x14ac:dyDescent="0.2">
      <c r="A25" s="869" t="s">
        <v>461</v>
      </c>
      <c r="B25" s="870" t="s">
        <v>1017</v>
      </c>
      <c r="C25" s="875">
        <f>'Revenues 9-14'!B59</f>
        <v>1451</v>
      </c>
      <c r="D25" s="876" t="str">
        <f>'Revenues 9-14'!A59</f>
        <v>Adult - Transp Fees from Pupils or Parents (In State)</v>
      </c>
      <c r="E25" s="868"/>
      <c r="F25" s="1910">
        <f>'Revenues 9-14'!F59</f>
        <v>0</v>
      </c>
      <c r="G25" s="865"/>
    </row>
    <row r="26" spans="1:7" x14ac:dyDescent="0.2">
      <c r="A26" s="869" t="s">
        <v>461</v>
      </c>
      <c r="B26" s="870" t="s">
        <v>1018</v>
      </c>
      <c r="C26" s="875">
        <f>'Revenues 9-14'!B60</f>
        <v>1452</v>
      </c>
      <c r="D26" s="876" t="str">
        <f>'Revenues 9-14'!A60</f>
        <v>Adult - Transp Fees from Other Districts (In State)</v>
      </c>
      <c r="E26" s="868"/>
      <c r="F26" s="1910">
        <f>'Revenues 9-14'!F60</f>
        <v>0</v>
      </c>
      <c r="G26" s="865"/>
    </row>
    <row r="27" spans="1:7" x14ac:dyDescent="0.2">
      <c r="A27" s="869" t="s">
        <v>461</v>
      </c>
      <c r="B27" s="870" t="s">
        <v>1019</v>
      </c>
      <c r="C27" s="875">
        <f>'Revenues 9-14'!B61</f>
        <v>1453</v>
      </c>
      <c r="D27" s="876" t="str">
        <f>'Revenues 9-14'!A61</f>
        <v>Adult - Transp Fees from Other Sources (In State)</v>
      </c>
      <c r="E27" s="868"/>
      <c r="F27" s="1910">
        <f>'Revenues 9-14'!F61</f>
        <v>0</v>
      </c>
      <c r="G27" s="865"/>
    </row>
    <row r="28" spans="1:7" x14ac:dyDescent="0.2">
      <c r="A28" s="869" t="s">
        <v>461</v>
      </c>
      <c r="B28" s="870" t="s">
        <v>1020</v>
      </c>
      <c r="C28" s="875">
        <f>'Revenues 9-14'!B62</f>
        <v>1454</v>
      </c>
      <c r="D28" s="876" t="str">
        <f>'Revenues 9-14'!A62</f>
        <v>Adult - Transp Fees from Other Sources (Out of State)</v>
      </c>
      <c r="E28" s="868"/>
      <c r="F28" s="1910">
        <f>'Revenues 9-14'!F62</f>
        <v>0</v>
      </c>
      <c r="G28" s="865"/>
    </row>
    <row r="29" spans="1:7" x14ac:dyDescent="0.2">
      <c r="A29" s="869" t="s">
        <v>1097</v>
      </c>
      <c r="B29" s="870" t="s">
        <v>810</v>
      </c>
      <c r="C29" s="880">
        <f>'Revenues 9-14'!B149</f>
        <v>3410</v>
      </c>
      <c r="D29" s="881" t="str">
        <f>'Revenues 9-14'!A149</f>
        <v>Adult Ed (from ICCB)</v>
      </c>
      <c r="E29" s="868"/>
      <c r="F29" s="1910">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1">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10">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10">
        <f>SUM('Revenues 9-14'!D212,'Revenues 9-14'!F212)</f>
        <v>0</v>
      </c>
      <c r="G32" s="865"/>
    </row>
    <row r="33" spans="1:7" x14ac:dyDescent="0.2">
      <c r="A33" s="869" t="s">
        <v>460</v>
      </c>
      <c r="B33" s="870" t="s">
        <v>2001</v>
      </c>
      <c r="C33" s="875">
        <f>'Revenues 9-14'!B222</f>
        <v>4810</v>
      </c>
      <c r="D33" s="883" t="str">
        <f>'Revenues 9-14'!A222</f>
        <v>Federal - Adult Education</v>
      </c>
      <c r="E33" s="868"/>
      <c r="F33" s="1910">
        <f>'Revenues 9-14'!D222</f>
        <v>0</v>
      </c>
      <c r="G33" s="865"/>
    </row>
    <row r="34" spans="1:7" x14ac:dyDescent="0.2">
      <c r="A34" s="869" t="s">
        <v>459</v>
      </c>
      <c r="B34" s="869" t="s">
        <v>1469</v>
      </c>
      <c r="C34" s="886" t="str">
        <f>'Expenditures 15-22'!B7</f>
        <v>1125</v>
      </c>
      <c r="D34" s="887" t="str">
        <f>'Expenditures 15-22'!A7</f>
        <v>Pre-K Programs</v>
      </c>
      <c r="E34" s="868"/>
      <c r="F34" s="1910">
        <f>'Expenditures 15-22'!K7-SUM('Expenditures 15-22'!G7,'Expenditures 15-22'!I7)</f>
        <v>0</v>
      </c>
      <c r="G34" s="865"/>
    </row>
    <row r="35" spans="1:7" x14ac:dyDescent="0.2">
      <c r="A35" s="869" t="s">
        <v>459</v>
      </c>
      <c r="B35" s="869" t="s">
        <v>1470</v>
      </c>
      <c r="C35" s="886" t="str">
        <f>'Expenditures 15-22'!B9</f>
        <v>1225</v>
      </c>
      <c r="D35" s="887" t="str">
        <f>'Expenditures 15-22'!A9</f>
        <v>Special Education Programs Pre-K</v>
      </c>
      <c r="E35" s="868"/>
      <c r="F35" s="1910">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0">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0">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0">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0">
        <f>'Expenditures 15-22'!K20</f>
        <v>0</v>
      </c>
      <c r="G39" s="865"/>
    </row>
    <row r="40" spans="1:7" x14ac:dyDescent="0.2">
      <c r="A40" s="869" t="s">
        <v>459</v>
      </c>
      <c r="B40" s="869" t="s">
        <v>118</v>
      </c>
      <c r="C40" s="886" t="str">
        <f>'Expenditures 15-22'!B21</f>
        <v>1911</v>
      </c>
      <c r="D40" s="888" t="str">
        <f>'Expenditures 15-22'!A21</f>
        <v>Regular K-12 Programs - Private Tuition</v>
      </c>
      <c r="E40" s="868"/>
      <c r="F40" s="1910">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0">
        <f>'Expenditures 15-22'!K22</f>
        <v>62064</v>
      </c>
      <c r="G41" s="865"/>
    </row>
    <row r="42" spans="1:7" x14ac:dyDescent="0.2">
      <c r="A42" s="869" t="s">
        <v>459</v>
      </c>
      <c r="B42" s="869" t="s">
        <v>120</v>
      </c>
      <c r="C42" s="889" t="str">
        <f>'Expenditures 15-22'!B23</f>
        <v>1913</v>
      </c>
      <c r="D42" s="888" t="str">
        <f>'Expenditures 15-22'!A23</f>
        <v>Special Education Programs Pre-K - Tuition</v>
      </c>
      <c r="E42" s="868"/>
      <c r="F42" s="1910">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0">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0">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0">
        <f>'Expenditures 15-22'!K26</f>
        <v>0</v>
      </c>
      <c r="G45" s="865"/>
    </row>
    <row r="46" spans="1:7" x14ac:dyDescent="0.2">
      <c r="A46" s="869" t="s">
        <v>459</v>
      </c>
      <c r="B46" s="869" t="s">
        <v>124</v>
      </c>
      <c r="C46" s="886" t="str">
        <f>'Expenditures 15-22'!B27</f>
        <v>1917</v>
      </c>
      <c r="D46" s="888" t="str">
        <f>'Expenditures 15-22'!A27</f>
        <v>CTE Programs - Private Tuition</v>
      </c>
      <c r="E46" s="868"/>
      <c r="F46" s="1910">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0">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0">
        <f>'Expenditures 15-22'!K29</f>
        <v>0</v>
      </c>
      <c r="G48" s="865"/>
    </row>
    <row r="49" spans="1:7" x14ac:dyDescent="0.2">
      <c r="A49" s="869" t="s">
        <v>459</v>
      </c>
      <c r="B49" s="869" t="s">
        <v>127</v>
      </c>
      <c r="C49" s="886" t="str">
        <f>'Expenditures 15-22'!B30</f>
        <v>1920</v>
      </c>
      <c r="D49" s="888" t="str">
        <f>'Expenditures 15-22'!A30</f>
        <v>Gifted Programs - Private Tuition</v>
      </c>
      <c r="E49" s="868"/>
      <c r="F49" s="1910">
        <f>'Expenditures 15-22'!K30</f>
        <v>0</v>
      </c>
      <c r="G49" s="865"/>
    </row>
    <row r="50" spans="1:7" x14ac:dyDescent="0.2">
      <c r="A50" s="869" t="s">
        <v>459</v>
      </c>
      <c r="B50" s="869" t="s">
        <v>128</v>
      </c>
      <c r="C50" s="886" t="str">
        <f>'Expenditures 15-22'!B31</f>
        <v>1921</v>
      </c>
      <c r="D50" s="888" t="str">
        <f>'Expenditures 15-22'!A31</f>
        <v>Bilingual Programs - Private Tuition</v>
      </c>
      <c r="E50" s="868"/>
      <c r="F50" s="1910">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0">
        <f>'Expenditures 15-22'!K32</f>
        <v>0</v>
      </c>
      <c r="G51" s="865"/>
    </row>
    <row r="52" spans="1:7" x14ac:dyDescent="0.2">
      <c r="A52" s="869" t="s">
        <v>459</v>
      </c>
      <c r="B52" s="869" t="s">
        <v>1474</v>
      </c>
      <c r="C52" s="889" t="str">
        <f>'Expenditures 15-22'!B75</f>
        <v>3000</v>
      </c>
      <c r="D52" s="888" t="s">
        <v>449</v>
      </c>
      <c r="E52" s="868"/>
      <c r="F52" s="1910">
        <f>'Expenditures 15-22'!K75-SUM('Expenditures 15-22'!G75,'Expenditures 15-22'!I75)</f>
        <v>0</v>
      </c>
      <c r="G52" s="865"/>
    </row>
    <row r="53" spans="1:7" x14ac:dyDescent="0.2">
      <c r="A53" s="869" t="s">
        <v>459</v>
      </c>
      <c r="B53" s="869" t="s">
        <v>1475</v>
      </c>
      <c r="C53" s="889">
        <f>'Expenditures 15-22'!B102</f>
        <v>4000</v>
      </c>
      <c r="D53" s="888" t="str">
        <f>'Expenditures 15-22'!A102</f>
        <v>Total Payments to Other Govt Units</v>
      </c>
      <c r="E53" s="868"/>
      <c r="F53" s="1910">
        <f>'Expenditures 15-22'!K102</f>
        <v>59308</v>
      </c>
      <c r="G53" s="865"/>
    </row>
    <row r="54" spans="1:7" x14ac:dyDescent="0.2">
      <c r="A54" s="869" t="s">
        <v>459</v>
      </c>
      <c r="B54" s="869" t="s">
        <v>1476</v>
      </c>
      <c r="C54" s="889" t="s">
        <v>982</v>
      </c>
      <c r="D54" s="885" t="s">
        <v>1095</v>
      </c>
      <c r="E54" s="868"/>
      <c r="F54" s="1910">
        <f>'Expenditures 15-22'!G114</f>
        <v>0</v>
      </c>
      <c r="G54" s="865"/>
    </row>
    <row r="55" spans="1:7" x14ac:dyDescent="0.2">
      <c r="A55" s="869" t="s">
        <v>459</v>
      </c>
      <c r="B55" s="869" t="s">
        <v>1477</v>
      </c>
      <c r="C55" s="889" t="s">
        <v>982</v>
      </c>
      <c r="D55" s="885" t="s">
        <v>291</v>
      </c>
      <c r="E55" s="868"/>
      <c r="F55" s="1910">
        <f>'Expenditures 15-22'!I114</f>
        <v>0</v>
      </c>
      <c r="G55" s="865"/>
    </row>
    <row r="56" spans="1:7" x14ac:dyDescent="0.2">
      <c r="A56" s="869" t="s">
        <v>460</v>
      </c>
      <c r="B56" s="869" t="s">
        <v>1478</v>
      </c>
      <c r="C56" s="886" t="str">
        <f>'Expenditures 15-22'!B130</f>
        <v>3000</v>
      </c>
      <c r="D56" s="892" t="s">
        <v>449</v>
      </c>
      <c r="E56" s="868"/>
      <c r="F56" s="1910">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0">
        <f>'Expenditures 15-22'!K139</f>
        <v>0</v>
      </c>
      <c r="G57" s="865"/>
    </row>
    <row r="58" spans="1:7" x14ac:dyDescent="0.2">
      <c r="A58" s="869" t="s">
        <v>460</v>
      </c>
      <c r="B58" s="869" t="s">
        <v>1882</v>
      </c>
      <c r="C58" s="886" t="s">
        <v>982</v>
      </c>
      <c r="D58" s="885" t="s">
        <v>1095</v>
      </c>
      <c r="E58" s="868"/>
      <c r="F58" s="1912">
        <f>'Expenditures 15-22'!G151</f>
        <v>24904</v>
      </c>
      <c r="G58" s="865"/>
    </row>
    <row r="59" spans="1:7" x14ac:dyDescent="0.2">
      <c r="A59" s="893" t="s">
        <v>460</v>
      </c>
      <c r="B59" s="856" t="s">
        <v>1883</v>
      </c>
      <c r="C59" s="894" t="s">
        <v>982</v>
      </c>
      <c r="D59" s="856" t="s">
        <v>291</v>
      </c>
      <c r="F59" s="1913">
        <f>'Expenditures 15-22'!I151</f>
        <v>0</v>
      </c>
      <c r="G59" s="865"/>
    </row>
    <row r="60" spans="1:7" x14ac:dyDescent="0.2">
      <c r="A60" s="893" t="s">
        <v>499</v>
      </c>
      <c r="B60" s="856" t="s">
        <v>1884</v>
      </c>
      <c r="C60" s="894">
        <v>4000</v>
      </c>
      <c r="D60" s="856" t="s">
        <v>312</v>
      </c>
      <c r="F60" s="1911">
        <f>'Expenditures 15-22'!K160</f>
        <v>0</v>
      </c>
      <c r="G60" s="865"/>
    </row>
    <row r="61" spans="1:7" x14ac:dyDescent="0.2">
      <c r="A61" s="895" t="s">
        <v>499</v>
      </c>
      <c r="B61" s="895" t="s">
        <v>1885</v>
      </c>
      <c r="C61" s="896" t="str">
        <f>'Expenditures 15-22'!B170</f>
        <v>5300</v>
      </c>
      <c r="D61" s="897" t="s">
        <v>311</v>
      </c>
      <c r="E61" s="879"/>
      <c r="F61" s="1910">
        <f>'Expenditures 15-22'!K170</f>
        <v>150000</v>
      </c>
      <c r="G61" s="865"/>
    </row>
    <row r="62" spans="1:7" x14ac:dyDescent="0.2">
      <c r="A62" s="869" t="s">
        <v>461</v>
      </c>
      <c r="B62" s="869" t="s">
        <v>1886</v>
      </c>
      <c r="C62" s="886">
        <f>'Expenditures 15-22'!B185</f>
        <v>3000</v>
      </c>
      <c r="D62" s="876" t="s">
        <v>449</v>
      </c>
      <c r="E62" s="868"/>
      <c r="F62" s="1910">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0">
        <f>'Expenditures 15-22'!K196</f>
        <v>25938</v>
      </c>
      <c r="G63" s="865"/>
    </row>
    <row r="64" spans="1:7" x14ac:dyDescent="0.2">
      <c r="A64" s="895" t="s">
        <v>461</v>
      </c>
      <c r="B64" s="895" t="s">
        <v>1888</v>
      </c>
      <c r="C64" s="896" t="str">
        <f>'Expenditures 15-22'!B206</f>
        <v>5300</v>
      </c>
      <c r="D64" s="892" t="s">
        <v>311</v>
      </c>
      <c r="E64" s="868"/>
      <c r="F64" s="1910">
        <f>'Expenditures 15-22'!K206</f>
        <v>77586</v>
      </c>
      <c r="G64" s="865"/>
    </row>
    <row r="65" spans="1:8" x14ac:dyDescent="0.2">
      <c r="A65" s="869" t="s">
        <v>461</v>
      </c>
      <c r="B65" s="869" t="s">
        <v>1889</v>
      </c>
      <c r="C65" s="886" t="s">
        <v>982</v>
      </c>
      <c r="D65" s="885" t="s">
        <v>1095</v>
      </c>
      <c r="E65" s="868"/>
      <c r="F65" s="1910">
        <f>'Expenditures 15-22'!G210</f>
        <v>0</v>
      </c>
      <c r="G65" s="865"/>
    </row>
    <row r="66" spans="1:8" x14ac:dyDescent="0.2">
      <c r="A66" s="869" t="s">
        <v>461</v>
      </c>
      <c r="B66" s="869" t="s">
        <v>1890</v>
      </c>
      <c r="C66" s="886" t="s">
        <v>982</v>
      </c>
      <c r="D66" s="885" t="s">
        <v>291</v>
      </c>
      <c r="E66" s="868"/>
      <c r="F66" s="1910">
        <f>'Expenditures 15-22'!I210</f>
        <v>0</v>
      </c>
      <c r="G66" s="865"/>
    </row>
    <row r="67" spans="1:8" x14ac:dyDescent="0.2">
      <c r="A67" s="869" t="s">
        <v>462</v>
      </c>
      <c r="B67" s="869" t="s">
        <v>1891</v>
      </c>
      <c r="C67" s="886" t="str">
        <f>'Expenditures 15-22'!B216</f>
        <v>1125</v>
      </c>
      <c r="D67" s="892" t="str">
        <f>'Expenditures 15-22'!A216</f>
        <v>Pre-K Programs</v>
      </c>
      <c r="E67" s="868"/>
      <c r="F67" s="1910">
        <f>'Expenditures 15-22'!K216</f>
        <v>0</v>
      </c>
      <c r="G67" s="865"/>
    </row>
    <row r="68" spans="1:8" x14ac:dyDescent="0.2">
      <c r="A68" s="869" t="s">
        <v>462</v>
      </c>
      <c r="B68" s="869" t="s">
        <v>1479</v>
      </c>
      <c r="C68" s="886" t="str">
        <f>'Expenditures 15-22'!B218</f>
        <v>1225</v>
      </c>
      <c r="D68" s="892" t="str">
        <f>'Expenditures 15-22'!A218</f>
        <v>Special Education Programs - Pre-K</v>
      </c>
      <c r="E68" s="868"/>
      <c r="F68" s="1910">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0">
        <f>'Expenditures 15-22'!K220</f>
        <v>0</v>
      </c>
      <c r="G69" s="865"/>
    </row>
    <row r="70" spans="1:8" x14ac:dyDescent="0.2">
      <c r="A70" s="869" t="s">
        <v>462</v>
      </c>
      <c r="B70" s="869" t="s">
        <v>1893</v>
      </c>
      <c r="C70" s="886">
        <f>'Expenditures 15-22'!B221</f>
        <v>1300</v>
      </c>
      <c r="D70" s="887" t="str">
        <f>'Expenditures 15-22'!A221</f>
        <v>Adult/Continuing Education Programs</v>
      </c>
      <c r="E70" s="868"/>
      <c r="F70" s="1910">
        <f>'Expenditures 15-22'!K221</f>
        <v>0</v>
      </c>
      <c r="G70" s="865"/>
    </row>
    <row r="71" spans="1:8" x14ac:dyDescent="0.2">
      <c r="A71" s="869" t="s">
        <v>462</v>
      </c>
      <c r="B71" s="869" t="s">
        <v>1894</v>
      </c>
      <c r="C71" s="886">
        <f>'Expenditures 15-22'!B224</f>
        <v>1600</v>
      </c>
      <c r="D71" s="887" t="str">
        <f>'Expenditures 15-22'!A224</f>
        <v>Summer School Programs</v>
      </c>
      <c r="E71" s="868"/>
      <c r="F71" s="1910">
        <f>'Expenditures 15-22'!K224</f>
        <v>0</v>
      </c>
      <c r="G71" s="865"/>
    </row>
    <row r="72" spans="1:8" x14ac:dyDescent="0.2">
      <c r="A72" s="869" t="s">
        <v>462</v>
      </c>
      <c r="B72" s="869" t="s">
        <v>1895</v>
      </c>
      <c r="C72" s="886">
        <f>'Expenditures 15-22'!B280</f>
        <v>3000</v>
      </c>
      <c r="D72" s="876" t="s">
        <v>449</v>
      </c>
      <c r="E72" s="868"/>
      <c r="F72" s="1910">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0">
        <f>'Expenditures 15-22'!K285</f>
        <v>0</v>
      </c>
      <c r="G73" s="865"/>
    </row>
    <row r="74" spans="1:8" x14ac:dyDescent="0.2">
      <c r="A74" s="869" t="s">
        <v>436</v>
      </c>
      <c r="B74" s="869" t="s">
        <v>1897</v>
      </c>
      <c r="C74" s="886" t="s">
        <v>860</v>
      </c>
      <c r="D74" s="887" t="s">
        <v>1487</v>
      </c>
      <c r="E74" s="868"/>
      <c r="F74" s="1914">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1898</v>
      </c>
      <c r="E76" s="1774" t="s">
        <v>958</v>
      </c>
      <c r="F76" s="1778">
        <f>SUM(F18:F74)</f>
        <v>402584</v>
      </c>
      <c r="G76" s="865"/>
    </row>
    <row r="77" spans="1:8" s="893" customFormat="1" ht="12" customHeight="1" thickTop="1" thickBot="1" x14ac:dyDescent="0.25">
      <c r="A77" s="1779"/>
      <c r="B77" s="1776"/>
      <c r="C77" s="1772"/>
      <c r="D77" s="1777" t="s">
        <v>1899</v>
      </c>
      <c r="E77" s="1774"/>
      <c r="F77" s="1780">
        <f>(F14-F76)</f>
        <v>3397572</v>
      </c>
      <c r="G77" s="869"/>
    </row>
    <row r="78" spans="1:8" s="893" customFormat="1" ht="12" customHeight="1" thickTop="1" x14ac:dyDescent="0.2">
      <c r="A78" s="1781"/>
      <c r="B78" s="1776"/>
      <c r="C78" s="1772"/>
      <c r="D78" s="1777" t="s">
        <v>2061</v>
      </c>
      <c r="E78" s="1774"/>
      <c r="F78" s="898">
        <v>190</v>
      </c>
      <c r="G78" s="899"/>
      <c r="H78" s="869"/>
    </row>
    <row r="79" spans="1:8" s="893" customFormat="1" ht="12" customHeight="1" thickBot="1" x14ac:dyDescent="0.25">
      <c r="A79" s="1782"/>
      <c r="B79" s="1776"/>
      <c r="C79" s="1772"/>
      <c r="D79" s="1777" t="s">
        <v>1900</v>
      </c>
      <c r="E79" s="1774" t="s">
        <v>958</v>
      </c>
      <c r="F79" s="1783">
        <f>IF(F78&gt;0,F77/F78," Complete Line 78")</f>
        <v>17881.957894736843</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4">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35739</v>
      </c>
      <c r="G94" s="912"/>
    </row>
    <row r="95" spans="1:7" x14ac:dyDescent="0.2">
      <c r="A95" s="908" t="s">
        <v>140</v>
      </c>
      <c r="B95" s="908" t="s">
        <v>175</v>
      </c>
      <c r="C95" s="910">
        <v>1700</v>
      </c>
      <c r="D95" s="918" t="str">
        <f>'Revenues 9-14'!A82</f>
        <v>Total District/School Activity Income</v>
      </c>
      <c r="E95" s="906"/>
      <c r="F95" s="1789">
        <f>SUM('Revenues 9-14'!C82,'Revenues 9-14'!D82)</f>
        <v>12123</v>
      </c>
      <c r="G95" s="912"/>
    </row>
    <row r="96" spans="1:7" x14ac:dyDescent="0.2">
      <c r="A96" s="908" t="s">
        <v>459</v>
      </c>
      <c r="B96" s="908" t="s">
        <v>176</v>
      </c>
      <c r="C96" s="910">
        <f>'Revenues 9-14'!B84</f>
        <v>1811</v>
      </c>
      <c r="D96" s="911" t="str">
        <f>'Revenues 9-14'!A84</f>
        <v>Rentals - Regular Textbooks</v>
      </c>
      <c r="E96" s="906"/>
      <c r="F96" s="1789">
        <f>'Revenues 9-14'!C84</f>
        <v>6397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440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9648</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16854</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2002</v>
      </c>
      <c r="C105" s="913">
        <v>3100</v>
      </c>
      <c r="D105" s="919" t="str">
        <f>'Revenues 9-14'!A132</f>
        <v>Total Special Education</v>
      </c>
      <c r="E105" s="906"/>
      <c r="F105" s="1789">
        <f>SUM('Revenues 9-14'!C132:D132,'Revenues 9-14'!F132)</f>
        <v>21859</v>
      </c>
      <c r="G105" s="912"/>
    </row>
    <row r="106" spans="1:7" x14ac:dyDescent="0.2">
      <c r="A106" s="908" t="s">
        <v>673</v>
      </c>
      <c r="B106" s="908" t="s">
        <v>2003</v>
      </c>
      <c r="C106" s="920">
        <v>3200</v>
      </c>
      <c r="D106" s="911" t="str">
        <f>'Revenues 9-14'!A141</f>
        <v>Total Career and Technical Education</v>
      </c>
      <c r="E106" s="906"/>
      <c r="F106" s="1789">
        <f>SUM('Revenues 9-14'!C141,'Revenues 9-14'!D141,'Revenues 9-14'!G141)</f>
        <v>3626</v>
      </c>
      <c r="G106" s="912"/>
    </row>
    <row r="107" spans="1:7" x14ac:dyDescent="0.2">
      <c r="A107" s="921" t="s">
        <v>664</v>
      </c>
      <c r="B107" s="908" t="s">
        <v>2004</v>
      </c>
      <c r="C107" s="920">
        <v>3300</v>
      </c>
      <c r="D107" s="911" t="str">
        <f>'Revenues 9-14'!A145</f>
        <v>Total Bilingual Ed</v>
      </c>
      <c r="E107" s="906"/>
      <c r="F107" s="1789">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9">
        <f>'Revenues 9-14'!C146</f>
        <v>718</v>
      </c>
      <c r="G108" s="912"/>
    </row>
    <row r="109" spans="1:7" x14ac:dyDescent="0.2">
      <c r="A109" s="908" t="s">
        <v>673</v>
      </c>
      <c r="B109" s="908" t="s">
        <v>2006</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9">
        <f>SUM('Revenues 9-14'!C148,'Revenues 9-14'!D148)</f>
        <v>4076</v>
      </c>
      <c r="G110" s="912"/>
    </row>
    <row r="111" spans="1:7" x14ac:dyDescent="0.2">
      <c r="A111" s="908" t="s">
        <v>668</v>
      </c>
      <c r="B111" s="908" t="s">
        <v>2008</v>
      </c>
      <c r="C111" s="922">
        <v>3500</v>
      </c>
      <c r="D111" s="911" t="str">
        <f>'Revenues 9-14'!A155</f>
        <v>Total Transportation</v>
      </c>
      <c r="E111" s="906"/>
      <c r="F111" s="1789">
        <f>SUM('Revenues 9-14'!C155,'Revenues 9-14'!D155,'Revenues 9-14'!F155,'Revenues 9-14'!G155)</f>
        <v>167471</v>
      </c>
      <c r="G111" s="912"/>
    </row>
    <row r="112" spans="1:7" x14ac:dyDescent="0.2">
      <c r="A112" s="908" t="s">
        <v>459</v>
      </c>
      <c r="B112" s="908" t="s">
        <v>2009</v>
      </c>
      <c r="C112" s="920">
        <f>'Revenues 9-14'!B156</f>
        <v>3610</v>
      </c>
      <c r="D112" s="911" t="str">
        <f>'Revenues 9-14'!A156</f>
        <v>Learning Improvement - Change Grants</v>
      </c>
      <c r="E112" s="906"/>
      <c r="F112" s="1789">
        <f>'Revenues 9-14'!C156</f>
        <v>0</v>
      </c>
      <c r="G112" s="912"/>
    </row>
    <row r="113" spans="1:7" x14ac:dyDescent="0.2">
      <c r="A113" s="908" t="s">
        <v>668</v>
      </c>
      <c r="B113" s="908" t="s">
        <v>2010</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4">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4">
        <f>SUM('Revenues 9-14'!C163:G163)</f>
        <v>0</v>
      </c>
      <c r="G118" s="912"/>
    </row>
    <row r="119" spans="1:7" x14ac:dyDescent="0.2">
      <c r="A119" s="923" t="s">
        <v>504</v>
      </c>
      <c r="B119" s="923" t="s">
        <v>2016</v>
      </c>
      <c r="C119" s="924">
        <f>'Revenues 9-14'!B164</f>
        <v>3815</v>
      </c>
      <c r="D119" s="925" t="str">
        <f>'Revenues 9-14'!A164</f>
        <v>State Charter Schools</v>
      </c>
      <c r="E119" s="906"/>
      <c r="F119" s="1904">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9">
        <f>'Revenues 9-14'!D167</f>
        <v>0</v>
      </c>
      <c r="G120" s="930"/>
    </row>
    <row r="121" spans="1:7" x14ac:dyDescent="0.2">
      <c r="A121" s="927" t="s">
        <v>500</v>
      </c>
      <c r="B121" s="927" t="s">
        <v>2018</v>
      </c>
      <c r="C121" s="928">
        <f>'Revenues 9-14'!B168</f>
        <v>3999</v>
      </c>
      <c r="D121" s="929" t="s">
        <v>543</v>
      </c>
      <c r="E121" s="931"/>
      <c r="F121" s="1789">
        <f>SUM('Revenues 9-14'!C168:G168,'Revenues 9-14'!J168)</f>
        <v>494</v>
      </c>
      <c r="G121" s="930"/>
    </row>
    <row r="122" spans="1:7" x14ac:dyDescent="0.2">
      <c r="A122" s="927" t="s">
        <v>459</v>
      </c>
      <c r="B122" s="927" t="s">
        <v>2019</v>
      </c>
      <c r="C122" s="932">
        <f>'Revenues 9-14'!B177</f>
        <v>4045</v>
      </c>
      <c r="D122" s="929" t="str">
        <f>'Revenues 9-14'!A177 &amp; " (Subtract)"</f>
        <v>Head Start (Subtract)</v>
      </c>
      <c r="E122" s="906"/>
      <c r="F122" s="1789">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2021</v>
      </c>
      <c r="C124" s="932">
        <v>4100</v>
      </c>
      <c r="D124" s="933" t="str">
        <f>'Revenues 9-14'!A188</f>
        <v>Total Title V</v>
      </c>
      <c r="E124" s="906"/>
      <c r="F124" s="1789">
        <f>SUM('Revenues 9-14'!C188,'Revenues 9-14'!D188,'Revenues 9-14'!F188,'Revenues 9-14'!G188)</f>
        <v>21024</v>
      </c>
      <c r="G124" s="930"/>
    </row>
    <row r="125" spans="1:7" x14ac:dyDescent="0.2">
      <c r="A125" s="927" t="s">
        <v>664</v>
      </c>
      <c r="B125" s="927" t="s">
        <v>2022</v>
      </c>
      <c r="C125" s="932">
        <v>4200</v>
      </c>
      <c r="D125" s="929" t="str">
        <f>'Revenues 9-14'!A198</f>
        <v>Total Food Service</v>
      </c>
      <c r="E125" s="906"/>
      <c r="F125" s="1789">
        <f>SUM('Revenues 9-14'!C198,'Revenues 9-14'!G198)</f>
        <v>44583</v>
      </c>
      <c r="G125" s="930"/>
    </row>
    <row r="126" spans="1:7" x14ac:dyDescent="0.2">
      <c r="A126" s="927" t="s">
        <v>668</v>
      </c>
      <c r="B126" s="927" t="s">
        <v>2023</v>
      </c>
      <c r="C126" s="932">
        <v>4300</v>
      </c>
      <c r="D126" s="933" t="str">
        <f>'Revenues 9-14'!A204</f>
        <v>Total Title I</v>
      </c>
      <c r="E126" s="906"/>
      <c r="F126" s="1789">
        <f>SUM('Revenues 9-14'!C204,'Revenues 9-14'!D204,'Revenues 9-14'!F204,'Revenues 9-14'!G204)</f>
        <v>47673</v>
      </c>
      <c r="G126" s="930"/>
    </row>
    <row r="127" spans="1:7" x14ac:dyDescent="0.2">
      <c r="A127" s="927" t="s">
        <v>668</v>
      </c>
      <c r="B127" s="927" t="s">
        <v>2024</v>
      </c>
      <c r="C127" s="932">
        <v>4400</v>
      </c>
      <c r="D127" s="933" t="str">
        <f>'Revenues 9-14'!A209</f>
        <v>Total Title IV</v>
      </c>
      <c r="E127" s="906"/>
      <c r="F127" s="1789">
        <f>SUM('Revenues 9-14'!C209,'Revenues 9-14'!D209,'Revenues 9-14'!F209,'Revenues 9-14'!G209)</f>
        <v>15595</v>
      </c>
      <c r="G127" s="930"/>
    </row>
    <row r="128" spans="1:7" x14ac:dyDescent="0.2">
      <c r="A128" s="927" t="s">
        <v>668</v>
      </c>
      <c r="B128" s="927" t="s">
        <v>2025</v>
      </c>
      <c r="C128" s="932">
        <f>'Revenues 9-14'!B213</f>
        <v>4620</v>
      </c>
      <c r="D128" s="933" t="str">
        <f>'Revenues 9-14'!A213</f>
        <v>Fed - Spec Education - IDEA - Flow Through</v>
      </c>
      <c r="E128" s="906"/>
      <c r="F128" s="1789">
        <f>SUM('Revenues 9-14'!C213:D213,'Revenues 9-14'!F213:G213)</f>
        <v>14406</v>
      </c>
      <c r="G128" s="930"/>
    </row>
    <row r="129" spans="1:7" x14ac:dyDescent="0.2">
      <c r="A129" s="927" t="s">
        <v>668</v>
      </c>
      <c r="B129" s="927" t="s">
        <v>2026</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2028</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2029</v>
      </c>
      <c r="C133" s="935" t="s">
        <v>207</v>
      </c>
      <c r="D133" s="936" t="str">
        <f>'Revenues 9-14'!A224</f>
        <v>ARRA - Title I - Low Income</v>
      </c>
      <c r="E133" s="937"/>
      <c r="F133" s="1904">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9">
        <v>0</v>
      </c>
      <c r="G138" s="905"/>
    </row>
    <row r="139" spans="1:7" s="867" customFormat="1" hidden="1" x14ac:dyDescent="0.2">
      <c r="A139" s="934" t="s">
        <v>206</v>
      </c>
      <c r="B139" s="934" t="s">
        <v>2035</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2043</v>
      </c>
      <c r="C157" s="940" t="s">
        <v>841</v>
      </c>
      <c r="D157" s="941" t="s">
        <v>777</v>
      </c>
      <c r="E157" s="942"/>
      <c r="F157" s="1789">
        <f>SUM(F133:F156)</f>
        <v>0</v>
      </c>
      <c r="G157" s="905"/>
    </row>
    <row r="158" spans="1:7" s="867" customFormat="1" x14ac:dyDescent="0.2">
      <c r="A158" s="938" t="s">
        <v>459</v>
      </c>
      <c r="B158" s="939" t="s">
        <v>2044</v>
      </c>
      <c r="C158" s="940" t="s">
        <v>1427</v>
      </c>
      <c r="D158" s="941" t="s">
        <v>1428</v>
      </c>
      <c r="E158" s="942"/>
      <c r="F158" s="1789">
        <f>SUM('Revenues 9-14'!C253)</f>
        <v>0</v>
      </c>
      <c r="G158" s="905"/>
    </row>
    <row r="159" spans="1:7" s="867" customFormat="1" x14ac:dyDescent="0.2">
      <c r="A159" s="938" t="s">
        <v>500</v>
      </c>
      <c r="B159" s="939" t="s">
        <v>2045</v>
      </c>
      <c r="C159" s="940" t="s">
        <v>1466</v>
      </c>
      <c r="D159" s="941" t="s">
        <v>1467</v>
      </c>
      <c r="E159" s="942"/>
      <c r="F159" s="1789">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4">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4">
        <f>SUM('Revenues 9-14'!C259,'Revenues 9-14'!D259,'Revenues 9-14'!F259,'Revenues 9-14'!G259)</f>
        <v>7871</v>
      </c>
      <c r="G164" s="930"/>
    </row>
    <row r="165" spans="1:7" x14ac:dyDescent="0.2">
      <c r="A165" s="927" t="s">
        <v>668</v>
      </c>
      <c r="B165" s="927" t="s">
        <v>2051</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9">
        <f>SUM('Revenues 9-14'!C263:D263,'Revenues 9-14'!F263:G263)</f>
        <v>4401</v>
      </c>
      <c r="G168" s="947">
        <v>6320</v>
      </c>
    </row>
    <row r="169" spans="1:7" x14ac:dyDescent="0.2">
      <c r="A169" s="927" t="s">
        <v>668</v>
      </c>
      <c r="B169" s="927" t="s">
        <v>2053</v>
      </c>
      <c r="C169" s="932">
        <f>'Revenues 9-14'!B264</f>
        <v>4992</v>
      </c>
      <c r="D169" s="933" t="str">
        <f>'Revenues 9-14'!A264</f>
        <v>Medicaid Matching Funds - Fee-for-Service Program</v>
      </c>
      <c r="E169" s="906"/>
      <c r="F169" s="1789">
        <f>SUM('Revenues 9-14'!C264:D264,'Revenues 9-14'!F264:G264)</f>
        <v>21092</v>
      </c>
      <c r="G169" s="947"/>
    </row>
    <row r="170" spans="1:7" x14ac:dyDescent="0.2">
      <c r="A170" s="948" t="s">
        <v>668</v>
      </c>
      <c r="B170" s="944" t="s">
        <v>2054</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5" t="s">
        <v>5</v>
      </c>
      <c r="B171" s="1916" t="s">
        <v>1919</v>
      </c>
      <c r="C171" s="1917">
        <v>3100</v>
      </c>
      <c r="D171" s="1918" t="s">
        <v>1921</v>
      </c>
      <c r="E171" s="906"/>
      <c r="F171" s="1903">
        <v>138336</v>
      </c>
      <c r="G171" s="927"/>
    </row>
    <row r="172" spans="1:7" x14ac:dyDescent="0.2">
      <c r="A172" s="1915" t="s">
        <v>664</v>
      </c>
      <c r="B172" s="1916" t="s">
        <v>1919</v>
      </c>
      <c r="C172" s="1917">
        <v>3300</v>
      </c>
      <c r="D172" s="1918" t="s">
        <v>1922</v>
      </c>
      <c r="E172" s="906"/>
      <c r="F172" s="1903">
        <v>0</v>
      </c>
      <c r="G172" s="927"/>
    </row>
    <row r="173" spans="1:7" ht="6" customHeight="1" x14ac:dyDescent="0.2">
      <c r="A173" s="927"/>
      <c r="B173" s="927"/>
      <c r="C173" s="949"/>
      <c r="D173" s="927"/>
      <c r="E173" s="906"/>
      <c r="F173" s="950"/>
      <c r="G173" s="947"/>
    </row>
    <row r="174" spans="1:7" x14ac:dyDescent="0.2">
      <c r="A174" s="1770"/>
      <c r="B174" s="1784"/>
      <c r="C174" s="1785"/>
      <c r="D174" s="1786" t="s">
        <v>2055</v>
      </c>
      <c r="E174" s="1787" t="s">
        <v>958</v>
      </c>
      <c r="F174" s="1788">
        <f>SUM(F84:F132,F157:F172)</f>
        <v>594426</v>
      </c>
    </row>
    <row r="175" spans="1:7" ht="12" customHeight="1" x14ac:dyDescent="0.2">
      <c r="A175" s="1770"/>
      <c r="B175" s="1784"/>
      <c r="C175" s="1785"/>
      <c r="D175" s="1786" t="s">
        <v>2056</v>
      </c>
      <c r="E175" s="1787"/>
      <c r="F175" s="1789">
        <f>'PCTC-OEPP 27-28'!F77-F174</f>
        <v>2803146</v>
      </c>
    </row>
    <row r="176" spans="1:7" ht="12" customHeight="1" x14ac:dyDescent="0.2">
      <c r="A176" s="1770"/>
      <c r="B176" s="1784"/>
      <c r="C176" s="1785"/>
      <c r="D176" s="1786" t="s">
        <v>1817</v>
      </c>
      <c r="E176" s="1787"/>
      <c r="F176" s="1789">
        <f>'Cap Outlay Deprec 26'!I18</f>
        <v>219358</v>
      </c>
    </row>
    <row r="177" spans="1:7" ht="12" customHeight="1" x14ac:dyDescent="0.2">
      <c r="A177" s="1770"/>
      <c r="B177" s="1784"/>
      <c r="C177" s="1785"/>
      <c r="D177" s="1786" t="s">
        <v>2057</v>
      </c>
      <c r="E177" s="1787"/>
      <c r="F177" s="1789">
        <f>F175+F176</f>
        <v>3022504</v>
      </c>
    </row>
    <row r="178" spans="1:7" ht="12" customHeight="1" x14ac:dyDescent="0.2">
      <c r="A178" s="1770"/>
      <c r="B178" s="1790"/>
      <c r="C178" s="1785"/>
      <c r="D178" s="1786" t="str">
        <f>D78</f>
        <v>9 Month ADA from District Average Daily Attendance/Prior General State Aid Inquiry 2018-2019</v>
      </c>
      <c r="E178" s="1787"/>
      <c r="F178" s="1791">
        <f>'PCTC-OEPP 27-28'!F78</f>
        <v>190</v>
      </c>
      <c r="G178" s="930"/>
    </row>
    <row r="179" spans="1:7" ht="12" customHeight="1" thickBot="1" x14ac:dyDescent="0.25">
      <c r="A179" s="1770"/>
      <c r="B179" s="1790"/>
      <c r="C179" s="1785"/>
      <c r="D179" s="1786" t="s">
        <v>2058</v>
      </c>
      <c r="E179" s="1787" t="s">
        <v>1545</v>
      </c>
      <c r="F179" s="1792">
        <f>F177/F178</f>
        <v>15907.915789473684</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9" customFormat="1" ht="12.2" customHeight="1" x14ac:dyDescent="0.2">
      <c r="A182" s="1919" t="s">
        <v>1993</v>
      </c>
      <c r="B182" s="1920"/>
      <c r="C182" s="1921"/>
      <c r="D182" s="1920"/>
      <c r="E182" s="1921"/>
      <c r="F182" s="1920"/>
      <c r="G182" s="1920"/>
    </row>
    <row r="183" spans="1:7" s="1919" customFormat="1" ht="12.2" customHeight="1" x14ac:dyDescent="0.2">
      <c r="A183" s="1922" t="s">
        <v>1995</v>
      </c>
      <c r="C183" s="1921"/>
      <c r="D183" s="1920"/>
      <c r="E183" s="1921"/>
      <c r="F183" s="1920"/>
      <c r="G183" s="1920"/>
    </row>
    <row r="184" spans="1:7" ht="12" customHeight="1" x14ac:dyDescent="0.2">
      <c r="C184" s="949"/>
      <c r="D184" s="930"/>
      <c r="E184" s="949"/>
      <c r="F184" s="930"/>
      <c r="G184" s="930"/>
    </row>
    <row r="185" spans="1:7" x14ac:dyDescent="0.2">
      <c r="A185" s="1923" t="s">
        <v>1924</v>
      </c>
      <c r="B185" s="1924"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D26" sqref="D26"/>
    </sheetView>
  </sheetViews>
  <sheetFormatPr defaultColWidth="9.140625"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1931</v>
      </c>
      <c r="B7" s="2276"/>
      <c r="C7" s="2276"/>
      <c r="D7" s="2276"/>
      <c r="E7" s="2276"/>
      <c r="F7" s="2276"/>
      <c r="G7" s="2277"/>
    </row>
    <row r="8" spans="1:7" ht="15.75" customHeight="1" x14ac:dyDescent="0.25">
      <c r="A8" s="2278" t="s">
        <v>1906</v>
      </c>
      <c r="B8" s="2279"/>
      <c r="C8" s="2279"/>
      <c r="D8" s="2279"/>
      <c r="E8" s="2279"/>
      <c r="F8" s="2279"/>
      <c r="G8" s="2280"/>
    </row>
    <row r="9" spans="1:7" ht="35.25" customHeight="1" x14ac:dyDescent="0.25">
      <c r="A9" s="2275" t="s">
        <v>1934</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1933</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1975</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5" t="s">
        <v>2108</v>
      </c>
      <c r="B17" s="1936" t="s">
        <v>2109</v>
      </c>
      <c r="C17" s="1937" t="s">
        <v>2110</v>
      </c>
      <c r="D17" s="1844">
        <f>71+57+42+57+56+50+28+36+7+35</f>
        <v>439</v>
      </c>
      <c r="E17" s="1540">
        <f t="shared" ref="E17:E141" si="0">IF(D17&lt;=25000,D17,IF(D17&gt;25000,25000,0))</f>
        <v>439</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439</v>
      </c>
      <c r="G17" s="1793">
        <f>IF(F17=0,0,D17-F17)</f>
        <v>0</v>
      </c>
      <c r="H17" s="1647"/>
    </row>
    <row r="18" spans="1:8" x14ac:dyDescent="0.25">
      <c r="A18" s="1935" t="s">
        <v>2108</v>
      </c>
      <c r="B18" s="1936" t="s">
        <v>2109</v>
      </c>
      <c r="C18" s="1937" t="s">
        <v>2111</v>
      </c>
      <c r="D18" s="1844">
        <f>450+510+660</f>
        <v>1620</v>
      </c>
      <c r="E18" s="1540">
        <f t="shared" ref="E18:E140" si="2">IF(D18&lt;=25000,D18,IF(D18&gt;25000,25000,0))</f>
        <v>1620</v>
      </c>
      <c r="F18" s="1929">
        <f t="shared" si="1"/>
        <v>1620</v>
      </c>
      <c r="G18" s="1793">
        <f t="shared" ref="G18:G140" si="3">IF(F18=0,0,D18-F18)</f>
        <v>0</v>
      </c>
    </row>
    <row r="19" spans="1:8" x14ac:dyDescent="0.25">
      <c r="A19" s="1935" t="s">
        <v>2108</v>
      </c>
      <c r="B19" s="1936" t="s">
        <v>2109</v>
      </c>
      <c r="C19" s="1937" t="s">
        <v>2112</v>
      </c>
      <c r="D19" s="1844">
        <f>666+755+667</f>
        <v>2088</v>
      </c>
      <c r="E19" s="1540">
        <f t="shared" si="2"/>
        <v>2088</v>
      </c>
      <c r="F19" s="1929">
        <f t="shared" si="1"/>
        <v>2088</v>
      </c>
      <c r="G19" s="1793">
        <f t="shared" si="3"/>
        <v>0</v>
      </c>
    </row>
    <row r="20" spans="1:8" x14ac:dyDescent="0.25">
      <c r="A20" s="1935" t="s">
        <v>2108</v>
      </c>
      <c r="B20" s="1936" t="s">
        <v>2109</v>
      </c>
      <c r="C20" s="1937" t="s">
        <v>2113</v>
      </c>
      <c r="D20" s="1844">
        <f>380+1106+529+380+396+198+198</f>
        <v>3187</v>
      </c>
      <c r="E20" s="1540">
        <f t="shared" si="2"/>
        <v>3187</v>
      </c>
      <c r="F20" s="1929">
        <f t="shared" si="1"/>
        <v>3187</v>
      </c>
      <c r="G20" s="1793">
        <f t="shared" si="3"/>
        <v>0</v>
      </c>
    </row>
    <row r="21" spans="1:8" x14ac:dyDescent="0.25">
      <c r="A21" s="1935" t="s">
        <v>2108</v>
      </c>
      <c r="B21" s="1936" t="s">
        <v>2109</v>
      </c>
      <c r="C21" s="1937" t="s">
        <v>2114</v>
      </c>
      <c r="D21" s="1844">
        <f>176+167+171+196+179+202+188+176+171+63+66+45+47+49+72+76+79</f>
        <v>2123</v>
      </c>
      <c r="E21" s="1540">
        <f t="shared" si="2"/>
        <v>2123</v>
      </c>
      <c r="F21" s="1929">
        <f t="shared" si="1"/>
        <v>2123</v>
      </c>
      <c r="G21" s="1793">
        <f t="shared" si="3"/>
        <v>0</v>
      </c>
    </row>
    <row r="22" spans="1:8" x14ac:dyDescent="0.25">
      <c r="A22" s="1935" t="s">
        <v>2108</v>
      </c>
      <c r="B22" s="1936" t="s">
        <v>2109</v>
      </c>
      <c r="C22" s="1937" t="s">
        <v>2115</v>
      </c>
      <c r="D22" s="1844">
        <f>1037+939+952+949+957+961+960+956+957+337+325+338+241+230+241+385+407+386</f>
        <v>11558</v>
      </c>
      <c r="E22" s="1540">
        <f t="shared" si="2"/>
        <v>11558</v>
      </c>
      <c r="F22" s="1929">
        <f t="shared" si="1"/>
        <v>11558</v>
      </c>
      <c r="G22" s="1793">
        <f t="shared" si="3"/>
        <v>0</v>
      </c>
    </row>
    <row r="23" spans="1:8" x14ac:dyDescent="0.25">
      <c r="A23" s="1935" t="s">
        <v>2108</v>
      </c>
      <c r="B23" s="1936" t="s">
        <v>2109</v>
      </c>
      <c r="C23" s="1937" t="s">
        <v>2116</v>
      </c>
      <c r="D23" s="1844">
        <f>246+246+246+246+248+247+272+270+267+269+270+271</f>
        <v>3098</v>
      </c>
      <c r="E23" s="1540">
        <f t="shared" si="2"/>
        <v>3098</v>
      </c>
      <c r="F23" s="1929">
        <f t="shared" si="1"/>
        <v>3098</v>
      </c>
      <c r="G23" s="1793">
        <f t="shared" si="3"/>
        <v>0</v>
      </c>
    </row>
    <row r="24" spans="1:8" x14ac:dyDescent="0.25">
      <c r="A24" s="1935" t="s">
        <v>2108</v>
      </c>
      <c r="B24" s="1936" t="s">
        <v>2109</v>
      </c>
      <c r="C24" s="1937" t="s">
        <v>2117</v>
      </c>
      <c r="D24" s="1844">
        <f>40+28+46+28+28+28+28+28+28+12+77+28+77+29+77+28+18+77+83+28+28+53+46+28+59+12+48+46+59+12+46+28+49+12+52+28+71+12+9+77+24+9+59+12+9+77+29+10+10+10+65+9+52+9+71+9</f>
        <v>2055</v>
      </c>
      <c r="E24" s="1540">
        <f t="shared" si="2"/>
        <v>2055</v>
      </c>
      <c r="F24" s="1929">
        <f t="shared" si="1"/>
        <v>2055</v>
      </c>
      <c r="G24" s="1793">
        <f t="shared" si="3"/>
        <v>0</v>
      </c>
    </row>
    <row r="25" spans="1:8" x14ac:dyDescent="0.25">
      <c r="A25" s="1935" t="s">
        <v>2108</v>
      </c>
      <c r="B25" s="1936" t="s">
        <v>2109</v>
      </c>
      <c r="C25" s="1937" t="s">
        <v>2118</v>
      </c>
      <c r="D25" s="1844">
        <f>103+105+109+98</f>
        <v>415</v>
      </c>
      <c r="E25" s="1540">
        <f t="shared" si="2"/>
        <v>415</v>
      </c>
      <c r="F25" s="1929">
        <f t="shared" si="1"/>
        <v>415</v>
      </c>
      <c r="G25" s="1793">
        <f t="shared" si="3"/>
        <v>0</v>
      </c>
    </row>
    <row r="26" spans="1:8" x14ac:dyDescent="0.25">
      <c r="A26" s="1935" t="s">
        <v>2108</v>
      </c>
      <c r="B26" s="1936" t="s">
        <v>2109</v>
      </c>
      <c r="C26" s="1937" t="s">
        <v>2124</v>
      </c>
      <c r="D26" s="1844">
        <f>709+719+718+616+647+647+647+647+647+284+284+284+130+130+130+234+234+234</f>
        <v>7941</v>
      </c>
      <c r="E26" s="1540">
        <f t="shared" si="2"/>
        <v>7941</v>
      </c>
      <c r="F26" s="1929">
        <f t="shared" si="1"/>
        <v>7941</v>
      </c>
      <c r="G26" s="1793">
        <f t="shared" si="3"/>
        <v>0</v>
      </c>
    </row>
    <row r="27" spans="1:8" x14ac:dyDescent="0.25">
      <c r="A27" s="1653"/>
      <c r="B27" s="1931"/>
      <c r="C27" s="1654"/>
      <c r="D27" s="1844"/>
      <c r="E27" s="1540">
        <f t="shared" si="2"/>
        <v>0</v>
      </c>
      <c r="F27" s="1929">
        <f t="shared" si="1"/>
        <v>0</v>
      </c>
      <c r="G27" s="1793">
        <f t="shared" si="3"/>
        <v>0</v>
      </c>
    </row>
    <row r="28" spans="1:8" x14ac:dyDescent="0.25">
      <c r="A28" s="1653"/>
      <c r="B28" s="1931"/>
      <c r="C28" s="1654"/>
      <c r="D28" s="1844"/>
      <c r="E28" s="1540">
        <f t="shared" si="2"/>
        <v>0</v>
      </c>
      <c r="F28" s="1929">
        <f t="shared" si="1"/>
        <v>0</v>
      </c>
      <c r="G28" s="1793">
        <f t="shared" si="3"/>
        <v>0</v>
      </c>
    </row>
    <row r="29" spans="1:8" x14ac:dyDescent="0.25">
      <c r="A29" s="1653"/>
      <c r="B29" s="1931"/>
      <c r="C29" s="1654"/>
      <c r="D29" s="1844"/>
      <c r="E29" s="1540">
        <f t="shared" si="2"/>
        <v>0</v>
      </c>
      <c r="F29" s="1929">
        <f t="shared" si="1"/>
        <v>0</v>
      </c>
      <c r="G29" s="1793">
        <f t="shared" si="3"/>
        <v>0</v>
      </c>
    </row>
    <row r="30" spans="1:8" x14ac:dyDescent="0.25">
      <c r="A30" s="1653"/>
      <c r="B30" s="1931"/>
      <c r="C30" s="1654"/>
      <c r="D30" s="1844"/>
      <c r="E30" s="1540">
        <f t="shared" si="2"/>
        <v>0</v>
      </c>
      <c r="F30" s="1929">
        <f t="shared" si="1"/>
        <v>0</v>
      </c>
      <c r="G30" s="1793">
        <f t="shared" si="3"/>
        <v>0</v>
      </c>
    </row>
    <row r="31" spans="1:8" x14ac:dyDescent="0.25">
      <c r="A31" s="1653"/>
      <c r="B31" s="1931"/>
      <c r="C31" s="1654"/>
      <c r="D31" s="1844"/>
      <c r="E31" s="1540">
        <f t="shared" si="2"/>
        <v>0</v>
      </c>
      <c r="F31" s="1929">
        <f t="shared" si="1"/>
        <v>0</v>
      </c>
      <c r="G31" s="1793">
        <f t="shared" si="3"/>
        <v>0</v>
      </c>
    </row>
    <row r="32" spans="1:8" x14ac:dyDescent="0.25">
      <c r="A32" s="1653"/>
      <c r="B32" s="1931"/>
      <c r="C32" s="1654"/>
      <c r="D32" s="1844"/>
      <c r="E32" s="1540">
        <f t="shared" si="2"/>
        <v>0</v>
      </c>
      <c r="F32" s="1929">
        <f t="shared" si="1"/>
        <v>0</v>
      </c>
      <c r="G32" s="1793">
        <f t="shared" si="3"/>
        <v>0</v>
      </c>
    </row>
    <row r="33" spans="1:7" x14ac:dyDescent="0.25">
      <c r="A33" s="1653"/>
      <c r="B33" s="1931"/>
      <c r="C33" s="1654"/>
      <c r="D33" s="1844"/>
      <c r="E33" s="1540">
        <f t="shared" si="2"/>
        <v>0</v>
      </c>
      <c r="F33" s="1929">
        <f t="shared" si="1"/>
        <v>0</v>
      </c>
      <c r="G33" s="1793">
        <f t="shared" si="3"/>
        <v>0</v>
      </c>
    </row>
    <row r="34" spans="1:7" x14ac:dyDescent="0.25">
      <c r="A34" s="1653"/>
      <c r="B34" s="1931"/>
      <c r="C34" s="1654"/>
      <c r="D34" s="1844"/>
      <c r="E34" s="1540">
        <f t="shared" si="2"/>
        <v>0</v>
      </c>
      <c r="F34" s="1929">
        <f t="shared" si="1"/>
        <v>0</v>
      </c>
      <c r="G34" s="1793">
        <f t="shared" si="3"/>
        <v>0</v>
      </c>
    </row>
    <row r="35" spans="1:7" hidden="1" x14ac:dyDescent="0.25">
      <c r="A35" s="1653"/>
      <c r="B35" s="1931"/>
      <c r="C35" s="1654"/>
      <c r="D35" s="1844"/>
      <c r="E35" s="1540">
        <f t="shared" si="2"/>
        <v>0</v>
      </c>
      <c r="F35" s="1929">
        <f t="shared" si="1"/>
        <v>0</v>
      </c>
      <c r="G35" s="1793">
        <f t="shared" si="3"/>
        <v>0</v>
      </c>
    </row>
    <row r="36" spans="1:7" hidden="1" x14ac:dyDescent="0.25">
      <c r="A36" s="1653"/>
      <c r="B36" s="1931"/>
      <c r="C36" s="1654"/>
      <c r="D36" s="1844"/>
      <c r="E36" s="1540">
        <f t="shared" si="2"/>
        <v>0</v>
      </c>
      <c r="F36" s="1929">
        <f t="shared" si="1"/>
        <v>0</v>
      </c>
      <c r="G36" s="1793">
        <f t="shared" si="3"/>
        <v>0</v>
      </c>
    </row>
    <row r="37" spans="1:7" hidden="1" x14ac:dyDescent="0.25">
      <c r="A37" s="1653"/>
      <c r="B37" s="1931"/>
      <c r="C37" s="1654"/>
      <c r="D37" s="1844"/>
      <c r="E37" s="1540">
        <f t="shared" si="2"/>
        <v>0</v>
      </c>
      <c r="F37" s="1929">
        <f t="shared" si="1"/>
        <v>0</v>
      </c>
      <c r="G37" s="1793">
        <f t="shared" si="3"/>
        <v>0</v>
      </c>
    </row>
    <row r="38" spans="1:7" hidden="1" x14ac:dyDescent="0.25">
      <c r="A38" s="1653"/>
      <c r="B38" s="1932"/>
      <c r="C38" s="1654"/>
      <c r="D38" s="1844"/>
      <c r="E38" s="1540">
        <f t="shared" si="2"/>
        <v>0</v>
      </c>
      <c r="F38" s="1929">
        <f t="shared" si="1"/>
        <v>0</v>
      </c>
      <c r="G38" s="1793">
        <f t="shared" si="3"/>
        <v>0</v>
      </c>
    </row>
    <row r="39" spans="1:7" hidden="1" x14ac:dyDescent="0.25">
      <c r="A39" s="1653"/>
      <c r="B39" s="1932"/>
      <c r="C39" s="1654"/>
      <c r="D39" s="1844"/>
      <c r="E39" s="1540">
        <f t="shared" si="2"/>
        <v>0</v>
      </c>
      <c r="F39" s="1929">
        <f t="shared" si="1"/>
        <v>0</v>
      </c>
      <c r="G39" s="1793">
        <f t="shared" si="3"/>
        <v>0</v>
      </c>
    </row>
    <row r="40" spans="1:7" hidden="1" x14ac:dyDescent="0.25">
      <c r="A40" s="1653"/>
      <c r="B40" s="1932"/>
      <c r="C40" s="1654"/>
      <c r="D40" s="1844"/>
      <c r="E40" s="1540">
        <f t="shared" si="2"/>
        <v>0</v>
      </c>
      <c r="F40" s="1929">
        <f t="shared" si="1"/>
        <v>0</v>
      </c>
      <c r="G40" s="1793">
        <f t="shared" si="3"/>
        <v>0</v>
      </c>
    </row>
    <row r="41" spans="1:7" hidden="1" x14ac:dyDescent="0.25">
      <c r="A41" s="1653"/>
      <c r="B41" s="1932"/>
      <c r="C41" s="1654"/>
      <c r="D41" s="1844"/>
      <c r="E41" s="1540">
        <f t="shared" si="2"/>
        <v>0</v>
      </c>
      <c r="F41" s="1929">
        <f t="shared" si="1"/>
        <v>0</v>
      </c>
      <c r="G41" s="1793">
        <f t="shared" si="3"/>
        <v>0</v>
      </c>
    </row>
    <row r="42" spans="1:7" hidden="1" x14ac:dyDescent="0.25">
      <c r="A42" s="1653"/>
      <c r="B42" s="1932"/>
      <c r="C42" s="1654"/>
      <c r="D42" s="1844"/>
      <c r="E42" s="1540">
        <f t="shared" si="2"/>
        <v>0</v>
      </c>
      <c r="F42" s="1929">
        <f t="shared" si="1"/>
        <v>0</v>
      </c>
      <c r="G42" s="1793">
        <f t="shared" si="3"/>
        <v>0</v>
      </c>
    </row>
    <row r="43" spans="1:7" hidden="1" x14ac:dyDescent="0.25">
      <c r="A43" s="1653"/>
      <c r="B43" s="1932"/>
      <c r="C43" s="1654"/>
      <c r="D43" s="1844"/>
      <c r="E43" s="1540">
        <f t="shared" si="2"/>
        <v>0</v>
      </c>
      <c r="F43" s="1929">
        <f t="shared" si="1"/>
        <v>0</v>
      </c>
      <c r="G43" s="1793">
        <f t="shared" si="3"/>
        <v>0</v>
      </c>
    </row>
    <row r="44" spans="1:7" hidden="1" x14ac:dyDescent="0.25">
      <c r="A44" s="1653"/>
      <c r="B44" s="1932"/>
      <c r="C44" s="1654"/>
      <c r="D44" s="1844"/>
      <c r="E44" s="1540">
        <f t="shared" si="2"/>
        <v>0</v>
      </c>
      <c r="F44" s="1929">
        <f t="shared" si="1"/>
        <v>0</v>
      </c>
      <c r="G44" s="1793">
        <f t="shared" si="3"/>
        <v>0</v>
      </c>
    </row>
    <row r="45" spans="1:7" hidden="1" x14ac:dyDescent="0.25">
      <c r="A45" s="1653"/>
      <c r="B45" s="1932"/>
      <c r="C45" s="1654"/>
      <c r="D45" s="1844"/>
      <c r="E45" s="1540">
        <f t="shared" si="2"/>
        <v>0</v>
      </c>
      <c r="F45" s="1929">
        <f t="shared" si="1"/>
        <v>0</v>
      </c>
      <c r="G45" s="1793">
        <f t="shared" si="3"/>
        <v>0</v>
      </c>
    </row>
    <row r="46" spans="1:7" hidden="1" x14ac:dyDescent="0.25">
      <c r="A46" s="1653"/>
      <c r="B46" s="1667"/>
      <c r="C46" s="1654"/>
      <c r="D46" s="1844"/>
      <c r="E46" s="1540">
        <f t="shared" si="2"/>
        <v>0</v>
      </c>
      <c r="F46" s="1929">
        <f t="shared" si="1"/>
        <v>0</v>
      </c>
      <c r="G46" s="1793">
        <f t="shared" si="3"/>
        <v>0</v>
      </c>
    </row>
    <row r="47" spans="1:7" hidden="1" x14ac:dyDescent="0.25">
      <c r="A47" s="1653"/>
      <c r="B47" s="1667"/>
      <c r="C47" s="1654"/>
      <c r="D47" s="1844"/>
      <c r="E47" s="1540">
        <f t="shared" si="2"/>
        <v>0</v>
      </c>
      <c r="F47" s="1929">
        <f t="shared" si="1"/>
        <v>0</v>
      </c>
      <c r="G47" s="1793">
        <f t="shared" si="3"/>
        <v>0</v>
      </c>
    </row>
    <row r="48" spans="1:7" hidden="1" x14ac:dyDescent="0.25">
      <c r="A48" s="1653"/>
      <c r="B48" s="1667"/>
      <c r="C48" s="1654"/>
      <c r="D48" s="1844"/>
      <c r="E48" s="1540">
        <f t="shared" si="2"/>
        <v>0</v>
      </c>
      <c r="F48" s="1929">
        <f t="shared" si="1"/>
        <v>0</v>
      </c>
      <c r="G48" s="1793">
        <f t="shared" si="3"/>
        <v>0</v>
      </c>
    </row>
    <row r="49" spans="1:7" hidden="1" x14ac:dyDescent="0.25">
      <c r="A49" s="1653"/>
      <c r="B49" s="1667"/>
      <c r="C49" s="1654"/>
      <c r="D49" s="1844"/>
      <c r="E49" s="1540">
        <f t="shared" si="2"/>
        <v>0</v>
      </c>
      <c r="F49" s="1929">
        <f t="shared" si="1"/>
        <v>0</v>
      </c>
      <c r="G49" s="1793">
        <f t="shared" si="3"/>
        <v>0</v>
      </c>
    </row>
    <row r="50" spans="1:7" hidden="1" x14ac:dyDescent="0.25">
      <c r="A50" s="1653"/>
      <c r="B50" s="1667"/>
      <c r="C50" s="1654"/>
      <c r="D50" s="1844"/>
      <c r="E50" s="1540">
        <f t="shared" si="2"/>
        <v>0</v>
      </c>
      <c r="F50" s="1929">
        <f t="shared" si="1"/>
        <v>0</v>
      </c>
      <c r="G50" s="1793">
        <f t="shared" si="3"/>
        <v>0</v>
      </c>
    </row>
    <row r="51" spans="1:7" hidden="1" x14ac:dyDescent="0.25">
      <c r="A51" s="1653"/>
      <c r="B51" s="1667"/>
      <c r="C51" s="1654"/>
      <c r="D51" s="1844"/>
      <c r="E51" s="1540">
        <f t="shared" si="2"/>
        <v>0</v>
      </c>
      <c r="F51" s="1929">
        <f t="shared" si="1"/>
        <v>0</v>
      </c>
      <c r="G51" s="1793">
        <f t="shared" si="3"/>
        <v>0</v>
      </c>
    </row>
    <row r="52" spans="1:7" hidden="1" x14ac:dyDescent="0.25">
      <c r="A52" s="1653"/>
      <c r="B52" s="1667"/>
      <c r="C52" s="1654"/>
      <c r="D52" s="1844"/>
      <c r="E52" s="1540">
        <f t="shared" si="2"/>
        <v>0</v>
      </c>
      <c r="F52" s="1929">
        <f t="shared" si="1"/>
        <v>0</v>
      </c>
      <c r="G52" s="1793">
        <f t="shared" si="3"/>
        <v>0</v>
      </c>
    </row>
    <row r="53" spans="1:7" hidden="1" x14ac:dyDescent="0.25">
      <c r="A53" s="1653"/>
      <c r="B53" s="1667"/>
      <c r="C53" s="1654"/>
      <c r="D53" s="1844"/>
      <c r="E53" s="1540">
        <f t="shared" si="2"/>
        <v>0</v>
      </c>
      <c r="F53" s="1929">
        <f t="shared" si="1"/>
        <v>0</v>
      </c>
      <c r="G53" s="1793">
        <f t="shared" si="3"/>
        <v>0</v>
      </c>
    </row>
    <row r="54" spans="1:7" hidden="1" x14ac:dyDescent="0.25">
      <c r="A54" s="1653"/>
      <c r="B54" s="1667"/>
      <c r="C54" s="1654"/>
      <c r="D54" s="1844"/>
      <c r="E54" s="1540">
        <f t="shared" si="2"/>
        <v>0</v>
      </c>
      <c r="F54" s="1929">
        <f t="shared" si="1"/>
        <v>0</v>
      </c>
      <c r="G54" s="1793">
        <f t="shared" si="3"/>
        <v>0</v>
      </c>
    </row>
    <row r="55" spans="1:7" hidden="1" x14ac:dyDescent="0.25">
      <c r="A55" s="1653"/>
      <c r="B55" s="1667"/>
      <c r="C55" s="1654"/>
      <c r="D55" s="1844"/>
      <c r="E55" s="1540">
        <f t="shared" si="2"/>
        <v>0</v>
      </c>
      <c r="F55" s="1929">
        <f t="shared" si="1"/>
        <v>0</v>
      </c>
      <c r="G55" s="1793">
        <f t="shared" si="3"/>
        <v>0</v>
      </c>
    </row>
    <row r="56" spans="1:7" hidden="1" x14ac:dyDescent="0.25">
      <c r="A56" s="1653"/>
      <c r="B56" s="1667"/>
      <c r="C56" s="1654"/>
      <c r="D56" s="1844"/>
      <c r="E56" s="1540">
        <f t="shared" si="2"/>
        <v>0</v>
      </c>
      <c r="F56" s="1929">
        <f t="shared" si="1"/>
        <v>0</v>
      </c>
      <c r="G56" s="1793">
        <f t="shared" si="3"/>
        <v>0</v>
      </c>
    </row>
    <row r="57" spans="1:7" hidden="1" x14ac:dyDescent="0.25">
      <c r="A57" s="1653"/>
      <c r="B57" s="1667"/>
      <c r="C57" s="1654"/>
      <c r="D57" s="1844"/>
      <c r="E57" s="1540">
        <f t="shared" si="2"/>
        <v>0</v>
      </c>
      <c r="F57" s="1929">
        <f t="shared" si="1"/>
        <v>0</v>
      </c>
      <c r="G57" s="1793">
        <f t="shared" si="3"/>
        <v>0</v>
      </c>
    </row>
    <row r="58" spans="1:7" hidden="1" x14ac:dyDescent="0.25">
      <c r="A58" s="1653"/>
      <c r="B58" s="1667"/>
      <c r="C58" s="1654"/>
      <c r="D58" s="1844"/>
      <c r="E58" s="1540">
        <f t="shared" si="2"/>
        <v>0</v>
      </c>
      <c r="F58" s="1929">
        <f t="shared" si="1"/>
        <v>0</v>
      </c>
      <c r="G58" s="1793">
        <f t="shared" si="3"/>
        <v>0</v>
      </c>
    </row>
    <row r="59" spans="1:7" hidden="1" x14ac:dyDescent="0.25">
      <c r="A59" s="1653"/>
      <c r="B59" s="1667"/>
      <c r="C59" s="1654"/>
      <c r="D59" s="1844"/>
      <c r="E59" s="1540">
        <f t="shared" si="2"/>
        <v>0</v>
      </c>
      <c r="F59" s="1929">
        <f t="shared" si="1"/>
        <v>0</v>
      </c>
      <c r="G59" s="1793">
        <f t="shared" si="3"/>
        <v>0</v>
      </c>
    </row>
    <row r="60" spans="1:7" hidden="1" x14ac:dyDescent="0.25">
      <c r="A60" s="1653"/>
      <c r="B60" s="1667"/>
      <c r="C60" s="1654"/>
      <c r="D60" s="1844"/>
      <c r="E60" s="1540">
        <f t="shared" si="2"/>
        <v>0</v>
      </c>
      <c r="F60" s="1929">
        <f t="shared" si="1"/>
        <v>0</v>
      </c>
      <c r="G60" s="1793">
        <f t="shared" si="3"/>
        <v>0</v>
      </c>
    </row>
    <row r="61" spans="1:7" hidden="1" x14ac:dyDescent="0.25">
      <c r="A61" s="1653"/>
      <c r="B61" s="1667"/>
      <c r="C61" s="1654"/>
      <c r="D61" s="1844"/>
      <c r="E61" s="1540">
        <f t="shared" si="2"/>
        <v>0</v>
      </c>
      <c r="F61" s="1929">
        <f t="shared" si="1"/>
        <v>0</v>
      </c>
      <c r="G61" s="1793">
        <f t="shared" si="3"/>
        <v>0</v>
      </c>
    </row>
    <row r="62" spans="1:7" hidden="1" x14ac:dyDescent="0.25">
      <c r="A62" s="1653"/>
      <c r="B62" s="1667"/>
      <c r="C62" s="1654"/>
      <c r="D62" s="1844"/>
      <c r="E62" s="1540">
        <f t="shared" si="2"/>
        <v>0</v>
      </c>
      <c r="F62" s="1929">
        <f t="shared" si="1"/>
        <v>0</v>
      </c>
      <c r="G62" s="1793">
        <f t="shared" si="3"/>
        <v>0</v>
      </c>
    </row>
    <row r="63" spans="1:7" hidden="1" x14ac:dyDescent="0.25">
      <c r="A63" s="1653"/>
      <c r="B63" s="1667"/>
      <c r="C63" s="1654"/>
      <c r="D63" s="1844"/>
      <c r="E63" s="1540">
        <f t="shared" si="2"/>
        <v>0</v>
      </c>
      <c r="F63" s="1929">
        <f t="shared" si="1"/>
        <v>0</v>
      </c>
      <c r="G63" s="1793">
        <f t="shared" si="3"/>
        <v>0</v>
      </c>
    </row>
    <row r="64" spans="1:7" hidden="1" x14ac:dyDescent="0.25">
      <c r="A64" s="1655"/>
      <c r="B64" s="1667"/>
      <c r="C64" s="1656"/>
      <c r="D64" s="1844"/>
      <c r="E64" s="1540">
        <f t="shared" si="2"/>
        <v>0</v>
      </c>
      <c r="F64" s="1929">
        <f t="shared" si="1"/>
        <v>0</v>
      </c>
      <c r="G64" s="1793">
        <f t="shared" si="3"/>
        <v>0</v>
      </c>
    </row>
    <row r="65" spans="1:7" hidden="1" x14ac:dyDescent="0.25">
      <c r="A65" s="1653"/>
      <c r="B65" s="1667"/>
      <c r="C65" s="1654"/>
      <c r="D65" s="1844"/>
      <c r="E65" s="1540">
        <f t="shared" si="2"/>
        <v>0</v>
      </c>
      <c r="F65" s="1929">
        <f t="shared" si="1"/>
        <v>0</v>
      </c>
      <c r="G65" s="1793">
        <f t="shared" si="3"/>
        <v>0</v>
      </c>
    </row>
    <row r="66" spans="1:7" hidden="1" x14ac:dyDescent="0.25">
      <c r="A66" s="1653"/>
      <c r="B66" s="1667"/>
      <c r="C66" s="1654"/>
      <c r="D66" s="1844"/>
      <c r="E66" s="1540">
        <f t="shared" si="2"/>
        <v>0</v>
      </c>
      <c r="F66" s="1929">
        <f t="shared" si="1"/>
        <v>0</v>
      </c>
      <c r="G66" s="1793">
        <f t="shared" si="3"/>
        <v>0</v>
      </c>
    </row>
    <row r="67" spans="1:7" hidden="1" x14ac:dyDescent="0.25">
      <c r="A67" s="1653"/>
      <c r="B67" s="1667"/>
      <c r="C67" s="1654"/>
      <c r="D67" s="1844"/>
      <c r="E67" s="1540">
        <f t="shared" si="2"/>
        <v>0</v>
      </c>
      <c r="F67" s="1929">
        <f t="shared" si="1"/>
        <v>0</v>
      </c>
      <c r="G67" s="1793">
        <f t="shared" si="3"/>
        <v>0</v>
      </c>
    </row>
    <row r="68" spans="1:7" hidden="1" x14ac:dyDescent="0.25">
      <c r="A68" s="1653"/>
      <c r="B68" s="1667"/>
      <c r="C68" s="1654"/>
      <c r="D68" s="1844"/>
      <c r="E68" s="1540">
        <f t="shared" si="2"/>
        <v>0</v>
      </c>
      <c r="F68" s="1929">
        <f t="shared" si="1"/>
        <v>0</v>
      </c>
      <c r="G68" s="1793">
        <f t="shared" si="3"/>
        <v>0</v>
      </c>
    </row>
    <row r="69" spans="1:7" hidden="1" x14ac:dyDescent="0.25">
      <c r="A69" s="1653"/>
      <c r="B69" s="1667"/>
      <c r="C69" s="1654"/>
      <c r="D69" s="1844"/>
      <c r="E69" s="1540">
        <f t="shared" si="2"/>
        <v>0</v>
      </c>
      <c r="F69" s="1929">
        <f t="shared" si="1"/>
        <v>0</v>
      </c>
      <c r="G69" s="1793">
        <f t="shared" si="3"/>
        <v>0</v>
      </c>
    </row>
    <row r="70" spans="1:7" hidden="1" x14ac:dyDescent="0.25">
      <c r="A70" s="1653"/>
      <c r="B70" s="1667"/>
      <c r="C70" s="1654"/>
      <c r="D70" s="1844"/>
      <c r="E70" s="1540">
        <f t="shared" si="2"/>
        <v>0</v>
      </c>
      <c r="F70" s="1929">
        <f t="shared" si="1"/>
        <v>0</v>
      </c>
      <c r="G70" s="1793">
        <f t="shared" si="3"/>
        <v>0</v>
      </c>
    </row>
    <row r="71" spans="1:7" hidden="1" x14ac:dyDescent="0.25">
      <c r="A71" s="1653"/>
      <c r="B71" s="1667"/>
      <c r="C71" s="1654"/>
      <c r="D71" s="1844"/>
      <c r="E71" s="1540">
        <f t="shared" si="2"/>
        <v>0</v>
      </c>
      <c r="F71" s="1929">
        <f t="shared" si="1"/>
        <v>0</v>
      </c>
      <c r="G71" s="1793">
        <f t="shared" si="3"/>
        <v>0</v>
      </c>
    </row>
    <row r="72" spans="1:7" hidden="1" x14ac:dyDescent="0.25">
      <c r="A72" s="1653"/>
      <c r="B72" s="1667"/>
      <c r="C72" s="1654"/>
      <c r="D72" s="1844"/>
      <c r="E72" s="1540">
        <f t="shared" si="2"/>
        <v>0</v>
      </c>
      <c r="F72" s="1929">
        <f t="shared" si="1"/>
        <v>0</v>
      </c>
      <c r="G72" s="1793">
        <f t="shared" si="3"/>
        <v>0</v>
      </c>
    </row>
    <row r="73" spans="1:7" hidden="1" x14ac:dyDescent="0.25">
      <c r="A73" s="1653"/>
      <c r="B73" s="1667"/>
      <c r="C73" s="1654"/>
      <c r="D73" s="1844"/>
      <c r="E73" s="1540">
        <f t="shared" ref="E73:E84" si="4">IF(D73&lt;=25000,D73,IF(D73&gt;25000,25000,0))</f>
        <v>0</v>
      </c>
      <c r="F73" s="1929">
        <f t="shared" si="1"/>
        <v>0</v>
      </c>
      <c r="G73" s="1793">
        <f t="shared" ref="G73:G84" si="5">IF(F73=0,0,D73-F73)</f>
        <v>0</v>
      </c>
    </row>
    <row r="74" spans="1:7" hidden="1" x14ac:dyDescent="0.25">
      <c r="A74" s="1653"/>
      <c r="B74" s="1667"/>
      <c r="C74" s="1654"/>
      <c r="D74" s="1844"/>
      <c r="E74" s="1540">
        <f t="shared" si="4"/>
        <v>0</v>
      </c>
      <c r="F74" s="1929">
        <f t="shared" si="1"/>
        <v>0</v>
      </c>
      <c r="G74" s="1793">
        <f t="shared" si="5"/>
        <v>0</v>
      </c>
    </row>
    <row r="75" spans="1:7" hidden="1" x14ac:dyDescent="0.25">
      <c r="A75" s="1653"/>
      <c r="B75" s="1667"/>
      <c r="C75" s="1654"/>
      <c r="D75" s="1844"/>
      <c r="E75" s="1540">
        <f t="shared" si="4"/>
        <v>0</v>
      </c>
      <c r="F75" s="1929">
        <f t="shared" si="1"/>
        <v>0</v>
      </c>
      <c r="G75" s="1793">
        <f t="shared" si="5"/>
        <v>0</v>
      </c>
    </row>
    <row r="76" spans="1:7" hidden="1" x14ac:dyDescent="0.25">
      <c r="A76" s="1653"/>
      <c r="B76" s="1667"/>
      <c r="C76" s="1654"/>
      <c r="D76" s="1844"/>
      <c r="E76" s="1540">
        <f t="shared" si="4"/>
        <v>0</v>
      </c>
      <c r="F76" s="1929">
        <f t="shared" si="1"/>
        <v>0</v>
      </c>
      <c r="G76" s="1793">
        <f t="shared" si="5"/>
        <v>0</v>
      </c>
    </row>
    <row r="77" spans="1:7" hidden="1" x14ac:dyDescent="0.25">
      <c r="A77" s="1653"/>
      <c r="B77" s="1667"/>
      <c r="C77" s="1654"/>
      <c r="D77" s="1844"/>
      <c r="E77" s="1540">
        <f t="shared" si="4"/>
        <v>0</v>
      </c>
      <c r="F77" s="1929">
        <f t="shared" si="1"/>
        <v>0</v>
      </c>
      <c r="G77" s="1793">
        <f t="shared" si="5"/>
        <v>0</v>
      </c>
    </row>
    <row r="78" spans="1:7" hidden="1" x14ac:dyDescent="0.25">
      <c r="A78" s="1653"/>
      <c r="B78" s="1667"/>
      <c r="C78" s="1654"/>
      <c r="D78" s="1844"/>
      <c r="E78" s="1540">
        <f t="shared" si="4"/>
        <v>0</v>
      </c>
      <c r="F78" s="1929">
        <f t="shared" si="1"/>
        <v>0</v>
      </c>
      <c r="G78" s="1793">
        <f t="shared" si="5"/>
        <v>0</v>
      </c>
    </row>
    <row r="79" spans="1:7" hidden="1" x14ac:dyDescent="0.25">
      <c r="A79" s="1653"/>
      <c r="B79" s="1667"/>
      <c r="C79" s="1654"/>
      <c r="D79" s="1844"/>
      <c r="E79" s="1540">
        <f t="shared" si="4"/>
        <v>0</v>
      </c>
      <c r="F79" s="1929">
        <f t="shared" si="1"/>
        <v>0</v>
      </c>
      <c r="G79" s="1793">
        <f t="shared" si="5"/>
        <v>0</v>
      </c>
    </row>
    <row r="80" spans="1:7" hidden="1" x14ac:dyDescent="0.25">
      <c r="A80" s="1653"/>
      <c r="B80" s="1667"/>
      <c r="C80" s="1654"/>
      <c r="D80" s="1844"/>
      <c r="E80" s="1540">
        <f t="shared" si="4"/>
        <v>0</v>
      </c>
      <c r="F80" s="1929">
        <f t="shared" si="1"/>
        <v>0</v>
      </c>
      <c r="G80" s="1793">
        <f t="shared" si="5"/>
        <v>0</v>
      </c>
    </row>
    <row r="81" spans="1:7" hidden="1" x14ac:dyDescent="0.25">
      <c r="A81" s="1653"/>
      <c r="B81" s="1667"/>
      <c r="C81" s="1654"/>
      <c r="D81" s="1844"/>
      <c r="E81" s="1540">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hidden="1" x14ac:dyDescent="0.25">
      <c r="A82" s="1653"/>
      <c r="B82" s="1667"/>
      <c r="C82" s="1654"/>
      <c r="D82" s="1844"/>
      <c r="E82" s="1540">
        <f t="shared" si="4"/>
        <v>0</v>
      </c>
      <c r="F82" s="1929">
        <f t="shared" si="6"/>
        <v>0</v>
      </c>
      <c r="G82" s="1793">
        <f t="shared" si="5"/>
        <v>0</v>
      </c>
    </row>
    <row r="83" spans="1:7" hidden="1" x14ac:dyDescent="0.25">
      <c r="A83" s="1653"/>
      <c r="B83" s="1667"/>
      <c r="C83" s="1654"/>
      <c r="D83" s="1844"/>
      <c r="E83" s="1540">
        <f t="shared" si="4"/>
        <v>0</v>
      </c>
      <c r="F83" s="1929">
        <f t="shared" si="6"/>
        <v>0</v>
      </c>
      <c r="G83" s="1793">
        <f t="shared" si="5"/>
        <v>0</v>
      </c>
    </row>
    <row r="84" spans="1:7" hidden="1" x14ac:dyDescent="0.25">
      <c r="A84" s="1653"/>
      <c r="B84" s="1667"/>
      <c r="C84" s="1654"/>
      <c r="D84" s="1844"/>
      <c r="E84" s="1540">
        <f t="shared" si="4"/>
        <v>0</v>
      </c>
      <c r="F84" s="1929">
        <f t="shared" si="6"/>
        <v>0</v>
      </c>
      <c r="G84" s="1793">
        <f t="shared" si="5"/>
        <v>0</v>
      </c>
    </row>
    <row r="85" spans="1:7" hidden="1" x14ac:dyDescent="0.25">
      <c r="A85" s="1653"/>
      <c r="B85" s="1667"/>
      <c r="C85" s="1654"/>
      <c r="D85" s="1844"/>
      <c r="E85" s="1540">
        <f t="shared" si="2"/>
        <v>0</v>
      </c>
      <c r="F85" s="1929">
        <f t="shared" si="6"/>
        <v>0</v>
      </c>
      <c r="G85" s="1793">
        <f t="shared" si="3"/>
        <v>0</v>
      </c>
    </row>
    <row r="86" spans="1:7" hidden="1" x14ac:dyDescent="0.25">
      <c r="A86" s="1653"/>
      <c r="B86" s="1667"/>
      <c r="C86" s="1654"/>
      <c r="D86" s="1844"/>
      <c r="E86" s="1540">
        <f t="shared" si="2"/>
        <v>0</v>
      </c>
      <c r="F86" s="1929">
        <f t="shared" si="6"/>
        <v>0</v>
      </c>
      <c r="G86" s="1793">
        <f t="shared" si="3"/>
        <v>0</v>
      </c>
    </row>
    <row r="87" spans="1:7" hidden="1" x14ac:dyDescent="0.25">
      <c r="A87" s="1653"/>
      <c r="B87" s="1667"/>
      <c r="C87" s="1654"/>
      <c r="D87" s="1844"/>
      <c r="E87" s="1540">
        <f t="shared" si="2"/>
        <v>0</v>
      </c>
      <c r="F87" s="1929">
        <f t="shared" si="6"/>
        <v>0</v>
      </c>
      <c r="G87" s="1793">
        <f t="shared" si="3"/>
        <v>0</v>
      </c>
    </row>
    <row r="88" spans="1:7" hidden="1" x14ac:dyDescent="0.25">
      <c r="A88" s="1653"/>
      <c r="B88" s="1667"/>
      <c r="C88" s="1654"/>
      <c r="D88" s="1844"/>
      <c r="E88" s="1540">
        <f t="shared" si="2"/>
        <v>0</v>
      </c>
      <c r="F88" s="1929">
        <f t="shared" si="6"/>
        <v>0</v>
      </c>
      <c r="G88" s="1793">
        <f t="shared" si="3"/>
        <v>0</v>
      </c>
    </row>
    <row r="89" spans="1:7" hidden="1" x14ac:dyDescent="0.25">
      <c r="A89" s="1653"/>
      <c r="B89" s="1667"/>
      <c r="C89" s="1654"/>
      <c r="D89" s="1844"/>
      <c r="E89" s="1540">
        <f t="shared" si="2"/>
        <v>0</v>
      </c>
      <c r="F89" s="1929">
        <f t="shared" si="6"/>
        <v>0</v>
      </c>
      <c r="G89" s="1793">
        <f t="shared" si="3"/>
        <v>0</v>
      </c>
    </row>
    <row r="90" spans="1:7" hidden="1" x14ac:dyDescent="0.25">
      <c r="A90" s="1653"/>
      <c r="B90" s="1667"/>
      <c r="C90" s="1654"/>
      <c r="D90" s="1844"/>
      <c r="E90" s="1540">
        <f t="shared" si="2"/>
        <v>0</v>
      </c>
      <c r="F90" s="1929">
        <f t="shared" si="6"/>
        <v>0</v>
      </c>
      <c r="G90" s="1793">
        <f t="shared" si="3"/>
        <v>0</v>
      </c>
    </row>
    <row r="91" spans="1:7" hidden="1" x14ac:dyDescent="0.25">
      <c r="A91" s="1653"/>
      <c r="B91" s="1667"/>
      <c r="C91" s="1654"/>
      <c r="D91" s="1844"/>
      <c r="E91" s="1540">
        <f t="shared" si="2"/>
        <v>0</v>
      </c>
      <c r="F91" s="1929">
        <f t="shared" si="6"/>
        <v>0</v>
      </c>
      <c r="G91" s="1793">
        <f t="shared" si="3"/>
        <v>0</v>
      </c>
    </row>
    <row r="92" spans="1:7" hidden="1" x14ac:dyDescent="0.25">
      <c r="A92" s="1653"/>
      <c r="B92" s="1667"/>
      <c r="C92" s="1654"/>
      <c r="D92" s="1844"/>
      <c r="E92" s="1540">
        <f t="shared" si="2"/>
        <v>0</v>
      </c>
      <c r="F92" s="1929">
        <f t="shared" si="6"/>
        <v>0</v>
      </c>
      <c r="G92" s="1793">
        <f t="shared" si="3"/>
        <v>0</v>
      </c>
    </row>
    <row r="93" spans="1:7" hidden="1" x14ac:dyDescent="0.25">
      <c r="A93" s="1653"/>
      <c r="B93" s="1667"/>
      <c r="C93" s="1654"/>
      <c r="D93" s="1844"/>
      <c r="E93" s="1540">
        <f t="shared" ref="E93" si="7">IF(D93&lt;=25000,D93,IF(D93&gt;25000,25000,0))</f>
        <v>0</v>
      </c>
      <c r="F93" s="1929">
        <f t="shared" si="6"/>
        <v>0</v>
      </c>
      <c r="G93" s="1793">
        <f t="shared" ref="G93" si="8">IF(F93=0,0,D93-F93)</f>
        <v>0</v>
      </c>
    </row>
    <row r="94" spans="1:7" hidden="1" x14ac:dyDescent="0.25">
      <c r="A94" s="1653"/>
      <c r="B94" s="1667"/>
      <c r="C94" s="1654"/>
      <c r="D94" s="1844"/>
      <c r="E94" s="1540">
        <f t="shared" si="2"/>
        <v>0</v>
      </c>
      <c r="F94" s="1929">
        <f t="shared" si="6"/>
        <v>0</v>
      </c>
      <c r="G94" s="1793">
        <f t="shared" si="3"/>
        <v>0</v>
      </c>
    </row>
    <row r="95" spans="1:7" hidden="1" x14ac:dyDescent="0.25">
      <c r="A95" s="1653"/>
      <c r="B95" s="1667"/>
      <c r="C95" s="1654"/>
      <c r="D95" s="1844"/>
      <c r="E95" s="1540">
        <f t="shared" ref="E95:E98" si="9">IF(D95&lt;=25000,D95,IF(D95&gt;25000,25000,0))</f>
        <v>0</v>
      </c>
      <c r="F95" s="1929">
        <f t="shared" si="6"/>
        <v>0</v>
      </c>
      <c r="G95" s="1793">
        <f t="shared" ref="G95:G98" si="10">IF(F95=0,0,D95-F95)</f>
        <v>0</v>
      </c>
    </row>
    <row r="96" spans="1:7" hidden="1" x14ac:dyDescent="0.25">
      <c r="A96" s="1653"/>
      <c r="B96" s="1667"/>
      <c r="C96" s="1654"/>
      <c r="D96" s="1844"/>
      <c r="E96" s="1540">
        <f t="shared" si="9"/>
        <v>0</v>
      </c>
      <c r="F96" s="1929">
        <f t="shared" si="6"/>
        <v>0</v>
      </c>
      <c r="G96" s="1793">
        <f t="shared" si="10"/>
        <v>0</v>
      </c>
    </row>
    <row r="97" spans="1:7" hidden="1" x14ac:dyDescent="0.25">
      <c r="A97" s="1653"/>
      <c r="B97" s="1667"/>
      <c r="C97" s="1654"/>
      <c r="D97" s="1844"/>
      <c r="E97" s="1540">
        <f t="shared" si="9"/>
        <v>0</v>
      </c>
      <c r="F97" s="1929">
        <f t="shared" si="6"/>
        <v>0</v>
      </c>
      <c r="G97" s="1793">
        <f t="shared" si="10"/>
        <v>0</v>
      </c>
    </row>
    <row r="98" spans="1:7" hidden="1" x14ac:dyDescent="0.25">
      <c r="A98" s="1653"/>
      <c r="B98" s="1667"/>
      <c r="C98" s="1654"/>
      <c r="D98" s="1844"/>
      <c r="E98" s="1540">
        <f t="shared" si="9"/>
        <v>0</v>
      </c>
      <c r="F98" s="1929">
        <f t="shared" si="6"/>
        <v>0</v>
      </c>
      <c r="G98" s="1793">
        <f t="shared" si="10"/>
        <v>0</v>
      </c>
    </row>
    <row r="99" spans="1:7" hidden="1" x14ac:dyDescent="0.25">
      <c r="A99" s="1653"/>
      <c r="B99" s="1667"/>
      <c r="C99" s="1654"/>
      <c r="D99" s="1844"/>
      <c r="E99" s="1540">
        <f t="shared" ref="E99" si="11">IF(D99&lt;=25000,D99,IF(D99&gt;25000,25000,0))</f>
        <v>0</v>
      </c>
      <c r="F99" s="1929">
        <f t="shared" si="6"/>
        <v>0</v>
      </c>
      <c r="G99" s="1793">
        <f t="shared" ref="G99" si="12">IF(F99=0,0,D99-F99)</f>
        <v>0</v>
      </c>
    </row>
    <row r="100" spans="1:7" hidden="1" x14ac:dyDescent="0.25">
      <c r="A100" s="1653"/>
      <c r="B100" s="1667"/>
      <c r="C100" s="1654"/>
      <c r="D100" s="1844"/>
      <c r="E100" s="1540">
        <f t="shared" ref="E100:E112" si="13">IF(D100&lt;=25000,D100,IF(D100&gt;25000,25000,0))</f>
        <v>0</v>
      </c>
      <c r="F100" s="1929">
        <f t="shared" si="6"/>
        <v>0</v>
      </c>
      <c r="G100" s="1793">
        <f t="shared" ref="G100:G112" si="14">IF(F100=0,0,D100-F100)</f>
        <v>0</v>
      </c>
    </row>
    <row r="101" spans="1:7" hidden="1" x14ac:dyDescent="0.25">
      <c r="A101" s="1653"/>
      <c r="B101" s="1667"/>
      <c r="C101" s="1654"/>
      <c r="D101" s="1844"/>
      <c r="E101" s="1540">
        <f t="shared" si="13"/>
        <v>0</v>
      </c>
      <c r="F101" s="1929">
        <f t="shared" si="6"/>
        <v>0</v>
      </c>
      <c r="G101" s="1793">
        <f t="shared" si="14"/>
        <v>0</v>
      </c>
    </row>
    <row r="102" spans="1:7" hidden="1" x14ac:dyDescent="0.25">
      <c r="A102" s="1653"/>
      <c r="B102" s="1667"/>
      <c r="C102" s="1654"/>
      <c r="D102" s="1844"/>
      <c r="E102" s="1540">
        <f t="shared" si="13"/>
        <v>0</v>
      </c>
      <c r="F102" s="1929">
        <f t="shared" si="6"/>
        <v>0</v>
      </c>
      <c r="G102" s="1793">
        <f t="shared" si="14"/>
        <v>0</v>
      </c>
    </row>
    <row r="103" spans="1:7" hidden="1" x14ac:dyDescent="0.25">
      <c r="A103" s="1653"/>
      <c r="B103" s="1667"/>
      <c r="C103" s="1654"/>
      <c r="D103" s="1844"/>
      <c r="E103" s="1540">
        <f t="shared" si="13"/>
        <v>0</v>
      </c>
      <c r="F103" s="1929">
        <f t="shared" si="6"/>
        <v>0</v>
      </c>
      <c r="G103" s="1793">
        <f t="shared" si="14"/>
        <v>0</v>
      </c>
    </row>
    <row r="104" spans="1:7" hidden="1" x14ac:dyDescent="0.25">
      <c r="A104" s="1653"/>
      <c r="B104" s="1667"/>
      <c r="C104" s="1654"/>
      <c r="D104" s="1844"/>
      <c r="E104" s="1540">
        <f t="shared" si="13"/>
        <v>0</v>
      </c>
      <c r="F104" s="1929">
        <f t="shared" si="6"/>
        <v>0</v>
      </c>
      <c r="G104" s="1793">
        <f t="shared" si="14"/>
        <v>0</v>
      </c>
    </row>
    <row r="105" spans="1:7" hidden="1" x14ac:dyDescent="0.25">
      <c r="A105" s="1653"/>
      <c r="B105" s="1667"/>
      <c r="C105" s="1654"/>
      <c r="D105" s="1844"/>
      <c r="E105" s="1540">
        <f t="shared" si="13"/>
        <v>0</v>
      </c>
      <c r="F105" s="1929">
        <f t="shared" si="6"/>
        <v>0</v>
      </c>
      <c r="G105" s="1793">
        <f t="shared" si="14"/>
        <v>0</v>
      </c>
    </row>
    <row r="106" spans="1:7" hidden="1" x14ac:dyDescent="0.25">
      <c r="A106" s="1653"/>
      <c r="B106" s="1667"/>
      <c r="C106" s="1654"/>
      <c r="D106" s="1844"/>
      <c r="E106" s="1540">
        <f t="shared" si="13"/>
        <v>0</v>
      </c>
      <c r="F106" s="1929">
        <f t="shared" si="6"/>
        <v>0</v>
      </c>
      <c r="G106" s="1793">
        <f t="shared" si="14"/>
        <v>0</v>
      </c>
    </row>
    <row r="107" spans="1:7" hidden="1" x14ac:dyDescent="0.25">
      <c r="A107" s="1653"/>
      <c r="B107" s="1667"/>
      <c r="C107" s="1654"/>
      <c r="D107" s="1844"/>
      <c r="E107" s="1540">
        <f t="shared" si="13"/>
        <v>0</v>
      </c>
      <c r="F107" s="1929">
        <f t="shared" si="6"/>
        <v>0</v>
      </c>
      <c r="G107" s="1793">
        <f t="shared" si="14"/>
        <v>0</v>
      </c>
    </row>
    <row r="108" spans="1:7" hidden="1" x14ac:dyDescent="0.25">
      <c r="A108" s="1653"/>
      <c r="B108" s="1667"/>
      <c r="C108" s="1654"/>
      <c r="D108" s="1844"/>
      <c r="E108" s="1540">
        <f t="shared" si="13"/>
        <v>0</v>
      </c>
      <c r="F108" s="1929">
        <f t="shared" si="6"/>
        <v>0</v>
      </c>
      <c r="G108" s="1793">
        <f t="shared" si="14"/>
        <v>0</v>
      </c>
    </row>
    <row r="109" spans="1:7" hidden="1" x14ac:dyDescent="0.25">
      <c r="A109" s="1653"/>
      <c r="B109" s="1667"/>
      <c r="C109" s="1654"/>
      <c r="D109" s="1844"/>
      <c r="E109" s="1540">
        <f t="shared" si="13"/>
        <v>0</v>
      </c>
      <c r="F109" s="1929">
        <f t="shared" si="6"/>
        <v>0</v>
      </c>
      <c r="G109" s="1793">
        <f t="shared" si="14"/>
        <v>0</v>
      </c>
    </row>
    <row r="110" spans="1:7" hidden="1" x14ac:dyDescent="0.25">
      <c r="A110" s="1653"/>
      <c r="B110" s="1667"/>
      <c r="C110" s="1654"/>
      <c r="D110" s="1844"/>
      <c r="E110" s="1540">
        <f t="shared" si="13"/>
        <v>0</v>
      </c>
      <c r="F110" s="1929">
        <f t="shared" si="6"/>
        <v>0</v>
      </c>
      <c r="G110" s="1793">
        <f t="shared" si="14"/>
        <v>0</v>
      </c>
    </row>
    <row r="111" spans="1:7" hidden="1" x14ac:dyDescent="0.25">
      <c r="A111" s="1653"/>
      <c r="B111" s="1667"/>
      <c r="C111" s="1654"/>
      <c r="D111" s="1844"/>
      <c r="E111" s="1540">
        <f t="shared" si="13"/>
        <v>0</v>
      </c>
      <c r="F111" s="1929">
        <f t="shared" si="6"/>
        <v>0</v>
      </c>
      <c r="G111" s="1793">
        <f t="shared" si="14"/>
        <v>0</v>
      </c>
    </row>
    <row r="112" spans="1:7" hidden="1" x14ac:dyDescent="0.25">
      <c r="A112" s="1653"/>
      <c r="B112" s="1667"/>
      <c r="C112" s="1654"/>
      <c r="D112" s="1844"/>
      <c r="E112" s="1540">
        <f t="shared" si="13"/>
        <v>0</v>
      </c>
      <c r="F112" s="1929">
        <f t="shared" si="6"/>
        <v>0</v>
      </c>
      <c r="G112" s="1793">
        <f t="shared" si="14"/>
        <v>0</v>
      </c>
    </row>
    <row r="113" spans="1:7" hidden="1" x14ac:dyDescent="0.25">
      <c r="A113" s="1653"/>
      <c r="B113" s="1667"/>
      <c r="C113" s="1654"/>
      <c r="D113" s="1844"/>
      <c r="E113" s="1540">
        <f t="shared" ref="E113:E125" si="15">IF(D113&lt;=25000,D113,IF(D113&gt;25000,25000,0))</f>
        <v>0</v>
      </c>
      <c r="F113" s="1929">
        <f t="shared" si="6"/>
        <v>0</v>
      </c>
      <c r="G113" s="1793">
        <f t="shared" ref="G113:G125" si="16">IF(F113=0,0,D113-F113)</f>
        <v>0</v>
      </c>
    </row>
    <row r="114" spans="1:7" hidden="1" x14ac:dyDescent="0.25">
      <c r="A114" s="1653"/>
      <c r="B114" s="1667"/>
      <c r="C114" s="1654"/>
      <c r="D114" s="1844"/>
      <c r="E114" s="1540">
        <f t="shared" si="15"/>
        <v>0</v>
      </c>
      <c r="F114" s="1929">
        <f t="shared" si="6"/>
        <v>0</v>
      </c>
      <c r="G114" s="1793">
        <f t="shared" si="16"/>
        <v>0</v>
      </c>
    </row>
    <row r="115" spans="1:7" hidden="1" x14ac:dyDescent="0.25">
      <c r="A115" s="1653"/>
      <c r="B115" s="1667"/>
      <c r="C115" s="1654"/>
      <c r="D115" s="1844"/>
      <c r="E115" s="1540">
        <f t="shared" si="15"/>
        <v>0</v>
      </c>
      <c r="F115" s="1929">
        <f t="shared" si="6"/>
        <v>0</v>
      </c>
      <c r="G115" s="1793">
        <f t="shared" si="16"/>
        <v>0</v>
      </c>
    </row>
    <row r="116" spans="1:7" hidden="1" x14ac:dyDescent="0.25">
      <c r="A116" s="1653"/>
      <c r="B116" s="1667"/>
      <c r="C116" s="1654"/>
      <c r="D116" s="1844"/>
      <c r="E116" s="1540">
        <f t="shared" si="15"/>
        <v>0</v>
      </c>
      <c r="F116" s="1929">
        <f t="shared" si="6"/>
        <v>0</v>
      </c>
      <c r="G116" s="1793">
        <f t="shared" si="16"/>
        <v>0</v>
      </c>
    </row>
    <row r="117" spans="1:7" hidden="1" x14ac:dyDescent="0.25">
      <c r="A117" s="1653"/>
      <c r="B117" s="1667"/>
      <c r="C117" s="1654"/>
      <c r="D117" s="1844"/>
      <c r="E117" s="1540">
        <f t="shared" si="15"/>
        <v>0</v>
      </c>
      <c r="F117" s="1929">
        <f t="shared" si="6"/>
        <v>0</v>
      </c>
      <c r="G117" s="1793">
        <f t="shared" si="16"/>
        <v>0</v>
      </c>
    </row>
    <row r="118" spans="1:7" hidden="1" x14ac:dyDescent="0.25">
      <c r="A118" s="1653"/>
      <c r="B118" s="1667"/>
      <c r="C118" s="1654"/>
      <c r="D118" s="1844"/>
      <c r="E118" s="1540">
        <f t="shared" si="15"/>
        <v>0</v>
      </c>
      <c r="F118" s="1929">
        <f t="shared" si="6"/>
        <v>0</v>
      </c>
      <c r="G118" s="1793">
        <f t="shared" si="16"/>
        <v>0</v>
      </c>
    </row>
    <row r="119" spans="1:7" hidden="1" x14ac:dyDescent="0.25">
      <c r="A119" s="1653"/>
      <c r="B119" s="1667"/>
      <c r="C119" s="1654"/>
      <c r="D119" s="1844"/>
      <c r="E119" s="1540">
        <f t="shared" si="15"/>
        <v>0</v>
      </c>
      <c r="F119" s="1929">
        <f t="shared" si="6"/>
        <v>0</v>
      </c>
      <c r="G119" s="1793">
        <f t="shared" si="16"/>
        <v>0</v>
      </c>
    </row>
    <row r="120" spans="1:7" hidden="1" x14ac:dyDescent="0.25">
      <c r="A120" s="1653"/>
      <c r="B120" s="1667"/>
      <c r="C120" s="1654"/>
      <c r="D120" s="1844"/>
      <c r="E120" s="1540">
        <f t="shared" si="15"/>
        <v>0</v>
      </c>
      <c r="F120" s="1929">
        <f t="shared" si="6"/>
        <v>0</v>
      </c>
      <c r="G120" s="1793">
        <f t="shared" si="16"/>
        <v>0</v>
      </c>
    </row>
    <row r="121" spans="1:7" hidden="1" x14ac:dyDescent="0.25">
      <c r="A121" s="1653"/>
      <c r="B121" s="1667"/>
      <c r="C121" s="1654"/>
      <c r="D121" s="1844"/>
      <c r="E121" s="1540">
        <f t="shared" si="15"/>
        <v>0</v>
      </c>
      <c r="F121" s="1929">
        <f t="shared" si="6"/>
        <v>0</v>
      </c>
      <c r="G121" s="1793">
        <f t="shared" si="16"/>
        <v>0</v>
      </c>
    </row>
    <row r="122" spans="1:7" hidden="1" x14ac:dyDescent="0.25">
      <c r="A122" s="1653"/>
      <c r="B122" s="1667"/>
      <c r="C122" s="1654"/>
      <c r="D122" s="1844"/>
      <c r="E122" s="1540">
        <f t="shared" si="15"/>
        <v>0</v>
      </c>
      <c r="F122" s="1929">
        <f t="shared" si="6"/>
        <v>0</v>
      </c>
      <c r="G122" s="1793">
        <f t="shared" si="16"/>
        <v>0</v>
      </c>
    </row>
    <row r="123" spans="1:7" hidden="1" x14ac:dyDescent="0.25">
      <c r="A123" s="1653"/>
      <c r="B123" s="1667"/>
      <c r="C123" s="1654"/>
      <c r="D123" s="1844"/>
      <c r="E123" s="1540">
        <f t="shared" si="15"/>
        <v>0</v>
      </c>
      <c r="F123" s="1929">
        <f t="shared" si="6"/>
        <v>0</v>
      </c>
      <c r="G123" s="1793">
        <f t="shared" si="16"/>
        <v>0</v>
      </c>
    </row>
    <row r="124" spans="1:7" hidden="1" x14ac:dyDescent="0.25">
      <c r="A124" s="1653"/>
      <c r="B124" s="1667"/>
      <c r="C124" s="1654"/>
      <c r="D124" s="1844"/>
      <c r="E124" s="1540">
        <f t="shared" si="15"/>
        <v>0</v>
      </c>
      <c r="F124" s="1929">
        <f t="shared" si="6"/>
        <v>0</v>
      </c>
      <c r="G124" s="1793">
        <f t="shared" si="16"/>
        <v>0</v>
      </c>
    </row>
    <row r="125" spans="1:7" hidden="1" x14ac:dyDescent="0.25">
      <c r="A125" s="1653"/>
      <c r="B125" s="1667"/>
      <c r="C125" s="1654"/>
      <c r="D125" s="1844"/>
      <c r="E125" s="1540">
        <f t="shared" si="15"/>
        <v>0</v>
      </c>
      <c r="F125" s="1929">
        <f t="shared" si="6"/>
        <v>0</v>
      </c>
      <c r="G125" s="1793">
        <f t="shared" si="16"/>
        <v>0</v>
      </c>
    </row>
    <row r="126" spans="1:7" hidden="1" x14ac:dyDescent="0.25">
      <c r="A126" s="1653"/>
      <c r="B126" s="1667"/>
      <c r="C126" s="1654"/>
      <c r="D126" s="1844"/>
      <c r="E126" s="1540">
        <f t="shared" ref="E126:E134" si="17">IF(D126&lt;=25000,D126,IF(D126&gt;25000,25000,0))</f>
        <v>0</v>
      </c>
      <c r="F126" s="1929">
        <f t="shared" si="6"/>
        <v>0</v>
      </c>
      <c r="G126" s="1793">
        <f t="shared" ref="G126:G134" si="18">IF(F126=0,0,D126-F126)</f>
        <v>0</v>
      </c>
    </row>
    <row r="127" spans="1:7" hidden="1" x14ac:dyDescent="0.25">
      <c r="A127" s="1653"/>
      <c r="B127" s="1667"/>
      <c r="C127" s="1654"/>
      <c r="D127" s="1844"/>
      <c r="E127" s="1540">
        <f t="shared" si="17"/>
        <v>0</v>
      </c>
      <c r="F127" s="1929">
        <f t="shared" si="6"/>
        <v>0</v>
      </c>
      <c r="G127" s="1793">
        <f t="shared" si="18"/>
        <v>0</v>
      </c>
    </row>
    <row r="128" spans="1:7" hidden="1" x14ac:dyDescent="0.25">
      <c r="A128" s="1653"/>
      <c r="B128" s="1667"/>
      <c r="C128" s="1654"/>
      <c r="D128" s="1844"/>
      <c r="E128" s="1540">
        <f t="shared" si="17"/>
        <v>0</v>
      </c>
      <c r="F128" s="1929">
        <f t="shared" si="6"/>
        <v>0</v>
      </c>
      <c r="G128" s="1793">
        <f t="shared" si="18"/>
        <v>0</v>
      </c>
    </row>
    <row r="129" spans="1:7" hidden="1" x14ac:dyDescent="0.25">
      <c r="A129" s="1653"/>
      <c r="B129" s="1667"/>
      <c r="C129" s="1654"/>
      <c r="D129" s="1844"/>
      <c r="E129" s="1540">
        <f t="shared" si="17"/>
        <v>0</v>
      </c>
      <c r="F129" s="1929">
        <f t="shared" si="6"/>
        <v>0</v>
      </c>
      <c r="G129" s="1793">
        <f t="shared" si="18"/>
        <v>0</v>
      </c>
    </row>
    <row r="130" spans="1:7" hidden="1" x14ac:dyDescent="0.25">
      <c r="A130" s="1653"/>
      <c r="B130" s="1667"/>
      <c r="C130" s="1654"/>
      <c r="D130" s="1844"/>
      <c r="E130" s="1540">
        <f t="shared" si="17"/>
        <v>0</v>
      </c>
      <c r="F130" s="1929">
        <f t="shared" si="6"/>
        <v>0</v>
      </c>
      <c r="G130" s="1793">
        <f t="shared" si="18"/>
        <v>0</v>
      </c>
    </row>
    <row r="131" spans="1:7" hidden="1" x14ac:dyDescent="0.25">
      <c r="A131" s="1653"/>
      <c r="B131" s="1837"/>
      <c r="C131" s="1654"/>
      <c r="D131" s="1844"/>
      <c r="E131" s="1540">
        <f t="shared" si="17"/>
        <v>0</v>
      </c>
      <c r="F131" s="1929">
        <f t="shared" si="6"/>
        <v>0</v>
      </c>
      <c r="G131" s="1793">
        <f t="shared" si="18"/>
        <v>0</v>
      </c>
    </row>
    <row r="132" spans="1:7" hidden="1" x14ac:dyDescent="0.25">
      <c r="A132" s="1653"/>
      <c r="B132" s="1837"/>
      <c r="C132" s="1654"/>
      <c r="D132" s="1844"/>
      <c r="E132" s="1540">
        <f t="shared" si="17"/>
        <v>0</v>
      </c>
      <c r="F132" s="1929">
        <f t="shared" si="6"/>
        <v>0</v>
      </c>
      <c r="G132" s="1793">
        <f t="shared" si="18"/>
        <v>0</v>
      </c>
    </row>
    <row r="133" spans="1:7" hidden="1" x14ac:dyDescent="0.25">
      <c r="A133" s="1653"/>
      <c r="B133" s="1667"/>
      <c r="C133" s="1654"/>
      <c r="D133" s="1844"/>
      <c r="E133" s="1540">
        <f t="shared" si="17"/>
        <v>0</v>
      </c>
      <c r="F133" s="1929">
        <f t="shared" si="6"/>
        <v>0</v>
      </c>
      <c r="G133" s="1793">
        <f t="shared" si="18"/>
        <v>0</v>
      </c>
    </row>
    <row r="134" spans="1:7" hidden="1" x14ac:dyDescent="0.25">
      <c r="A134" s="1653"/>
      <c r="B134" s="1667"/>
      <c r="C134" s="1654"/>
      <c r="D134" s="1844"/>
      <c r="E134" s="1540">
        <f t="shared" si="17"/>
        <v>0</v>
      </c>
      <c r="F134" s="1929">
        <f t="shared" si="6"/>
        <v>0</v>
      </c>
      <c r="G134" s="1793">
        <f t="shared" si="18"/>
        <v>0</v>
      </c>
    </row>
    <row r="135" spans="1:7" hidden="1" x14ac:dyDescent="0.25">
      <c r="A135" s="1653"/>
      <c r="B135" s="1667"/>
      <c r="C135" s="1654"/>
      <c r="D135" s="1844"/>
      <c r="E135" s="1540">
        <f t="shared" ref="E135:E139" si="19">IF(D135&lt;=25000,D135,IF(D135&gt;25000,25000,0))</f>
        <v>0</v>
      </c>
      <c r="F135" s="1929">
        <f t="shared" si="6"/>
        <v>0</v>
      </c>
      <c r="G135" s="1793">
        <f t="shared" ref="G135:G139" si="20">IF(F135=0,0,D135-F135)</f>
        <v>0</v>
      </c>
    </row>
    <row r="136" spans="1:7" hidden="1" x14ac:dyDescent="0.25">
      <c r="A136" s="1653"/>
      <c r="B136" s="1667"/>
      <c r="C136" s="1654"/>
      <c r="D136" s="1844"/>
      <c r="E136" s="1540">
        <f t="shared" si="19"/>
        <v>0</v>
      </c>
      <c r="F136" s="1929">
        <f t="shared" si="6"/>
        <v>0</v>
      </c>
      <c r="G136" s="1793">
        <f t="shared" si="20"/>
        <v>0</v>
      </c>
    </row>
    <row r="137" spans="1:7" hidden="1" x14ac:dyDescent="0.25">
      <c r="A137" s="1653"/>
      <c r="B137" s="1667"/>
      <c r="C137" s="1654"/>
      <c r="D137" s="1844"/>
      <c r="E137" s="1540">
        <f t="shared" si="19"/>
        <v>0</v>
      </c>
      <c r="F137" s="1929">
        <f t="shared" si="6"/>
        <v>0</v>
      </c>
      <c r="G137" s="1793">
        <f t="shared" si="20"/>
        <v>0</v>
      </c>
    </row>
    <row r="138" spans="1:7" hidden="1" x14ac:dyDescent="0.25">
      <c r="A138" s="1653"/>
      <c r="B138" s="1667"/>
      <c r="C138" s="1654"/>
      <c r="D138" s="1844"/>
      <c r="E138" s="1540">
        <f t="shared" si="19"/>
        <v>0</v>
      </c>
      <c r="F138" s="1929">
        <f t="shared" si="6"/>
        <v>0</v>
      </c>
      <c r="G138" s="1793">
        <f t="shared" si="20"/>
        <v>0</v>
      </c>
    </row>
    <row r="139" spans="1:7" hidden="1" x14ac:dyDescent="0.25">
      <c r="A139" s="1653"/>
      <c r="B139" s="1667"/>
      <c r="C139" s="1654"/>
      <c r="D139" s="1844"/>
      <c r="E139" s="1540">
        <f t="shared" si="19"/>
        <v>0</v>
      </c>
      <c r="F139" s="1929">
        <f t="shared" si="6"/>
        <v>0</v>
      </c>
      <c r="G139" s="1793">
        <f t="shared" si="20"/>
        <v>0</v>
      </c>
    </row>
    <row r="140" spans="1:7" hidden="1" x14ac:dyDescent="0.25">
      <c r="A140" s="1653"/>
      <c r="B140" s="1666"/>
      <c r="C140" s="1654"/>
      <c r="D140" s="1844"/>
      <c r="E140" s="1540">
        <f t="shared" si="2"/>
        <v>0</v>
      </c>
      <c r="F140" s="1929">
        <f t="shared" si="6"/>
        <v>0</v>
      </c>
      <c r="G140" s="1793">
        <f t="shared" si="3"/>
        <v>0</v>
      </c>
    </row>
    <row r="141" spans="1:7" x14ac:dyDescent="0.25">
      <c r="A141" s="1796" t="s">
        <v>156</v>
      </c>
      <c r="B141" s="1797"/>
      <c r="C141" s="1798"/>
      <c r="D141" s="1794">
        <f>SUM(D17:D140)</f>
        <v>34524</v>
      </c>
      <c r="E141" s="1541">
        <f t="shared" si="0"/>
        <v>25000</v>
      </c>
      <c r="F141" s="1930">
        <f>SUM(F17:F140)</f>
        <v>34524</v>
      </c>
      <c r="G141" s="1795">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c r="F10" s="974"/>
      <c r="G10" s="975"/>
      <c r="H10" s="162"/>
      <c r="I10" s="162"/>
    </row>
    <row r="11" spans="1:9" s="668" customFormat="1" ht="22.5" customHeight="1" x14ac:dyDescent="0.2">
      <c r="A11" s="2286" t="s">
        <v>1976</v>
      </c>
      <c r="B11" s="2287"/>
      <c r="C11" s="2287"/>
      <c r="D11" s="2288"/>
      <c r="E11" s="977">
        <v>9002</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2040729</v>
      </c>
      <c r="F19" s="1799"/>
      <c r="G19" s="1801">
        <f>'Expenditures 15-22'!K33-SUM('Expenditures 15-22'!G33,'Expenditures 15-22'!I33)+'Expenditures 15-22'!D229</f>
        <v>2040729</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193581</v>
      </c>
      <c r="F21" s="1802"/>
      <c r="G21" s="1805">
        <f>'Expenditures 15-22'!K42-SUM('Expenditures 15-22'!G42,'Expenditures 15-22'!I42)+'Expenditures 15-22'!K120-SUM('Expenditures 15-22'!G120,'Expenditures 15-22'!I120)+'Expenditures 15-22'!K180-SUM('Expenditures 15-22'!G180,'Expenditures 15-22'!I180)+'Expenditures 15-22'!D238</f>
        <v>193581</v>
      </c>
      <c r="H21" s="987"/>
      <c r="I21" s="162"/>
    </row>
    <row r="22" spans="1:9" s="668" customFormat="1" ht="12" customHeight="1" x14ac:dyDescent="0.2">
      <c r="A22" s="994" t="s">
        <v>564</v>
      </c>
      <c r="B22" s="995"/>
      <c r="C22" s="993">
        <v>2200</v>
      </c>
      <c r="D22" s="1802"/>
      <c r="E22" s="1804">
        <f>'Expenditures 15-22'!K47-SUM('Expenditures 15-22'!G47,'Expenditures 15-22'!I47)+'Expenditures 15-22'!D243</f>
        <v>7150</v>
      </c>
      <c r="F22" s="1802"/>
      <c r="G22" s="1805">
        <f>'Expenditures 15-22'!K47-SUM('Expenditures 15-22'!G47,'Expenditures 15-22'!I47)+'Expenditures 15-22'!D243</f>
        <v>7150</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262366</v>
      </c>
      <c r="F23" s="1802"/>
      <c r="G23" s="1804">
        <f>'Expenditures 15-22'!K53-SUM('Expenditures 15-22'!G53,'Expenditures 15-22'!I53)+'Expenditures 15-22'!D257+'Expenditures 15-22'!K330-SUM('Expenditures 15-22'!G330,'Expenditures 15-22'!I330)</f>
        <v>262366</v>
      </c>
      <c r="H23" s="987"/>
      <c r="I23" s="162"/>
    </row>
    <row r="24" spans="1:9" s="668" customFormat="1" ht="12" customHeight="1" x14ac:dyDescent="0.2">
      <c r="A24" s="994" t="s">
        <v>566</v>
      </c>
      <c r="B24" s="995"/>
      <c r="C24" s="993">
        <v>2400</v>
      </c>
      <c r="D24" s="1802"/>
      <c r="E24" s="1804">
        <f>'Expenditures 15-22'!K57-SUM('Expenditures 15-22'!G57,'Expenditures 15-22'!I57)+'Expenditures 15-22'!D261</f>
        <v>214429</v>
      </c>
      <c r="F24" s="1802"/>
      <c r="G24" s="1805">
        <f>'Expenditures 15-22'!K57-SUM('Expenditures 15-22'!G57,'Expenditures 15-22'!I57)+'Expenditures 15-22'!D261</f>
        <v>214429</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0</v>
      </c>
      <c r="E26" s="1804">
        <f>'Expenditures 15-22'!K122-SUM('Expenditures 15-22'!G122,'Expenditures 15-22'!I122)+E7</f>
        <v>0</v>
      </c>
      <c r="F26" s="1804">
        <f>'Expenditures 15-22'!K59-SUM('Expenditures 15-22'!G59,'Expenditures 15-22'!I59)+'Expenditures 15-22'!D263-E7</f>
        <v>0</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51522</v>
      </c>
      <c r="E27" s="1804">
        <f>E8</f>
        <v>0</v>
      </c>
      <c r="F27" s="1804">
        <f>'Expenditures 15-22'!K60-SUM('Expenditures 15-22'!G60,'Expenditures 15-22'!I60)+'Expenditures 15-22'!D264-E8</f>
        <v>51522</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345654</v>
      </c>
      <c r="F28" s="1806">
        <f>'Expenditures 15-22'!K61-SUM('Expenditures 15-22'!G61,'Expenditures 15-22'!I61)+'Expenditures 15-22'!K124-SUM('Expenditures 15-22'!G124,'Expenditures 15-22'!I124)+'Expenditures 15-22'!D266-E9</f>
        <v>345654</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181677</v>
      </c>
      <c r="F29" s="1802"/>
      <c r="G29" s="1805">
        <f>'Expenditures 15-22'!K62-SUM('Expenditures 15-22'!G62,'Expenditures 15-22'!I62)+'Expenditures 15-22'!K125-SUM('Expenditures 15-22'!G125,'Expenditures 15-22'!I125)+'Expenditures 15-22'!K182-SUM('Expenditures 15-22'!G182,'Expenditures 15-22'!I182)+'Expenditures 15-22'!D267</f>
        <v>181677</v>
      </c>
      <c r="H29" s="985"/>
    </row>
    <row r="30" spans="1:9" ht="12" customHeight="1" x14ac:dyDescent="0.2">
      <c r="A30" s="994" t="s">
        <v>100</v>
      </c>
      <c r="B30" s="997"/>
      <c r="C30" s="993">
        <v>2560</v>
      </c>
      <c r="D30" s="1802"/>
      <c r="E30" s="1804">
        <f>'Expenditures 15-22'!K63-SUM('Expenditures 15-22'!G63,'Expenditures 15-22'!I63)+'Expenditures 15-22'!D268-E10</f>
        <v>111275</v>
      </c>
      <c r="F30" s="1802"/>
      <c r="G30" s="1804">
        <f>'Expenditures 15-22'!K63-SUM('Expenditures 15-22'!G63,'Expenditures 15-22'!I63)+'Expenditures 15-22'!D268-E10</f>
        <v>111275</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0</v>
      </c>
      <c r="E36" s="1804">
        <f>E13</f>
        <v>0</v>
      </c>
      <c r="F36" s="1804">
        <f>'Expenditures 15-22'!K70-SUM('Expenditures 15-22'!G70,'Expenditures 15-22'!I70)+'Expenditures 15-22'!D275-E13</f>
        <v>0</v>
      </c>
      <c r="G36" s="1804">
        <f>E13</f>
        <v>0</v>
      </c>
    </row>
    <row r="37" spans="1:7" ht="12" customHeight="1" x14ac:dyDescent="0.2">
      <c r="A37" s="994" t="s">
        <v>404</v>
      </c>
      <c r="B37" s="997"/>
      <c r="C37" s="993">
        <v>2660</v>
      </c>
      <c r="D37" s="1804">
        <f>'Expenditures 15-22'!K71-SUM('Expenditures 15-22'!G71,'Expenditures 15-22'!I71)+'Expenditures 15-22'!D276-E14</f>
        <v>0</v>
      </c>
      <c r="E37" s="1804">
        <f>E14</f>
        <v>0</v>
      </c>
      <c r="F37" s="1804">
        <f>'Expenditures 15-22'!K71-SUM('Expenditures 15-22'!G71,'Expenditures 15-22'!I71)+'Expenditures 15-22'!D276-E14</f>
        <v>0</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47827</v>
      </c>
      <c r="F38" s="1802"/>
      <c r="G38" s="1804">
        <f>'Expenditures 15-22'!K73-SUM('Expenditures 15-22'!G73,'Expenditures 15-22'!I73)+'Expenditures 15-22'!K128-SUM('Expenditures 15-22'!G128,'Expenditures 15-22'!I128)+'Expenditures 15-22'!K183-SUM('Expenditures 15-22'!G183,'Expenditures 15-22'!I183)+'Expenditures 15-22'!D278</f>
        <v>47827</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0</v>
      </c>
      <c r="F39" s="1802"/>
      <c r="G39" s="1804">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0" t="s">
        <v>1823</v>
      </c>
      <c r="B40" s="991"/>
      <c r="C40" s="993"/>
      <c r="D40" s="1802"/>
      <c r="E40" s="1806">
        <f>-'Contracts Paid in CY 29'!G141</f>
        <v>0</v>
      </c>
      <c r="F40" s="1802"/>
      <c r="G40" s="1806">
        <f>-'Contracts Paid in CY 29'!G141</f>
        <v>0</v>
      </c>
    </row>
    <row r="41" spans="1:7" ht="12" customHeight="1" x14ac:dyDescent="0.2">
      <c r="A41" s="998" t="s">
        <v>156</v>
      </c>
      <c r="B41" s="999"/>
      <c r="C41" s="1000"/>
      <c r="D41" s="1806">
        <f>SUM(D19:D39)</f>
        <v>51522</v>
      </c>
      <c r="E41" s="1806">
        <f>SUM(E19:E40)</f>
        <v>3404688</v>
      </c>
      <c r="F41" s="1806">
        <f>SUM(F19:F39)</f>
        <v>397176</v>
      </c>
      <c r="G41" s="1806">
        <f>SUM(G19:G40)</f>
        <v>3059034</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51522</v>
      </c>
      <c r="F43" s="1807" t="s">
        <v>473</v>
      </c>
      <c r="G43" s="1808">
        <f>F41</f>
        <v>397176</v>
      </c>
    </row>
    <row r="44" spans="1:7" ht="12" customHeight="1" x14ac:dyDescent="0.2">
      <c r="A44" s="987"/>
      <c r="B44" s="162"/>
      <c r="C44" s="1001"/>
      <c r="D44" s="1807" t="s">
        <v>474</v>
      </c>
      <c r="E44" s="1808">
        <f>E41</f>
        <v>3404688</v>
      </c>
      <c r="F44" s="1807" t="s">
        <v>474</v>
      </c>
      <c r="G44" s="1808">
        <f>G41</f>
        <v>3059034</v>
      </c>
    </row>
    <row r="45" spans="1:7" ht="12" customHeight="1" x14ac:dyDescent="0.2">
      <c r="A45" s="987"/>
      <c r="B45" s="162"/>
      <c r="C45" s="162"/>
      <c r="D45" s="1809" t="s">
        <v>1006</v>
      </c>
      <c r="E45" s="1810">
        <f>(E43/E44)</f>
        <v>1.5132664138388012E-2</v>
      </c>
      <c r="F45" s="1809" t="s">
        <v>1006</v>
      </c>
      <c r="G45" s="1810">
        <f>(G43/G44)</f>
        <v>0.129837066211098</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5" activePane="bottomLeft" state="frozen"/>
      <selection activeCell="A47" sqref="A47"/>
      <selection pane="bottomLeft" activeCell="D32" sqref="D32"/>
    </sheetView>
  </sheetViews>
  <sheetFormatPr defaultColWidth="9.140625" defaultRowHeight="12.75" x14ac:dyDescent="0.2"/>
  <cols>
    <col min="1" max="1" width="54.5703125" style="1873" customWidth="1"/>
    <col min="2" max="2" width="4.140625" style="1873" customWidth="1"/>
    <col min="3" max="4" width="9.85546875" style="1847" customWidth="1"/>
    <col min="5" max="5" width="12.5703125" style="1874" customWidth="1"/>
    <col min="6" max="6" width="67.5703125" style="1847" customWidth="1"/>
    <col min="7" max="7" width="9.140625" style="1847" customWidth="1"/>
    <col min="8" max="8" width="5.5703125" style="1875" bestFit="1" customWidth="1"/>
    <col min="9" max="10" width="2" style="1875" bestFit="1" customWidth="1"/>
    <col min="11" max="11" width="9" style="1875" customWidth="1"/>
    <col min="12" max="16384" width="9.140625" style="1847"/>
  </cols>
  <sheetData>
    <row r="1" spans="1:10" x14ac:dyDescent="0.2">
      <c r="A1" s="2303" t="s">
        <v>1379</v>
      </c>
      <c r="B1" s="2303"/>
      <c r="C1" s="2303"/>
      <c r="D1" s="2303"/>
      <c r="E1" s="2303"/>
      <c r="F1" s="2303"/>
    </row>
    <row r="2" spans="1:10" x14ac:dyDescent="0.2">
      <c r="A2" s="1884" t="s">
        <v>1911</v>
      </c>
      <c r="B2" s="1848"/>
      <c r="C2" s="1884"/>
      <c r="D2" s="1848"/>
      <c r="E2" s="1848"/>
      <c r="F2" s="1849"/>
    </row>
    <row r="3" spans="1:10" x14ac:dyDescent="0.2">
      <c r="A3" s="1884" t="s">
        <v>1977</v>
      </c>
      <c r="B3" s="1848"/>
      <c r="C3" s="1884"/>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La Moille CUSD 303</v>
      </c>
      <c r="D6" s="2307"/>
      <c r="E6" s="2307"/>
      <c r="F6" s="1852"/>
    </row>
    <row r="7" spans="1:10" ht="11.25" customHeight="1" thickBot="1" x14ac:dyDescent="0.3">
      <c r="A7" s="1850"/>
      <c r="B7" s="1851"/>
      <c r="C7" s="2308">
        <f>COVER!A13</f>
        <v>28006303026</v>
      </c>
      <c r="D7" s="2308"/>
      <c r="E7" s="2308"/>
      <c r="F7" s="1852"/>
    </row>
    <row r="8" spans="1:10" ht="25.5" customHeight="1" thickBot="1" x14ac:dyDescent="0.25">
      <c r="A8" s="1890" t="s">
        <v>1907</v>
      </c>
      <c r="B8" s="1853"/>
      <c r="C8" s="1886" t="s">
        <v>1681</v>
      </c>
      <c r="D8" s="1885" t="s">
        <v>1682</v>
      </c>
      <c r="E8" s="1887" t="s">
        <v>1380</v>
      </c>
      <c r="F8" s="1885"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88" t="s">
        <v>1381</v>
      </c>
      <c r="F10" s="1889" t="s">
        <v>1382</v>
      </c>
    </row>
    <row r="11" spans="1:10" ht="12" customHeight="1" x14ac:dyDescent="0.2">
      <c r="A11" s="1863" t="s">
        <v>1383</v>
      </c>
      <c r="B11" s="1864"/>
      <c r="C11" s="1938" t="s">
        <v>2064</v>
      </c>
      <c r="D11" s="1938" t="s">
        <v>2064</v>
      </c>
      <c r="E11" s="1939" t="s">
        <v>2064</v>
      </c>
      <c r="F11" s="1865" t="s">
        <v>2095</v>
      </c>
      <c r="H11" s="1875">
        <f>IF(C11="X",5,0)</f>
        <v>5</v>
      </c>
      <c r="I11" s="1875">
        <f>IF(D11="X",5,0)</f>
        <v>5</v>
      </c>
      <c r="J11" s="1875">
        <f>IF(E11="X",5,0)</f>
        <v>5</v>
      </c>
    </row>
    <row r="12" spans="1:10" ht="12" customHeight="1" x14ac:dyDescent="0.2">
      <c r="A12" s="1863" t="s">
        <v>1384</v>
      </c>
      <c r="B12" s="1864"/>
      <c r="C12" s="1938"/>
      <c r="D12" s="1938"/>
      <c r="E12" s="1934" t="s">
        <v>2088</v>
      </c>
      <c r="F12" s="1865"/>
      <c r="H12" s="1875">
        <f t="shared" ref="H12:H33" si="0">IF(C12="X",5,0)</f>
        <v>0</v>
      </c>
      <c r="I12" s="1875">
        <f t="shared" ref="I12:I33" si="1">IF(D12="X",5,0)</f>
        <v>0</v>
      </c>
      <c r="J12" s="1875">
        <f t="shared" ref="J12:J33" si="2">IF(E12="X",5,0)</f>
        <v>0</v>
      </c>
    </row>
    <row r="13" spans="1:10" ht="12" customHeight="1" x14ac:dyDescent="0.2">
      <c r="A13" s="1863" t="s">
        <v>1385</v>
      </c>
      <c r="B13" s="1864"/>
      <c r="C13" s="1938"/>
      <c r="D13" s="1938"/>
      <c r="E13" s="1934" t="s">
        <v>2089</v>
      </c>
      <c r="F13" s="1865"/>
      <c r="H13" s="1875">
        <f t="shared" si="0"/>
        <v>0</v>
      </c>
      <c r="I13" s="1875">
        <f t="shared" si="1"/>
        <v>0</v>
      </c>
      <c r="J13" s="1875">
        <f t="shared" si="2"/>
        <v>0</v>
      </c>
    </row>
    <row r="14" spans="1:10" ht="12" customHeight="1" x14ac:dyDescent="0.2">
      <c r="A14" s="1863" t="s">
        <v>1386</v>
      </c>
      <c r="B14" s="1864"/>
      <c r="C14" s="1938"/>
      <c r="D14" s="1938"/>
      <c r="E14" s="1934" t="s">
        <v>2088</v>
      </c>
      <c r="F14" s="1865"/>
      <c r="H14" s="1875">
        <f t="shared" si="0"/>
        <v>0</v>
      </c>
      <c r="I14" s="1875">
        <f t="shared" si="1"/>
        <v>0</v>
      </c>
      <c r="J14" s="1875">
        <f t="shared" si="2"/>
        <v>0</v>
      </c>
    </row>
    <row r="15" spans="1:10" ht="12" customHeight="1" x14ac:dyDescent="0.2">
      <c r="A15" s="1863" t="s">
        <v>1387</v>
      </c>
      <c r="B15" s="1864"/>
      <c r="C15" s="1938" t="s">
        <v>2064</v>
      </c>
      <c r="D15" s="1938" t="s">
        <v>2064</v>
      </c>
      <c r="E15" s="1934" t="s">
        <v>2064</v>
      </c>
      <c r="F15" s="1865" t="s">
        <v>2096</v>
      </c>
      <c r="H15" s="1875">
        <f t="shared" si="0"/>
        <v>5</v>
      </c>
      <c r="I15" s="1875">
        <f t="shared" si="1"/>
        <v>5</v>
      </c>
      <c r="J15" s="1875">
        <f t="shared" si="2"/>
        <v>5</v>
      </c>
    </row>
    <row r="16" spans="1:10" ht="12" customHeight="1" x14ac:dyDescent="0.2">
      <c r="A16" s="1863" t="s">
        <v>1388</v>
      </c>
      <c r="B16" s="1864"/>
      <c r="C16" s="1938"/>
      <c r="D16" s="1938"/>
      <c r="E16" s="1934" t="s">
        <v>2088</v>
      </c>
      <c r="F16" s="1865"/>
      <c r="H16" s="1875">
        <f t="shared" si="0"/>
        <v>0</v>
      </c>
      <c r="I16" s="1875">
        <f t="shared" si="1"/>
        <v>0</v>
      </c>
      <c r="J16" s="1875">
        <f t="shared" si="2"/>
        <v>0</v>
      </c>
    </row>
    <row r="17" spans="1:12" ht="12" customHeight="1" x14ac:dyDescent="0.2">
      <c r="A17" s="1863" t="s">
        <v>1389</v>
      </c>
      <c r="B17" s="1864"/>
      <c r="C17" s="1938" t="s">
        <v>2064</v>
      </c>
      <c r="D17" s="1938" t="s">
        <v>2064</v>
      </c>
      <c r="E17" s="1934" t="s">
        <v>2064</v>
      </c>
      <c r="F17" s="1865" t="s">
        <v>2097</v>
      </c>
      <c r="H17" s="1875">
        <f t="shared" si="0"/>
        <v>5</v>
      </c>
      <c r="I17" s="1875">
        <f t="shared" si="1"/>
        <v>5</v>
      </c>
      <c r="J17" s="1875">
        <f t="shared" si="2"/>
        <v>5</v>
      </c>
    </row>
    <row r="18" spans="1:12" ht="12" customHeight="1" x14ac:dyDescent="0.2">
      <c r="A18" s="1863" t="s">
        <v>1390</v>
      </c>
      <c r="B18" s="1864"/>
      <c r="C18" s="1938"/>
      <c r="D18" s="1938"/>
      <c r="E18" s="1934" t="s">
        <v>2088</v>
      </c>
      <c r="F18" s="1865"/>
      <c r="H18" s="1875">
        <f t="shared" si="0"/>
        <v>0</v>
      </c>
      <c r="I18" s="1875">
        <f t="shared" si="1"/>
        <v>0</v>
      </c>
      <c r="J18" s="1875">
        <f t="shared" si="2"/>
        <v>0</v>
      </c>
    </row>
    <row r="19" spans="1:12" ht="12" customHeight="1" x14ac:dyDescent="0.2">
      <c r="A19" s="1863" t="s">
        <v>1527</v>
      </c>
      <c r="B19" s="1864"/>
      <c r="C19" s="1938" t="s">
        <v>2064</v>
      </c>
      <c r="D19" s="1938" t="s">
        <v>2064</v>
      </c>
      <c r="E19" s="1934" t="s">
        <v>2064</v>
      </c>
      <c r="F19" s="1865" t="s">
        <v>2098</v>
      </c>
      <c r="H19" s="1875">
        <f t="shared" si="0"/>
        <v>5</v>
      </c>
      <c r="I19" s="1875">
        <f t="shared" si="1"/>
        <v>5</v>
      </c>
      <c r="J19" s="1875">
        <f t="shared" si="2"/>
        <v>5</v>
      </c>
    </row>
    <row r="20" spans="1:12" ht="12" customHeight="1" x14ac:dyDescent="0.2">
      <c r="A20" s="1863" t="s">
        <v>1528</v>
      </c>
      <c r="B20" s="1864"/>
      <c r="C20" s="1938"/>
      <c r="D20" s="1938"/>
      <c r="E20" s="1934" t="s">
        <v>2090</v>
      </c>
      <c r="F20" s="1865"/>
      <c r="H20" s="1875">
        <f t="shared" si="0"/>
        <v>0</v>
      </c>
      <c r="I20" s="1875">
        <f t="shared" si="1"/>
        <v>0</v>
      </c>
      <c r="J20" s="1875">
        <f t="shared" si="2"/>
        <v>0</v>
      </c>
    </row>
    <row r="21" spans="1:12" ht="12" customHeight="1" x14ac:dyDescent="0.2">
      <c r="A21" s="1863" t="s">
        <v>1529</v>
      </c>
      <c r="B21" s="1864"/>
      <c r="C21" s="1938"/>
      <c r="D21" s="1938"/>
      <c r="E21" s="1934" t="s">
        <v>2088</v>
      </c>
      <c r="F21" s="1865"/>
      <c r="H21" s="1875">
        <f t="shared" si="0"/>
        <v>0</v>
      </c>
      <c r="I21" s="1875">
        <f t="shared" si="1"/>
        <v>0</v>
      </c>
      <c r="J21" s="1875">
        <f t="shared" si="2"/>
        <v>0</v>
      </c>
    </row>
    <row r="22" spans="1:12" ht="12" customHeight="1" x14ac:dyDescent="0.2">
      <c r="A22" s="1863" t="s">
        <v>1530</v>
      </c>
      <c r="B22" s="1864"/>
      <c r="C22" s="1938"/>
      <c r="D22" s="1938"/>
      <c r="E22" s="1934" t="s">
        <v>2088</v>
      </c>
      <c r="F22" s="1865"/>
      <c r="H22" s="1875">
        <f t="shared" si="0"/>
        <v>0</v>
      </c>
      <c r="I22" s="1875">
        <f t="shared" si="1"/>
        <v>0</v>
      </c>
      <c r="J22" s="1875">
        <f t="shared" si="2"/>
        <v>0</v>
      </c>
    </row>
    <row r="23" spans="1:12" ht="12" customHeight="1" x14ac:dyDescent="0.2">
      <c r="A23" s="1863" t="s">
        <v>1531</v>
      </c>
      <c r="B23" s="1864"/>
      <c r="C23" s="1938"/>
      <c r="D23" s="1938"/>
      <c r="E23" s="1934" t="s">
        <v>2091</v>
      </c>
      <c r="F23" s="1865"/>
      <c r="H23" s="1875">
        <f t="shared" si="0"/>
        <v>0</v>
      </c>
      <c r="I23" s="1875">
        <f t="shared" si="1"/>
        <v>0</v>
      </c>
      <c r="J23" s="1875">
        <f t="shared" si="2"/>
        <v>0</v>
      </c>
    </row>
    <row r="24" spans="1:12" ht="12" customHeight="1" x14ac:dyDescent="0.2">
      <c r="A24" s="1863" t="s">
        <v>1532</v>
      </c>
      <c r="B24" s="1864"/>
      <c r="C24" s="1938" t="s">
        <v>2064</v>
      </c>
      <c r="D24" s="1938" t="s">
        <v>2064</v>
      </c>
      <c r="E24" s="1934" t="s">
        <v>2064</v>
      </c>
      <c r="F24" s="1865" t="s">
        <v>2099</v>
      </c>
      <c r="H24" s="1875">
        <f t="shared" si="0"/>
        <v>5</v>
      </c>
      <c r="I24" s="1875">
        <f t="shared" si="1"/>
        <v>5</v>
      </c>
      <c r="J24" s="1875">
        <f t="shared" si="2"/>
        <v>5</v>
      </c>
    </row>
    <row r="25" spans="1:12" ht="12" customHeight="1" x14ac:dyDescent="0.2">
      <c r="A25" s="1863" t="s">
        <v>1533</v>
      </c>
      <c r="B25" s="1864"/>
      <c r="C25" s="1938"/>
      <c r="D25" s="1938"/>
      <c r="E25" s="1934" t="s">
        <v>2092</v>
      </c>
      <c r="F25" s="1865"/>
      <c r="H25" s="1875">
        <f t="shared" si="0"/>
        <v>0</v>
      </c>
      <c r="I25" s="1875">
        <f t="shared" si="1"/>
        <v>0</v>
      </c>
      <c r="J25" s="1875">
        <f t="shared" si="2"/>
        <v>0</v>
      </c>
    </row>
    <row r="26" spans="1:12" ht="12" customHeight="1" x14ac:dyDescent="0.2">
      <c r="A26" s="1863" t="s">
        <v>1534</v>
      </c>
      <c r="B26" s="1864"/>
      <c r="C26" s="1938" t="s">
        <v>2064</v>
      </c>
      <c r="D26" s="1938" t="s">
        <v>2064</v>
      </c>
      <c r="E26" s="1934" t="s">
        <v>2064</v>
      </c>
      <c r="F26" s="1865" t="s">
        <v>2100</v>
      </c>
      <c r="H26" s="1875">
        <f t="shared" si="0"/>
        <v>5</v>
      </c>
      <c r="I26" s="1875">
        <f t="shared" si="1"/>
        <v>5</v>
      </c>
      <c r="J26" s="1875">
        <f t="shared" si="2"/>
        <v>5</v>
      </c>
    </row>
    <row r="27" spans="1:12" x14ac:dyDescent="0.2">
      <c r="A27" s="1863" t="s">
        <v>1535</v>
      </c>
      <c r="B27" s="1864"/>
      <c r="C27" s="1938"/>
      <c r="D27" s="1938"/>
      <c r="E27" s="1934" t="s">
        <v>2093</v>
      </c>
      <c r="F27" s="1865"/>
      <c r="H27" s="1875">
        <f t="shared" si="0"/>
        <v>0</v>
      </c>
      <c r="I27" s="1875">
        <f t="shared" si="1"/>
        <v>0</v>
      </c>
      <c r="J27" s="1875">
        <f t="shared" si="2"/>
        <v>0</v>
      </c>
    </row>
    <row r="28" spans="1:12" ht="12" customHeight="1" x14ac:dyDescent="0.2">
      <c r="A28" s="1863" t="s">
        <v>1536</v>
      </c>
      <c r="B28" s="1864"/>
      <c r="C28" s="1938" t="s">
        <v>2064</v>
      </c>
      <c r="D28" s="1938" t="s">
        <v>2064</v>
      </c>
      <c r="E28" s="1934" t="s">
        <v>2064</v>
      </c>
      <c r="F28" s="1865" t="s">
        <v>2101</v>
      </c>
      <c r="H28" s="1875">
        <f t="shared" si="0"/>
        <v>5</v>
      </c>
      <c r="I28" s="1875">
        <f t="shared" si="1"/>
        <v>5</v>
      </c>
      <c r="J28" s="1875">
        <f t="shared" si="2"/>
        <v>5</v>
      </c>
    </row>
    <row r="29" spans="1:12" ht="12" customHeight="1" x14ac:dyDescent="0.2">
      <c r="A29" s="1863" t="s">
        <v>1537</v>
      </c>
      <c r="B29" s="1864"/>
      <c r="C29" s="1938"/>
      <c r="D29" s="1938"/>
      <c r="E29" s="1934" t="s">
        <v>2094</v>
      </c>
      <c r="F29" s="1865"/>
      <c r="H29" s="1875">
        <f t="shared" si="0"/>
        <v>0</v>
      </c>
      <c r="I29" s="1875">
        <f t="shared" si="1"/>
        <v>0</v>
      </c>
      <c r="J29" s="1875">
        <f t="shared" si="2"/>
        <v>0</v>
      </c>
    </row>
    <row r="30" spans="1:12" ht="12" customHeight="1" x14ac:dyDescent="0.2">
      <c r="A30" s="1863" t="s">
        <v>1538</v>
      </c>
      <c r="B30" s="1864"/>
      <c r="C30" s="1938"/>
      <c r="D30" s="1938"/>
      <c r="E30" s="1934" t="s">
        <v>2089</v>
      </c>
      <c r="F30" s="1865"/>
      <c r="H30" s="1875">
        <f t="shared" si="0"/>
        <v>0</v>
      </c>
      <c r="I30" s="1875">
        <f t="shared" si="1"/>
        <v>0</v>
      </c>
      <c r="J30" s="1875">
        <f t="shared" si="2"/>
        <v>0</v>
      </c>
    </row>
    <row r="31" spans="1:12" ht="12" customHeight="1" x14ac:dyDescent="0.2">
      <c r="A31" s="1863" t="s">
        <v>1539</v>
      </c>
      <c r="B31" s="1864"/>
      <c r="C31" s="1938" t="s">
        <v>2064</v>
      </c>
      <c r="D31" s="1938" t="s">
        <v>2064</v>
      </c>
      <c r="E31" s="1934" t="s">
        <v>2064</v>
      </c>
      <c r="F31" s="1865" t="s">
        <v>2102</v>
      </c>
      <c r="H31" s="1875">
        <f t="shared" si="0"/>
        <v>5</v>
      </c>
      <c r="I31" s="1875">
        <f t="shared" si="1"/>
        <v>5</v>
      </c>
      <c r="J31" s="1875">
        <f t="shared" si="2"/>
        <v>5</v>
      </c>
      <c r="L31" s="1866"/>
    </row>
    <row r="32" spans="1:12" ht="12" customHeight="1" x14ac:dyDescent="0.2">
      <c r="A32" s="1863" t="s">
        <v>1540</v>
      </c>
      <c r="B32" s="1864"/>
      <c r="C32" s="1938" t="s">
        <v>2064</v>
      </c>
      <c r="D32" s="1938" t="s">
        <v>2064</v>
      </c>
      <c r="E32" s="1934" t="s">
        <v>2064</v>
      </c>
      <c r="F32" s="1865" t="s">
        <v>2103</v>
      </c>
      <c r="H32" s="1875">
        <f t="shared" si="0"/>
        <v>5</v>
      </c>
      <c r="I32" s="1875">
        <f t="shared" si="1"/>
        <v>5</v>
      </c>
      <c r="J32" s="1875">
        <f t="shared" si="2"/>
        <v>5</v>
      </c>
    </row>
    <row r="33" spans="1:11" ht="12" customHeight="1" x14ac:dyDescent="0.2">
      <c r="A33" s="1863" t="s">
        <v>1541</v>
      </c>
      <c r="B33" s="1864"/>
      <c r="C33" s="1938" t="s">
        <v>2064</v>
      </c>
      <c r="D33" s="1938" t="s">
        <v>2064</v>
      </c>
      <c r="E33" s="1934" t="s">
        <v>2064</v>
      </c>
      <c r="F33" s="1865" t="s">
        <v>2104</v>
      </c>
      <c r="H33" s="1875">
        <f t="shared" si="0"/>
        <v>5</v>
      </c>
      <c r="I33" s="1875">
        <f t="shared" si="1"/>
        <v>5</v>
      </c>
      <c r="J33" s="1875">
        <f t="shared" si="2"/>
        <v>5</v>
      </c>
    </row>
    <row r="34" spans="1:11" ht="12" customHeight="1" x14ac:dyDescent="0.25">
      <c r="A34" s="1867"/>
      <c r="B34" s="1867"/>
      <c r="C34" s="1867"/>
      <c r="D34" s="1867"/>
      <c r="E34" s="1867"/>
      <c r="F34" s="1867"/>
      <c r="H34" s="1875">
        <f>SUM(H11:H32)</f>
        <v>45</v>
      </c>
      <c r="I34" s="1875">
        <f>SUM(I11:I32)</f>
        <v>45</v>
      </c>
      <c r="J34" s="1875">
        <f>SUM(J11:J32)</f>
        <v>45</v>
      </c>
      <c r="K34" s="1875">
        <f>SUM(H34:J34)</f>
        <v>135</v>
      </c>
    </row>
    <row r="35" spans="1:11" ht="12" customHeight="1" x14ac:dyDescent="0.2">
      <c r="A35" s="1868" t="s">
        <v>1392</v>
      </c>
      <c r="B35" s="1869"/>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0"/>
      <c r="B39" s="1870"/>
      <c r="C39" s="1870"/>
      <c r="D39" s="1870"/>
      <c r="E39" s="1870"/>
      <c r="F39" s="1870"/>
    </row>
    <row r="40" spans="1:11" s="1867" customFormat="1" ht="12" customHeight="1" x14ac:dyDescent="0.25">
      <c r="A40" s="1871" t="s">
        <v>1391</v>
      </c>
      <c r="B40" s="1872"/>
      <c r="C40" s="2298"/>
      <c r="D40" s="2298"/>
      <c r="E40" s="2298"/>
      <c r="F40" s="2299"/>
      <c r="H40" s="1876"/>
      <c r="I40" s="1876"/>
      <c r="J40" s="1876"/>
      <c r="K40" s="1876"/>
    </row>
    <row r="41" spans="1:11" s="1867" customFormat="1" ht="12" customHeight="1" x14ac:dyDescent="0.25">
      <c r="A41" s="2300" t="s">
        <v>2105</v>
      </c>
      <c r="B41" s="2301"/>
      <c r="C41" s="2301"/>
      <c r="D41" s="2301"/>
      <c r="E41" s="2301"/>
      <c r="F41" s="2302"/>
      <c r="H41" s="1876"/>
      <c r="I41" s="1876"/>
      <c r="J41" s="1876"/>
      <c r="K41" s="1876"/>
    </row>
    <row r="42" spans="1:11" s="1867" customFormat="1" ht="12" customHeight="1" x14ac:dyDescent="0.25">
      <c r="A42" s="2300" t="s">
        <v>2106</v>
      </c>
      <c r="B42" s="2301"/>
      <c r="C42" s="2301"/>
      <c r="D42" s="2301"/>
      <c r="E42" s="2301"/>
      <c r="F42" s="2302"/>
      <c r="H42" s="1876"/>
      <c r="I42" s="1876"/>
      <c r="J42" s="1876"/>
      <c r="K42" s="1876"/>
    </row>
    <row r="43" spans="1:11" s="1867" customFormat="1" ht="15" x14ac:dyDescent="0.25">
      <c r="A43" s="2289" t="s">
        <v>2107</v>
      </c>
      <c r="B43" s="2290"/>
      <c r="C43" s="2290"/>
      <c r="D43" s="2290"/>
      <c r="E43" s="2290"/>
      <c r="F43" s="2291"/>
      <c r="H43" s="1876"/>
      <c r="I43" s="1876"/>
      <c r="J43" s="1876"/>
      <c r="K43" s="1876"/>
    </row>
    <row r="44" spans="1:11" s="1867" customFormat="1" ht="12" hidden="1" customHeight="1" x14ac:dyDescent="0.25">
      <c r="A44" s="2289"/>
      <c r="B44" s="2290"/>
      <c r="C44" s="2290"/>
      <c r="D44" s="2290"/>
      <c r="E44" s="2290"/>
      <c r="F44" s="2291"/>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topLeftCell="A4" colorId="8" zoomScale="110" zoomScaleNormal="110" workbookViewId="0">
      <selection activeCell="H13" sqref="H13"/>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1" t="s">
        <v>672</v>
      </c>
      <c r="B6" s="1642"/>
      <c r="C6" s="1642"/>
      <c r="D6" s="1642"/>
      <c r="E6" s="1643"/>
      <c r="F6" s="1015"/>
      <c r="G6" s="1009"/>
      <c r="H6" s="1016" t="s">
        <v>1028</v>
      </c>
      <c r="I6" s="2316" t="str">
        <f>COVER!A17</f>
        <v>La Moille CUSD 303</v>
      </c>
      <c r="J6" s="2317"/>
      <c r="Q6" s="1664"/>
    </row>
    <row r="7" spans="1:17" x14ac:dyDescent="0.2">
      <c r="A7" s="2318" t="s">
        <v>869</v>
      </c>
      <c r="B7" s="2319"/>
      <c r="C7" s="2319"/>
      <c r="D7" s="2319"/>
      <c r="E7" s="2320"/>
      <c r="F7" s="1017"/>
      <c r="G7" s="1009"/>
      <c r="H7" s="1016" t="s">
        <v>372</v>
      </c>
      <c r="I7" s="2321">
        <f>COVER!A13</f>
        <v>28006303026</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2" t="s">
        <v>1978</v>
      </c>
      <c r="F9" s="1023"/>
      <c r="G9" s="1023"/>
      <c r="H9" s="1893"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55199</v>
      </c>
      <c r="F12" s="1039"/>
      <c r="G12" s="1811">
        <f t="shared" ref="G12:G18" si="0">SUM(E12:F12)</f>
        <v>55199</v>
      </c>
      <c r="H12" s="1040">
        <v>52000</v>
      </c>
      <c r="I12" s="1039"/>
      <c r="J12" s="1811">
        <f t="shared" ref="J12:J18" si="1">SUM(H12:I12)</f>
        <v>52000</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0</v>
      </c>
      <c r="F15" s="1811">
        <f>'Expenditures 15-22'!K122</f>
        <v>0</v>
      </c>
      <c r="G15" s="1811">
        <f t="shared" si="0"/>
        <v>0</v>
      </c>
      <c r="H15" s="1040"/>
      <c r="I15" s="1040"/>
      <c r="J15" s="1811">
        <f t="shared" si="1"/>
        <v>0</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55199</v>
      </c>
      <c r="F19" s="1813">
        <f t="shared" si="2"/>
        <v>0</v>
      </c>
      <c r="G19" s="1813">
        <f t="shared" si="2"/>
        <v>55199</v>
      </c>
      <c r="H19" s="1813">
        <f t="shared" si="2"/>
        <v>52000</v>
      </c>
      <c r="I19" s="1813">
        <f t="shared" si="2"/>
        <v>0</v>
      </c>
      <c r="J19" s="1813">
        <f t="shared" si="2"/>
        <v>52000</v>
      </c>
    </row>
    <row r="20" spans="1:10" ht="13.5" thickTop="1" x14ac:dyDescent="0.2">
      <c r="A20" s="1035">
        <v>9</v>
      </c>
      <c r="B20" s="2328" t="s">
        <v>1980</v>
      </c>
      <c r="C20" s="2328"/>
      <c r="D20" s="2329"/>
      <c r="E20" s="1046"/>
      <c r="F20" s="1046"/>
      <c r="G20" s="1046"/>
      <c r="H20" s="1046"/>
      <c r="I20" s="1046"/>
      <c r="J20" s="1814">
        <f>IF(AND(G19&gt;0,J19&gt;0),(((J19-G19)/G19)),"Enter Budget Data")</f>
        <v>-5.795394844109495E-2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1982</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A18" sqref="A18"/>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2125</v>
      </c>
    </row>
    <row r="6" spans="1:2" x14ac:dyDescent="0.2">
      <c r="A6" s="1068">
        <v>2</v>
      </c>
      <c r="B6" s="329" t="s">
        <v>2126</v>
      </c>
    </row>
    <row r="7" spans="1:2" x14ac:dyDescent="0.2">
      <c r="A7" s="1068">
        <v>3</v>
      </c>
      <c r="B7" s="329" t="s">
        <v>2127</v>
      </c>
    </row>
    <row r="8" spans="1:2" x14ac:dyDescent="0.2">
      <c r="A8" s="1068">
        <v>4</v>
      </c>
      <c r="B8" s="329" t="s">
        <v>2128</v>
      </c>
    </row>
    <row r="9" spans="1:2" x14ac:dyDescent="0.2">
      <c r="A9" s="1069">
        <v>5</v>
      </c>
      <c r="B9" s="329" t="s">
        <v>2129</v>
      </c>
    </row>
    <row r="10" spans="1:2" x14ac:dyDescent="0.2">
      <c r="A10" s="1069">
        <v>6</v>
      </c>
      <c r="B10" s="329" t="s">
        <v>2130</v>
      </c>
    </row>
    <row r="11" spans="1:2" x14ac:dyDescent="0.2">
      <c r="A11" s="1069">
        <v>7</v>
      </c>
      <c r="B11" s="329" t="s">
        <v>2131</v>
      </c>
    </row>
    <row r="12" spans="1:2" x14ac:dyDescent="0.2">
      <c r="A12" s="1069">
        <v>8</v>
      </c>
      <c r="B12" s="329" t="s">
        <v>2132</v>
      </c>
    </row>
    <row r="13" spans="1:2" x14ac:dyDescent="0.2">
      <c r="A13" s="1069">
        <v>9</v>
      </c>
      <c r="B13" s="329" t="s">
        <v>2133</v>
      </c>
    </row>
    <row r="14" spans="1:2" x14ac:dyDescent="0.2">
      <c r="A14" s="1069">
        <v>10</v>
      </c>
      <c r="B14" s="329" t="s">
        <v>2134</v>
      </c>
    </row>
    <row r="15" spans="1:2" x14ac:dyDescent="0.2">
      <c r="A15" s="1069">
        <v>11</v>
      </c>
      <c r="B15" s="329" t="s">
        <v>2135</v>
      </c>
    </row>
    <row r="16" spans="1:2" x14ac:dyDescent="0.2">
      <c r="A16" s="1069"/>
      <c r="B16" s="329" t="s">
        <v>2136</v>
      </c>
    </row>
    <row r="17" spans="1:2" x14ac:dyDescent="0.2">
      <c r="A17" s="1069"/>
      <c r="B17" s="329" t="s">
        <v>2137</v>
      </c>
    </row>
    <row r="18" spans="1:2" x14ac:dyDescent="0.2">
      <c r="A18" s="1069"/>
    </row>
    <row r="19" spans="1:2" x14ac:dyDescent="0.2">
      <c r="A19" s="1069"/>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La Moille CUSD 303</v>
      </c>
    </row>
    <row r="65" spans="2:2" x14ac:dyDescent="0.2">
      <c r="B65" s="1070">
        <f>COVER!A13</f>
        <v>28006303026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2" sqref="B2"/>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1986</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1987</v>
      </c>
      <c r="B4" s="2356"/>
      <c r="C4" s="2356"/>
      <c r="D4" s="2356"/>
      <c r="E4" s="2356"/>
      <c r="F4" s="2357"/>
      <c r="G4" s="1074"/>
      <c r="H4" s="1074"/>
    </row>
    <row r="5" spans="1:8" ht="14.25" customHeight="1" x14ac:dyDescent="0.2">
      <c r="A5" s="2358" t="s">
        <v>1983</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2318090</v>
      </c>
      <c r="C8" s="1815">
        <f>'Acct Summary 7-8'!D8</f>
        <v>306734</v>
      </c>
      <c r="D8" s="1815">
        <f>'Acct Summary 7-8'!F8</f>
        <v>336901</v>
      </c>
      <c r="E8" s="1815">
        <f>'Acct Summary 7-8'!I8</f>
        <v>21911</v>
      </c>
      <c r="F8" s="1815">
        <f>SUM(B8:E8)</f>
        <v>2983636</v>
      </c>
    </row>
    <row r="9" spans="1:8" s="1079" customFormat="1" ht="14.25" customHeight="1" thickBot="1" x14ac:dyDescent="0.25">
      <c r="A9" s="1078" t="s">
        <v>1369</v>
      </c>
      <c r="B9" s="1816">
        <f>'Acct Summary 7-8'!C17</f>
        <v>2714771</v>
      </c>
      <c r="C9" s="1816">
        <f>'Acct Summary 7-8'!D17</f>
        <v>345725</v>
      </c>
      <c r="D9" s="1816">
        <f>'Acct Summary 7-8'!F17</f>
        <v>273715</v>
      </c>
      <c r="E9" s="1815"/>
      <c r="F9" s="1815">
        <f>SUM(B9:E9)</f>
        <v>3334211</v>
      </c>
    </row>
    <row r="10" spans="1:8" s="1079" customFormat="1" ht="14.25" thickTop="1" thickBot="1" x14ac:dyDescent="0.25">
      <c r="A10" s="1080" t="s">
        <v>1370</v>
      </c>
      <c r="B10" s="1817">
        <f>(B8-B9)</f>
        <v>-396681</v>
      </c>
      <c r="C10" s="1817">
        <f>(C8-C9)</f>
        <v>-38991</v>
      </c>
      <c r="D10" s="1817">
        <f>(D8-D9)</f>
        <v>63186</v>
      </c>
      <c r="E10" s="1816">
        <f>(E8-E9)</f>
        <v>21911</v>
      </c>
      <c r="F10" s="1818">
        <f>SUM(F8-F9)</f>
        <v>-350575</v>
      </c>
    </row>
    <row r="11" spans="1:8" s="1079" customFormat="1" ht="14.25" thickTop="1" thickBot="1" x14ac:dyDescent="0.25">
      <c r="A11" s="1081" t="s">
        <v>1984</v>
      </c>
      <c r="B11" s="1819">
        <f>'Acct Summary 7-8'!C81</f>
        <v>481642</v>
      </c>
      <c r="C11" s="1819">
        <f>'Acct Summary 7-8'!D81</f>
        <v>583048</v>
      </c>
      <c r="D11" s="1819">
        <f>'Acct Summary 7-8'!F81</f>
        <v>130208</v>
      </c>
      <c r="E11" s="1819">
        <f>'Acct Summary 7-8'!I81</f>
        <v>542931</v>
      </c>
      <c r="F11" s="1820">
        <f>SUM(B11:E11)</f>
        <v>1737829</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4"/>
      <c r="B2" s="1895"/>
      <c r="C2" s="1896"/>
      <c r="D2" s="1897"/>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ERROR!</v>
      </c>
    </row>
    <row r="69" spans="1:4" x14ac:dyDescent="0.2">
      <c r="A69" s="1100"/>
      <c r="B69" s="1110"/>
      <c r="C69" s="1102" t="s">
        <v>1915</v>
      </c>
      <c r="D69" s="1124" t="str">
        <f>IF('Expenditures 15-22'!H170&lt;&gt;'Short-Term Long-Term Debt 24'!H49,"ERROR!","OK")</f>
        <v>ERROR!</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28006303026</v>
      </c>
    </row>
    <row r="3" spans="1:2" x14ac:dyDescent="0.2">
      <c r="A3" t="s">
        <v>956</v>
      </c>
      <c r="B3" s="138" t="str">
        <f>COVER!A15</f>
        <v>BUREAU</v>
      </c>
    </row>
    <row r="4" spans="1:2" x14ac:dyDescent="0.2">
      <c r="A4" t="s">
        <v>1007</v>
      </c>
      <c r="B4" s="138" t="str">
        <f>COVER!A17</f>
        <v>La Moille CUSD 303</v>
      </c>
    </row>
    <row r="5" spans="1:2" x14ac:dyDescent="0.2">
      <c r="A5" t="s">
        <v>704</v>
      </c>
      <c r="B5" s="138" t="str">
        <f>COVER!A38</f>
        <v>JAY MCCRACKEN</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066-004501</v>
      </c>
    </row>
    <row r="16" spans="1:2" x14ac:dyDescent="0.2">
      <c r="A16" t="s">
        <v>422</v>
      </c>
      <c r="B16" s="138" t="str">
        <f>COVER!T13</f>
        <v xml:space="preserve">HOPKINS &amp; ASSOCIATES, CPAS </v>
      </c>
    </row>
    <row r="17" spans="1:2" x14ac:dyDescent="0.2">
      <c r="A17" t="s">
        <v>884</v>
      </c>
      <c r="B17" s="138" t="str">
        <f>COVER!T15</f>
        <v xml:space="preserve">JOEL HOPKINS </v>
      </c>
    </row>
    <row r="18" spans="1:2" x14ac:dyDescent="0.2">
      <c r="A18" t="s">
        <v>1150</v>
      </c>
      <c r="B18" s="138" t="str">
        <f>COVER!T17</f>
        <v>314 S MCCOY STREET</v>
      </c>
    </row>
    <row r="19" spans="1:2" x14ac:dyDescent="0.2">
      <c r="A19" t="s">
        <v>886</v>
      </c>
      <c r="B19" s="138" t="str">
        <f>COVER!T25</f>
        <v>JOEL@HOPKINSOFFICE.COM</v>
      </c>
    </row>
    <row r="20" spans="1:2" x14ac:dyDescent="0.2">
      <c r="A20" t="s">
        <v>887</v>
      </c>
      <c r="B20" s="138" t="str">
        <f>COVER!T19</f>
        <v>GRANVILLE</v>
      </c>
    </row>
    <row r="21" spans="1:2" x14ac:dyDescent="0.2">
      <c r="A21" t="s">
        <v>479</v>
      </c>
      <c r="B21" s="138" t="str">
        <f>COVER!X19</f>
        <v>IL</v>
      </c>
    </row>
    <row r="22" spans="1:2" x14ac:dyDescent="0.2">
      <c r="A22" t="s">
        <v>888</v>
      </c>
      <c r="B22" s="138">
        <f>COVER!Z19</f>
        <v>61326</v>
      </c>
    </row>
    <row r="23" spans="1:2" x14ac:dyDescent="0.2">
      <c r="A23" t="s">
        <v>1152</v>
      </c>
      <c r="B23" s="138" t="str">
        <f>COVER!T21</f>
        <v>815-339-6630</v>
      </c>
    </row>
    <row r="24" spans="1:2" x14ac:dyDescent="0.2">
      <c r="A24" t="s">
        <v>1151</v>
      </c>
      <c r="B24" s="138">
        <f>COVER!Y21</f>
        <v>0</v>
      </c>
    </row>
    <row r="25" spans="1:2" x14ac:dyDescent="0.2">
      <c r="A25" t="s">
        <v>761</v>
      </c>
      <c r="B25" s="138" t="str">
        <f>COVER!B34</f>
        <v>X</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481705</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63</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63</v>
      </c>
      <c r="C91" s="2" t="s">
        <v>573</v>
      </c>
      <c r="D91" s="2" t="str">
        <f t="shared" si="0"/>
        <v>Error?</v>
      </c>
    </row>
    <row r="92" spans="1:4" x14ac:dyDescent="0.2">
      <c r="A92" s="5">
        <v>31</v>
      </c>
      <c r="B92" s="138">
        <f>'Assets-Liab 5-6'!C39</f>
        <v>472503</v>
      </c>
      <c r="D92" s="2" t="str">
        <f t="shared" si="0"/>
        <v>Error?</v>
      </c>
    </row>
    <row r="93" spans="1:4" x14ac:dyDescent="0.2">
      <c r="A93" s="5">
        <v>32</v>
      </c>
      <c r="B93" s="138">
        <f>'Assets-Liab 5-6'!C41</f>
        <v>481705</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583048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583048</v>
      </c>
      <c r="D123" s="2" t="str">
        <f t="shared" si="0"/>
        <v>Error?</v>
      </c>
    </row>
    <row r="124" spans="1:4" x14ac:dyDescent="0.2">
      <c r="A124" s="5">
        <v>63</v>
      </c>
      <c r="B124" s="138">
        <f>'Assets-Liab 5-6'!D41</f>
        <v>583048</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45226</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45226</v>
      </c>
      <c r="D140" s="2" t="str">
        <f t="shared" si="1"/>
        <v>Error?</v>
      </c>
    </row>
    <row r="141" spans="1:4" x14ac:dyDescent="0.2">
      <c r="A141" s="5">
        <v>80</v>
      </c>
      <c r="B141" s="138">
        <f>'Assets-Liab 5-6'!E41</f>
        <v>45226</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130208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130208</v>
      </c>
      <c r="D170" s="2" t="str">
        <f t="shared" si="1"/>
        <v>Error?</v>
      </c>
    </row>
    <row r="171" spans="1:4" x14ac:dyDescent="0.2">
      <c r="A171" s="5">
        <v>110</v>
      </c>
      <c r="B171" s="138">
        <f>'Assets-Liab 5-6'!F41</f>
        <v>130208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92397</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57960</v>
      </c>
      <c r="D189" s="2" t="str">
        <f t="shared" si="1"/>
        <v>Error?</v>
      </c>
    </row>
    <row r="190" spans="1:4" x14ac:dyDescent="0.2">
      <c r="A190" s="5">
        <v>129</v>
      </c>
      <c r="B190" s="138">
        <f>'Assets-Liab 5-6'!G41</f>
        <v>92397</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48291</v>
      </c>
      <c r="D273" s="2" t="str">
        <f t="shared" si="3"/>
        <v>Error?</v>
      </c>
    </row>
    <row r="274" spans="1:4" x14ac:dyDescent="0.2">
      <c r="A274" s="5">
        <v>213</v>
      </c>
      <c r="B274" s="138">
        <f>'Assets-Liab 5-6'!M17</f>
        <v>3772911</v>
      </c>
      <c r="D274" s="2" t="str">
        <f t="shared" si="3"/>
        <v>Error?</v>
      </c>
    </row>
    <row r="275" spans="1:4" x14ac:dyDescent="0.2">
      <c r="A275" s="5">
        <v>214</v>
      </c>
      <c r="B275" s="138">
        <f>'Assets-Liab 5-6'!M18</f>
        <v>232421</v>
      </c>
      <c r="D275" s="2" t="str">
        <f t="shared" si="3"/>
        <v>Error?</v>
      </c>
    </row>
    <row r="276" spans="1:4" x14ac:dyDescent="0.2">
      <c r="A276" s="5">
        <v>215</v>
      </c>
      <c r="B276" s="138">
        <f>'Assets-Liab 5-6'!M19</f>
        <v>1424613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5478236</v>
      </c>
      <c r="C279" s="2" t="s">
        <v>573</v>
      </c>
      <c r="D279" s="2" t="str">
        <f t="shared" si="3"/>
        <v>Error?</v>
      </c>
    </row>
    <row r="280" spans="1:4" x14ac:dyDescent="0.2">
      <c r="A280" s="5">
        <v>219</v>
      </c>
      <c r="B280" s="138">
        <f>'Assets-Liab 5-6'!M40</f>
        <v>5478236</v>
      </c>
      <c r="D280" s="2" t="str">
        <f t="shared" si="3"/>
        <v>Error?</v>
      </c>
    </row>
    <row r="281" spans="1:4" x14ac:dyDescent="0.2">
      <c r="A281" s="5">
        <v>220</v>
      </c>
      <c r="B281" s="138">
        <f>'Assets-Liab 5-6'!M41</f>
        <v>5478236</v>
      </c>
      <c r="C281" s="2" t="s">
        <v>573</v>
      </c>
      <c r="D281" s="2" t="str">
        <f t="shared" si="3"/>
        <v>Error?</v>
      </c>
    </row>
    <row r="282" spans="1:4" x14ac:dyDescent="0.2">
      <c r="A282" s="5">
        <v>221</v>
      </c>
      <c r="B282" s="138">
        <f>'Assets-Liab 5-6'!N21</f>
        <v>45226</v>
      </c>
      <c r="D282" s="2" t="str">
        <f t="shared" si="3"/>
        <v>Error?</v>
      </c>
    </row>
    <row r="283" spans="1:4" x14ac:dyDescent="0.2">
      <c r="A283" s="5">
        <v>222</v>
      </c>
      <c r="B283" s="138">
        <f>'Assets-Liab 5-6'!N22</f>
        <v>1088413</v>
      </c>
      <c r="D283" s="2" t="str">
        <f t="shared" si="3"/>
        <v>Error?</v>
      </c>
    </row>
    <row r="284" spans="1:4" x14ac:dyDescent="0.2">
      <c r="A284" s="5">
        <v>223</v>
      </c>
      <c r="B284" s="138">
        <f>'Assets-Liab 5-6'!N23</f>
        <v>1133639</v>
      </c>
      <c r="C284" s="2" t="s">
        <v>573</v>
      </c>
      <c r="D284" s="2" t="str">
        <f t="shared" si="3"/>
        <v>Error?</v>
      </c>
    </row>
    <row r="285" spans="1:4" x14ac:dyDescent="0.2">
      <c r="A285" s="5">
        <v>224</v>
      </c>
      <c r="B285" s="138">
        <f>'Assets-Liab 5-6'!N36</f>
        <v>1133639</v>
      </c>
      <c r="D285" s="2" t="str">
        <f t="shared" si="3"/>
        <v>Error?</v>
      </c>
    </row>
    <row r="286" spans="1:4" x14ac:dyDescent="0.2">
      <c r="A286" s="10">
        <v>225</v>
      </c>
      <c r="D286" s="2" t="str">
        <f t="shared" si="3"/>
        <v>OK</v>
      </c>
    </row>
    <row r="287" spans="1:4" x14ac:dyDescent="0.2">
      <c r="A287" s="5">
        <v>226</v>
      </c>
      <c r="B287" s="138">
        <f>'Assets-Liab 5-6'!N37</f>
        <v>1133639</v>
      </c>
      <c r="C287" s="2" t="s">
        <v>573</v>
      </c>
      <c r="D287" s="2" t="str">
        <f t="shared" si="3"/>
        <v>Error?</v>
      </c>
    </row>
    <row r="288" spans="1:4" x14ac:dyDescent="0.2">
      <c r="A288" s="5">
        <v>227</v>
      </c>
      <c r="B288" s="138">
        <f>'Assets-Liab 5-6'!N41</f>
        <v>1133639</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500000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1150867</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111153</v>
      </c>
      <c r="D717" s="2" t="str">
        <f t="shared" si="10"/>
        <v>Error?</v>
      </c>
    </row>
    <row r="718" spans="1:4" x14ac:dyDescent="0.2">
      <c r="A718" s="5">
        <v>657</v>
      </c>
      <c r="B718" s="138">
        <f>'Expenditures 15-22'!C14</f>
        <v>36990</v>
      </c>
      <c r="D718" s="2" t="str">
        <f t="shared" si="10"/>
        <v>Error?</v>
      </c>
    </row>
    <row r="719" spans="1:4" x14ac:dyDescent="0.2">
      <c r="A719" s="5">
        <v>658</v>
      </c>
      <c r="B719" s="138">
        <f>'Expenditures 15-22'!C15</f>
        <v>0</v>
      </c>
      <c r="D719" s="2" t="str">
        <f t="shared" si="10"/>
        <v>Error?</v>
      </c>
    </row>
    <row r="720" spans="1:4" x14ac:dyDescent="0.2">
      <c r="A720" s="5">
        <v>659</v>
      </c>
      <c r="B720" s="138">
        <f>'Expenditures 15-22'!C33</f>
        <v>1505905</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53330</v>
      </c>
      <c r="D722" s="2" t="str">
        <f t="shared" si="10"/>
        <v>Error?</v>
      </c>
    </row>
    <row r="723" spans="1:4" x14ac:dyDescent="0.2">
      <c r="A723" s="5">
        <v>662</v>
      </c>
      <c r="B723" s="138">
        <f>'Expenditures 15-22'!C38</f>
        <v>38723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92053</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0</v>
      </c>
      <c r="C731" s="2" t="s">
        <v>573</v>
      </c>
      <c r="D731" s="2" t="str">
        <f t="shared" si="10"/>
        <v>Error?</v>
      </c>
    </row>
    <row r="732" spans="1:4" x14ac:dyDescent="0.2">
      <c r="A732" s="5">
        <v>671</v>
      </c>
      <c r="B732" s="138">
        <f>'Expenditures 15-22'!C49</f>
        <v>2299</v>
      </c>
      <c r="D732" s="2" t="str">
        <f t="shared" si="10"/>
        <v>Error?</v>
      </c>
    </row>
    <row r="733" spans="1:4" x14ac:dyDescent="0.2">
      <c r="A733" s="5">
        <v>672</v>
      </c>
      <c r="B733" s="138">
        <f>'Expenditures 15-22'!C50</f>
        <v>54055</v>
      </c>
      <c r="D733" s="2" t="str">
        <f t="shared" si="10"/>
        <v>Error?</v>
      </c>
    </row>
    <row r="734" spans="1:4" x14ac:dyDescent="0.2">
      <c r="A734" s="5">
        <v>673</v>
      </c>
      <c r="B734" s="138">
        <f>'Expenditures 15-22'!C53</f>
        <v>56354</v>
      </c>
      <c r="C734" s="2" t="s">
        <v>573</v>
      </c>
      <c r="D734" s="2" t="str">
        <f t="shared" si="10"/>
        <v>Error?</v>
      </c>
    </row>
    <row r="735" spans="1:4" x14ac:dyDescent="0.2">
      <c r="A735" s="5">
        <v>674</v>
      </c>
      <c r="B735" s="138">
        <f>'Expenditures 15-22'!C55</f>
        <v>163200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163200</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36249</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54439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90688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33869</v>
      </c>
      <c r="D754" s="2" t="str">
        <f t="shared" si="10"/>
        <v>Error?</v>
      </c>
    </row>
    <row r="755" spans="1:4" x14ac:dyDescent="0.2">
      <c r="A755" s="5">
        <v>694</v>
      </c>
      <c r="B755" s="138">
        <f>'Expenditures 15-22'!C74</f>
        <v>436164</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1942069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218395</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18649</v>
      </c>
      <c r="D775" s="2" t="str">
        <f t="shared" si="11"/>
        <v>Error?</v>
      </c>
    </row>
    <row r="776" spans="1:4" x14ac:dyDescent="0.2">
      <c r="A776" s="5">
        <v>715</v>
      </c>
      <c r="B776" s="138">
        <f>'Expenditures 15-22'!D14</f>
        <v>54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265149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9252</v>
      </c>
      <c r="D780" s="2" t="str">
        <f t="shared" si="11"/>
        <v>Error?</v>
      </c>
    </row>
    <row r="781" spans="1:4" x14ac:dyDescent="0.2">
      <c r="A781" s="5">
        <v>720</v>
      </c>
      <c r="B781" s="138">
        <f>'Expenditures 15-22'!D38</f>
        <v>8499</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17751</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573</v>
      </c>
      <c r="D792" s="2" t="str">
        <f t="shared" si="11"/>
        <v>Error?</v>
      </c>
    </row>
    <row r="793" spans="1:4" x14ac:dyDescent="0.2">
      <c r="A793" s="5">
        <v>732</v>
      </c>
      <c r="B793" s="138">
        <f>'Expenditures 15-22'!D55</f>
        <v>37313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37313</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8499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8499</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16998</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8486</v>
      </c>
      <c r="D812" s="2" t="str">
        <f t="shared" si="11"/>
        <v>Error?</v>
      </c>
    </row>
    <row r="813" spans="1:4" x14ac:dyDescent="0.2">
      <c r="A813" s="5">
        <v>752</v>
      </c>
      <c r="B813" s="138">
        <f>'Expenditures 15-22'!D74</f>
        <v>80548</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345697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69353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13824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96017</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1407</v>
      </c>
      <c r="D839" s="2" t="str">
        <f t="shared" si="12"/>
        <v>Error?</v>
      </c>
    </row>
    <row r="840" spans="1:4" x14ac:dyDescent="0.2">
      <c r="A840" s="5">
        <v>779</v>
      </c>
      <c r="B840" s="138">
        <f>'Expenditures 15-22'!E39</f>
        <v>0</v>
      </c>
      <c r="D840" s="2" t="str">
        <f t="shared" si="12"/>
        <v>Error?</v>
      </c>
    </row>
    <row r="841" spans="1:4" x14ac:dyDescent="0.2">
      <c r="A841" s="5">
        <v>780</v>
      </c>
      <c r="B841" s="138">
        <f>'Expenditures 15-22'!E40</f>
        <v>72545</v>
      </c>
      <c r="D841" s="2" t="str">
        <f t="shared" si="12"/>
        <v>Error?</v>
      </c>
    </row>
    <row r="842" spans="1:4" x14ac:dyDescent="0.2">
      <c r="A842" s="5">
        <v>781</v>
      </c>
      <c r="B842" s="138">
        <f>'Expenditures 15-22'!E41</f>
        <v>581</v>
      </c>
      <c r="D842" s="2" t="str">
        <f t="shared" si="12"/>
        <v>Error?</v>
      </c>
    </row>
    <row r="843" spans="1:4" x14ac:dyDescent="0.2">
      <c r="A843" s="5">
        <v>782</v>
      </c>
      <c r="B843" s="138">
        <f>'Expenditures 15-22'!E42</f>
        <v>74533</v>
      </c>
      <c r="C843" s="2" t="s">
        <v>573</v>
      </c>
      <c r="D843" s="2" t="str">
        <f t="shared" si="12"/>
        <v>Error?</v>
      </c>
    </row>
    <row r="844" spans="1:4" x14ac:dyDescent="0.2">
      <c r="A844" s="5">
        <v>783</v>
      </c>
      <c r="B844" s="138">
        <f>'Expenditures 15-22'!E44</f>
        <v>5865</v>
      </c>
      <c r="D844" s="2" t="str">
        <f t="shared" si="12"/>
        <v>Error?</v>
      </c>
    </row>
    <row r="845" spans="1:4" x14ac:dyDescent="0.2">
      <c r="A845" s="5">
        <v>784</v>
      </c>
      <c r="B845" s="138">
        <f>'Expenditures 15-22'!E45</f>
        <v>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5865</v>
      </c>
      <c r="C847" s="2" t="s">
        <v>573</v>
      </c>
      <c r="D847" s="2" t="str">
        <f t="shared" si="12"/>
        <v>Error?</v>
      </c>
    </row>
    <row r="848" spans="1:4" x14ac:dyDescent="0.2">
      <c r="A848" s="5">
        <v>787</v>
      </c>
      <c r="B848" s="138">
        <f>'Expenditures 15-22'!E49</f>
        <v>17071</v>
      </c>
      <c r="D848" s="2" t="str">
        <f t="shared" si="12"/>
        <v>Error?</v>
      </c>
    </row>
    <row r="849" spans="1:4" x14ac:dyDescent="0.2">
      <c r="A849" s="5">
        <v>788</v>
      </c>
      <c r="B849" s="138">
        <f>'Expenditures 15-22'!E50</f>
        <v>769</v>
      </c>
      <c r="D849" s="2" t="str">
        <f t="shared" si="12"/>
        <v>Error?</v>
      </c>
    </row>
    <row r="850" spans="1:4" x14ac:dyDescent="0.2">
      <c r="A850" s="5">
        <v>789</v>
      </c>
      <c r="B850" s="138">
        <f>'Expenditures 15-22'!E53</f>
        <v>17840</v>
      </c>
      <c r="C850" s="2" t="s">
        <v>573</v>
      </c>
      <c r="D850" s="2" t="str">
        <f t="shared" si="12"/>
        <v>Error?</v>
      </c>
    </row>
    <row r="851" spans="1:4" x14ac:dyDescent="0.2">
      <c r="A851" s="5">
        <v>790</v>
      </c>
      <c r="B851" s="138">
        <f>'Expenditures 15-22'!E55</f>
        <v>3236</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3236</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760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1088</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1848</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103322</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227946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34509</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2810</v>
      </c>
      <c r="D891" s="2" t="str">
        <f t="shared" si="12"/>
        <v>Error?</v>
      </c>
    </row>
    <row r="892" spans="1:4" x14ac:dyDescent="0.2">
      <c r="A892" s="5">
        <v>831</v>
      </c>
      <c r="B892" s="138">
        <f>'Expenditures 15-22'!F14</f>
        <v>6940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58722</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200</v>
      </c>
      <c r="D896" s="2" t="str">
        <f t="shared" si="13"/>
        <v>Error?</v>
      </c>
    </row>
    <row r="897" spans="1:4" x14ac:dyDescent="0.2">
      <c r="A897" s="5">
        <v>836</v>
      </c>
      <c r="B897" s="138">
        <f>'Expenditures 15-22'!F38</f>
        <v>1330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573</v>
      </c>
      <c r="D900" s="2" t="str">
        <f t="shared" si="13"/>
        <v>Error?</v>
      </c>
    </row>
    <row r="901" spans="1:4" x14ac:dyDescent="0.2">
      <c r="A901" s="5">
        <v>840</v>
      </c>
      <c r="B901" s="138">
        <f>'Expenditures 15-22'!F42</f>
        <v>2103</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1285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1285</v>
      </c>
      <c r="C905" s="2" t="s">
        <v>573</v>
      </c>
      <c r="D905" s="2" t="str">
        <f t="shared" si="13"/>
        <v>Error?</v>
      </c>
    </row>
    <row r="906" spans="1:4" x14ac:dyDescent="0.2">
      <c r="A906" s="5">
        <v>845</v>
      </c>
      <c r="B906" s="138">
        <f>'Expenditures 15-22'!F49</f>
        <v>0</v>
      </c>
      <c r="D906" s="2" t="str">
        <f t="shared" si="13"/>
        <v>Error?</v>
      </c>
    </row>
    <row r="907" spans="1:4" x14ac:dyDescent="0.2">
      <c r="A907" s="5">
        <v>846</v>
      </c>
      <c r="B907" s="138">
        <f>'Expenditures 15-22'!F50</f>
        <v>0</v>
      </c>
      <c r="D907" s="2" t="str">
        <f t="shared" si="13"/>
        <v>Error?</v>
      </c>
    </row>
    <row r="908" spans="1:4" x14ac:dyDescent="0.2">
      <c r="A908" s="5">
        <v>847</v>
      </c>
      <c r="B908" s="138">
        <f>'Expenditures 15-22'!F53</f>
        <v>0</v>
      </c>
      <c r="C908" s="2" t="s">
        <v>573</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155</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38870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39025</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42413</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101135</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0</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1580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63644</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146</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146</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2215</v>
      </c>
      <c r="D1022" s="2" t="str">
        <f t="shared" si="14"/>
        <v>Error?</v>
      </c>
    </row>
    <row r="1023" spans="1:4" x14ac:dyDescent="0.2">
      <c r="A1023" s="5">
        <v>962</v>
      </c>
      <c r="B1023" s="138">
        <f>'Expenditures 15-22'!H50</f>
        <v>375</v>
      </c>
      <c r="D1023" s="2" t="str">
        <f t="shared" ref="D1023:D1086" si="15">IF(ISBLANK(B1023),"OK",IF(A1023-B1023=0,"OK","Error?"))</f>
        <v>Error?</v>
      </c>
    </row>
    <row r="1024" spans="1:4" x14ac:dyDescent="0.2">
      <c r="A1024" s="5">
        <v>963</v>
      </c>
      <c r="B1024" s="138">
        <f>'Expenditures 15-22'!H53</f>
        <v>2590</v>
      </c>
      <c r="C1024" s="2" t="s">
        <v>573</v>
      </c>
      <c r="D1024" s="2" t="str">
        <f t="shared" si="15"/>
        <v>Error?</v>
      </c>
    </row>
    <row r="1025" spans="1:4" x14ac:dyDescent="0.2">
      <c r="A1025" s="5">
        <v>964</v>
      </c>
      <c r="B1025" s="138">
        <f>'Expenditures 15-22'!H55</f>
        <v>614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614</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229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229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3579</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30701</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97924</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1473124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132612</v>
      </c>
      <c r="C1105" s="2" t="s">
        <v>573</v>
      </c>
      <c r="D1105" s="2" t="str">
        <f t="shared" si="16"/>
        <v>Error?</v>
      </c>
    </row>
    <row r="1106" spans="1:4" x14ac:dyDescent="0.2">
      <c r="A1106" s="5">
        <v>1045</v>
      </c>
      <c r="B1106" s="138">
        <f>'Expenditures 15-22'!K14</f>
        <v>59388</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1989437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62782</v>
      </c>
      <c r="C1110" s="2" t="s">
        <v>573</v>
      </c>
      <c r="D1110" s="2" t="str">
        <f t="shared" si="16"/>
        <v>Error?</v>
      </c>
    </row>
    <row r="1111" spans="1:4" x14ac:dyDescent="0.2">
      <c r="A1111" s="5">
        <v>1050</v>
      </c>
      <c r="B1111" s="138">
        <f>'Expenditures 15-22'!K38</f>
        <v>50105</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72545</v>
      </c>
      <c r="C1113" s="2" t="s">
        <v>573</v>
      </c>
      <c r="D1113" s="2" t="str">
        <f t="shared" si="16"/>
        <v>Error?</v>
      </c>
    </row>
    <row r="1114" spans="1:4" x14ac:dyDescent="0.2">
      <c r="A1114" s="5">
        <v>1053</v>
      </c>
      <c r="B1114" s="138">
        <f>'Expenditures 15-22'!K41</f>
        <v>1154</v>
      </c>
      <c r="C1114" s="2" t="s">
        <v>573</v>
      </c>
      <c r="D1114" s="2" t="str">
        <f t="shared" si="16"/>
        <v>Error?</v>
      </c>
    </row>
    <row r="1115" spans="1:4" x14ac:dyDescent="0.2">
      <c r="A1115" s="5">
        <v>1054</v>
      </c>
      <c r="B1115" s="138">
        <f>'Expenditures 15-22'!K42</f>
        <v>186586</v>
      </c>
      <c r="C1115" s="2" t="s">
        <v>573</v>
      </c>
      <c r="D1115" s="2" t="str">
        <f t="shared" si="16"/>
        <v>Error?</v>
      </c>
    </row>
    <row r="1116" spans="1:4" x14ac:dyDescent="0.2">
      <c r="A1116" s="5">
        <v>1055</v>
      </c>
      <c r="B1116" s="138">
        <f>'Expenditures 15-22'!K44</f>
        <v>5865</v>
      </c>
      <c r="C1116" s="2" t="s">
        <v>573</v>
      </c>
      <c r="D1116" s="2" t="str">
        <f t="shared" si="16"/>
        <v>Error?</v>
      </c>
    </row>
    <row r="1117" spans="1:4" x14ac:dyDescent="0.2">
      <c r="A1117" s="5">
        <v>1056</v>
      </c>
      <c r="B1117" s="138">
        <f>'Expenditures 15-22'!K45</f>
        <v>1285</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7150</v>
      </c>
      <c r="C1119" s="2" t="s">
        <v>573</v>
      </c>
      <c r="D1119" s="2" t="str">
        <f t="shared" si="16"/>
        <v>Error?</v>
      </c>
    </row>
    <row r="1120" spans="1:4" x14ac:dyDescent="0.2">
      <c r="A1120" s="5">
        <v>1059</v>
      </c>
      <c r="B1120" s="138">
        <f>'Expenditures 15-22'!K49</f>
        <v>21585</v>
      </c>
      <c r="C1120" s="2" t="s">
        <v>573</v>
      </c>
      <c r="D1120" s="2" t="str">
        <f t="shared" si="16"/>
        <v>Error?</v>
      </c>
    </row>
    <row r="1121" spans="1:4" x14ac:dyDescent="0.2">
      <c r="A1121" s="5">
        <v>1060</v>
      </c>
      <c r="B1121" s="138">
        <f>'Expenditures 15-22'!K50</f>
        <v>55199</v>
      </c>
      <c r="C1121" s="2" t="s">
        <v>573</v>
      </c>
      <c r="D1121" s="2" t="str">
        <f t="shared" si="16"/>
        <v>Error?</v>
      </c>
    </row>
    <row r="1122" spans="1:4" x14ac:dyDescent="0.2">
      <c r="A1122" s="5">
        <v>1061</v>
      </c>
      <c r="B1122" s="138">
        <f>'Expenditures 15-22'!K53</f>
        <v>76784</v>
      </c>
      <c r="C1122" s="2" t="s">
        <v>573</v>
      </c>
      <c r="D1122" s="2" t="str">
        <f t="shared" si="16"/>
        <v>Error?</v>
      </c>
    </row>
    <row r="1123" spans="1:4" x14ac:dyDescent="0.2">
      <c r="A1123" s="5">
        <v>1062</v>
      </c>
      <c r="B1123" s="138">
        <f>'Expenditures 15-22'!K55</f>
        <v>204363</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204363</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45663</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103125</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148788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42355</v>
      </c>
      <c r="C1142" s="2" t="s">
        <v>573</v>
      </c>
      <c r="D1142" s="2" t="str">
        <f t="shared" si="16"/>
        <v>Error?</v>
      </c>
    </row>
    <row r="1143" spans="1:4" x14ac:dyDescent="0.2">
      <c r="A1143" s="5">
        <v>1082</v>
      </c>
      <c r="B1143" s="138">
        <f>'Expenditures 15-22'!K74</f>
        <v>666026</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59308</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2714771</v>
      </c>
      <c r="C1152" s="2" t="s">
        <v>573</v>
      </c>
      <c r="D1152" s="2" t="str">
        <f t="shared" si="17"/>
        <v>Error?</v>
      </c>
    </row>
    <row r="1153" spans="1:4" x14ac:dyDescent="0.2">
      <c r="A1153" s="5">
        <v>1092</v>
      </c>
      <c r="B1153" s="138">
        <f>'Expenditures 15-22'!K115</f>
        <v>-396681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151135</v>
      </c>
      <c r="D1221" s="2" t="str">
        <f t="shared" si="18"/>
        <v>Error?</v>
      </c>
    </row>
    <row r="1222" spans="1:4" x14ac:dyDescent="0.2">
      <c r="A1222" s="10">
        <v>1161</v>
      </c>
      <c r="D1222" s="2" t="str">
        <f t="shared" si="18"/>
        <v>OK</v>
      </c>
    </row>
    <row r="1223" spans="1:4" x14ac:dyDescent="0.2">
      <c r="A1223" s="5">
        <v>1162</v>
      </c>
      <c r="B1223" s="138">
        <f>'Expenditures 15-22'!C127</f>
        <v>151135</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151135</v>
      </c>
      <c r="C1225" s="2" t="s">
        <v>573</v>
      </c>
      <c r="D1225" s="2" t="str">
        <f t="shared" si="18"/>
        <v>Error?</v>
      </c>
    </row>
    <row r="1226" spans="1:4" x14ac:dyDescent="0.2">
      <c r="A1226" s="5">
        <v>1165</v>
      </c>
      <c r="B1226" s="138">
        <f>'Expenditures 15-22'!C151</f>
        <v>151135</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12836</v>
      </c>
      <c r="D1229" s="2" t="str">
        <f t="shared" si="18"/>
        <v>Error?</v>
      </c>
    </row>
    <row r="1230" spans="1:4" x14ac:dyDescent="0.2">
      <c r="A1230" s="10">
        <v>1169</v>
      </c>
      <c r="D1230" s="2" t="str">
        <f t="shared" si="18"/>
        <v>OK</v>
      </c>
    </row>
    <row r="1231" spans="1:4" x14ac:dyDescent="0.2">
      <c r="A1231" s="5">
        <v>1170</v>
      </c>
      <c r="B1231" s="138">
        <f>'Expenditures 15-22'!D127</f>
        <v>12836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12836</v>
      </c>
      <c r="C1233" s="2" t="s">
        <v>573</v>
      </c>
      <c r="D1233" s="2" t="str">
        <f t="shared" si="18"/>
        <v>Error?</v>
      </c>
    </row>
    <row r="1234" spans="1:4" x14ac:dyDescent="0.2">
      <c r="A1234" s="5">
        <v>1173</v>
      </c>
      <c r="B1234" s="138">
        <f>'Expenditures 15-22'!D151</f>
        <v>12836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66196</v>
      </c>
      <c r="D1237" s="2" t="str">
        <f t="shared" si="18"/>
        <v>Error?</v>
      </c>
    </row>
    <row r="1238" spans="1:4" x14ac:dyDescent="0.2">
      <c r="A1238" s="10">
        <v>1177</v>
      </c>
      <c r="D1238" s="2" t="str">
        <f t="shared" si="18"/>
        <v>OK</v>
      </c>
    </row>
    <row r="1239" spans="1:4" x14ac:dyDescent="0.2">
      <c r="A1239" s="5">
        <v>1178</v>
      </c>
      <c r="B1239" s="138">
        <f>'Expenditures 15-22'!E127</f>
        <v>66196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66196</v>
      </c>
      <c r="C1241" s="2" t="s">
        <v>573</v>
      </c>
      <c r="D1241" s="2" t="str">
        <f t="shared" si="18"/>
        <v>Error?</v>
      </c>
    </row>
    <row r="1242" spans="1:4" x14ac:dyDescent="0.2">
      <c r="A1242" s="5">
        <v>1181</v>
      </c>
      <c r="B1242" s="138">
        <f>'Expenditures 15-22'!E151</f>
        <v>66196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90654</v>
      </c>
      <c r="D1245" s="2" t="str">
        <f t="shared" si="18"/>
        <v>Error?</v>
      </c>
    </row>
    <row r="1246" spans="1:4" x14ac:dyDescent="0.2">
      <c r="A1246" s="10">
        <v>1185</v>
      </c>
      <c r="D1246" s="2" t="str">
        <f t="shared" si="18"/>
        <v>OK</v>
      </c>
    </row>
    <row r="1247" spans="1:4" x14ac:dyDescent="0.2">
      <c r="A1247" s="5">
        <v>1186</v>
      </c>
      <c r="B1247" s="138">
        <f>'Expenditures 15-22'!F127</f>
        <v>90654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90654</v>
      </c>
      <c r="C1249" s="2" t="s">
        <v>573</v>
      </c>
      <c r="D1249" s="2" t="str">
        <f t="shared" si="18"/>
        <v>Error?</v>
      </c>
    </row>
    <row r="1250" spans="1:4" x14ac:dyDescent="0.2">
      <c r="A1250" s="5">
        <v>1189</v>
      </c>
      <c r="B1250" s="138">
        <f>'Expenditures 15-22'!F151</f>
        <v>90654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24904</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24904</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24904</v>
      </c>
      <c r="C1258" s="2" t="s">
        <v>573</v>
      </c>
      <c r="D1258" s="2" t="str">
        <f t="shared" si="18"/>
        <v>Error?</v>
      </c>
    </row>
    <row r="1259" spans="1:4" x14ac:dyDescent="0.2">
      <c r="A1259" s="5">
        <v>1198</v>
      </c>
      <c r="B1259" s="138">
        <f>'Expenditures 15-22'!G151</f>
        <v>24904</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345725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345725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345725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345725</v>
      </c>
      <c r="C1288" s="2" t="s">
        <v>573</v>
      </c>
      <c r="D1288" s="2" t="str">
        <f t="shared" si="19"/>
        <v>Error?</v>
      </c>
    </row>
    <row r="1289" spans="1:4" x14ac:dyDescent="0.2">
      <c r="A1289" s="5">
        <v>1228</v>
      </c>
      <c r="B1289" s="138">
        <f>'Expenditures 15-22'!K152</f>
        <v>-38991</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150000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150000</v>
      </c>
      <c r="C1317" s="2" t="s">
        <v>573</v>
      </c>
      <c r="D1317" s="2" t="str">
        <f t="shared" si="19"/>
        <v>Error?</v>
      </c>
    </row>
    <row r="1318" spans="1:4" x14ac:dyDescent="0.2">
      <c r="A1318" s="5">
        <v>1257</v>
      </c>
      <c r="B1318" s="138">
        <f>'Expenditures 15-22'!H174</f>
        <v>150000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150000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150000</v>
      </c>
      <c r="C1331" s="2" t="s">
        <v>573</v>
      </c>
      <c r="D1331" s="2" t="str">
        <f t="shared" si="19"/>
        <v>Error?</v>
      </c>
    </row>
    <row r="1332" spans="1:4" x14ac:dyDescent="0.2">
      <c r="A1332" s="5">
        <v>1271</v>
      </c>
      <c r="B1332" s="138">
        <f>'Expenditures 15-22'!K174</f>
        <v>150000</v>
      </c>
      <c r="C1332" s="2" t="s">
        <v>573</v>
      </c>
      <c r="D1332" s="2" t="str">
        <f t="shared" si="19"/>
        <v>Error?</v>
      </c>
    </row>
    <row r="1333" spans="1:4" x14ac:dyDescent="0.2">
      <c r="A1333" s="5">
        <v>1272</v>
      </c>
      <c r="B1333" s="138">
        <f>'Expenditures 15-22'!K175</f>
        <v>-292</v>
      </c>
      <c r="C1333" s="2" t="s">
        <v>573</v>
      </c>
      <c r="D1333" s="2" t="str">
        <f t="shared" si="19"/>
        <v>Error?</v>
      </c>
    </row>
    <row r="1334" spans="1:4" x14ac:dyDescent="0.2">
      <c r="A1334" s="10">
        <v>1273</v>
      </c>
      <c r="D1334" s="2" t="str">
        <f t="shared" si="19"/>
        <v>OK</v>
      </c>
    </row>
    <row r="1335" spans="1:4" x14ac:dyDescent="0.2">
      <c r="A1335" s="5">
        <v>1274</v>
      </c>
      <c r="B1335" s="138">
        <f>'Expenditures 15-22'!C182</f>
        <v>113320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113320</v>
      </c>
      <c r="C1339" s="2" t="s">
        <v>573</v>
      </c>
      <c r="D1339" s="2" t="str">
        <f t="shared" si="19"/>
        <v>Error?</v>
      </c>
    </row>
    <row r="1340" spans="1:4" x14ac:dyDescent="0.2">
      <c r="A1340" s="5">
        <v>1279</v>
      </c>
      <c r="B1340" s="138">
        <f>'Expenditures 15-22'!C210</f>
        <v>113320</v>
      </c>
      <c r="C1340" s="2" t="s">
        <v>573</v>
      </c>
      <c r="D1340" s="2" t="str">
        <f t="shared" si="19"/>
        <v>Error?</v>
      </c>
    </row>
    <row r="1341" spans="1:4" x14ac:dyDescent="0.2">
      <c r="A1341" s="5">
        <v>1280</v>
      </c>
      <c r="B1341" s="138">
        <f>'Expenditures 15-22'!D182</f>
        <v>6319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6319</v>
      </c>
      <c r="C1345" s="2" t="s">
        <v>573</v>
      </c>
      <c r="D1345" s="2" t="str">
        <f t="shared" si="20"/>
        <v>Error?</v>
      </c>
    </row>
    <row r="1346" spans="1:4" x14ac:dyDescent="0.2">
      <c r="A1346" s="5">
        <v>1285</v>
      </c>
      <c r="B1346" s="138">
        <f>'Expenditures 15-22'!D210</f>
        <v>6319</v>
      </c>
      <c r="C1346" s="2" t="s">
        <v>573</v>
      </c>
      <c r="D1346" s="2" t="str">
        <f t="shared" si="20"/>
        <v>Error?</v>
      </c>
    </row>
    <row r="1347" spans="1:4" x14ac:dyDescent="0.2">
      <c r="A1347" s="5">
        <v>1286</v>
      </c>
      <c r="B1347" s="138">
        <f>'Expenditures 15-22'!E182</f>
        <v>17659</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17659</v>
      </c>
      <c r="C1351" s="2" t="s">
        <v>573</v>
      </c>
      <c r="D1351" s="2" t="str">
        <f t="shared" si="20"/>
        <v>Error?</v>
      </c>
    </row>
    <row r="1352" spans="1:4" x14ac:dyDescent="0.2">
      <c r="A1352" s="5">
        <v>1291</v>
      </c>
      <c r="B1352" s="138">
        <f>'Expenditures 15-22'!E196</f>
        <v>25938</v>
      </c>
      <c r="C1352" s="2" t="s">
        <v>573</v>
      </c>
      <c r="D1352" s="2" t="str">
        <f t="shared" si="20"/>
        <v>Error?</v>
      </c>
    </row>
    <row r="1353" spans="1:4" x14ac:dyDescent="0.2">
      <c r="A1353" s="5">
        <v>1292</v>
      </c>
      <c r="B1353" s="138">
        <f>'Expenditures 15-22'!E210</f>
        <v>43597</v>
      </c>
      <c r="C1353" s="2" t="s">
        <v>573</v>
      </c>
      <c r="D1353" s="2" t="str">
        <f t="shared" si="20"/>
        <v>Error?</v>
      </c>
    </row>
    <row r="1354" spans="1:4" x14ac:dyDescent="0.2">
      <c r="A1354" s="5">
        <v>1293</v>
      </c>
      <c r="B1354" s="138">
        <f>'Expenditures 15-22'!F182</f>
        <v>26683</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26683</v>
      </c>
      <c r="C1358" s="2" t="s">
        <v>573</v>
      </c>
      <c r="D1358" s="2" t="str">
        <f t="shared" si="20"/>
        <v>Error?</v>
      </c>
    </row>
    <row r="1359" spans="1:4" x14ac:dyDescent="0.2">
      <c r="A1359" s="5">
        <v>1298</v>
      </c>
      <c r="B1359" s="138">
        <f>'Expenditures 15-22'!F210</f>
        <v>26683</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83796</v>
      </c>
      <c r="C1375" s="2" t="s">
        <v>573</v>
      </c>
      <c r="D1375" s="2" t="str">
        <f t="shared" si="20"/>
        <v>Error?</v>
      </c>
    </row>
    <row r="1376" spans="1:4" x14ac:dyDescent="0.2">
      <c r="A1376" s="5">
        <v>1315</v>
      </c>
      <c r="B1376" s="138">
        <f>'Expenditures 15-22'!H210</f>
        <v>83796</v>
      </c>
      <c r="C1376" s="2" t="s">
        <v>573</v>
      </c>
      <c r="D1376" s="2" t="str">
        <f t="shared" si="20"/>
        <v>Error?</v>
      </c>
    </row>
    <row r="1377" spans="1:4" x14ac:dyDescent="0.2">
      <c r="A1377" s="5">
        <v>1316</v>
      </c>
      <c r="B1377" s="138">
        <f>'Expenditures 15-22'!K182</f>
        <v>163981</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163981</v>
      </c>
      <c r="C1381" s="2" t="s">
        <v>573</v>
      </c>
      <c r="D1381" s="2" t="str">
        <f t="shared" si="20"/>
        <v>Error?</v>
      </c>
    </row>
    <row r="1382" spans="1:4" x14ac:dyDescent="0.2">
      <c r="A1382" s="5">
        <v>1321</v>
      </c>
      <c r="B1382" s="138">
        <f>'Expenditures 15-22'!K196</f>
        <v>25938</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83796</v>
      </c>
      <c r="C1387" s="2" t="s">
        <v>573</v>
      </c>
      <c r="D1387" s="2" t="str">
        <f t="shared" si="20"/>
        <v>Error?</v>
      </c>
    </row>
    <row r="1388" spans="1:4" x14ac:dyDescent="0.2">
      <c r="A1388" s="5">
        <v>1327</v>
      </c>
      <c r="B1388" s="138">
        <f>'Expenditures 15-22'!K210</f>
        <v>273715</v>
      </c>
      <c r="C1388" s="2" t="s">
        <v>573</v>
      </c>
      <c r="D1388" s="2" t="str">
        <f t="shared" si="20"/>
        <v>Error?</v>
      </c>
    </row>
    <row r="1389" spans="1:4" x14ac:dyDescent="0.2">
      <c r="A1389" s="5">
        <v>1328</v>
      </c>
      <c r="B1389" s="138">
        <f>'Expenditures 15-22'!K211</f>
        <v>63186</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1612</v>
      </c>
      <c r="D1407" s="2" t="str">
        <f t="shared" ref="D1407:D1470" si="21">IF(ISBLANK(B1407),"OK",IF(A1407-B1407=0,"OK","Error?"))</f>
        <v>Error?</v>
      </c>
    </row>
    <row r="1408" spans="1:4" x14ac:dyDescent="0.2">
      <c r="A1408" s="5">
        <v>1347</v>
      </c>
      <c r="B1408" s="138">
        <f>'Expenditures 15-22'!D223</f>
        <v>3001</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51292</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773</v>
      </c>
      <c r="D1412" s="2" t="str">
        <f t="shared" si="21"/>
        <v>Error?</v>
      </c>
    </row>
    <row r="1413" spans="1:4" x14ac:dyDescent="0.2">
      <c r="A1413" s="5">
        <v>1352</v>
      </c>
      <c r="B1413" s="138">
        <f>'Expenditures 15-22'!D234</f>
        <v>6222</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6995</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0</v>
      </c>
      <c r="C1421" s="2" t="s">
        <v>573</v>
      </c>
      <c r="D1421" s="2" t="str">
        <f t="shared" si="21"/>
        <v>Error?</v>
      </c>
    </row>
    <row r="1422" spans="1:4" x14ac:dyDescent="0.2">
      <c r="A1422" s="5">
        <v>1361</v>
      </c>
      <c r="B1422" s="138">
        <f>'Expenditures 15-22'!D245</f>
        <v>176</v>
      </c>
      <c r="D1422" s="2" t="str">
        <f t="shared" si="21"/>
        <v>Error?</v>
      </c>
    </row>
    <row r="1423" spans="1:4" x14ac:dyDescent="0.2">
      <c r="A1423" s="5">
        <v>1362</v>
      </c>
      <c r="B1423" s="138">
        <f>'Expenditures 15-22'!D246</f>
        <v>1173</v>
      </c>
      <c r="D1423" s="2" t="str">
        <f t="shared" si="21"/>
        <v>Error?</v>
      </c>
    </row>
    <row r="1424" spans="1:4" x14ac:dyDescent="0.2">
      <c r="A1424" s="5">
        <v>1363</v>
      </c>
      <c r="B1424" s="138">
        <f>'Expenditures 15-22'!D257</f>
        <v>1349</v>
      </c>
      <c r="C1424" s="2" t="s">
        <v>573</v>
      </c>
      <c r="D1424" s="2" t="str">
        <f t="shared" si="21"/>
        <v>Error?</v>
      </c>
    </row>
    <row r="1425" spans="1:4" x14ac:dyDescent="0.2">
      <c r="A1425" s="5">
        <v>1364</v>
      </c>
      <c r="B1425" s="138">
        <f>'Expenditures 15-22'!D259</f>
        <v>10066</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10066</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5859</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24833</v>
      </c>
      <c r="D1431" s="2" t="str">
        <f t="shared" si="21"/>
        <v>Error?</v>
      </c>
    </row>
    <row r="1432" spans="1:4" x14ac:dyDescent="0.2">
      <c r="A1432" s="5">
        <v>1371</v>
      </c>
      <c r="B1432" s="138">
        <f>'Expenditures 15-22'!D267</f>
        <v>17696</v>
      </c>
      <c r="D1432" s="2" t="str">
        <f t="shared" si="21"/>
        <v>Error?</v>
      </c>
    </row>
    <row r="1433" spans="1:4" x14ac:dyDescent="0.2">
      <c r="A1433" s="5">
        <v>1372</v>
      </c>
      <c r="B1433" s="138">
        <f>'Expenditures 15-22'!D268</f>
        <v>8150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56538</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5472</v>
      </c>
      <c r="D1445" s="2" t="str">
        <f t="shared" si="21"/>
        <v>Error?</v>
      </c>
    </row>
    <row r="1446" spans="1:4" x14ac:dyDescent="0.2">
      <c r="A1446" s="5">
        <v>1385</v>
      </c>
      <c r="B1446" s="138">
        <f>'Expenditures 15-22'!D279</f>
        <v>80420</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131712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1612</v>
      </c>
      <c r="C1471" s="2" t="s">
        <v>573</v>
      </c>
      <c r="D1471" s="2" t="str">
        <f t="shared" ref="D1471:D1534" si="22">IF(ISBLANK(B1471),"OK",IF(A1471-B1471=0,"OK","Error?"))</f>
        <v>Error?</v>
      </c>
    </row>
    <row r="1472" spans="1:4" x14ac:dyDescent="0.2">
      <c r="A1472" s="5">
        <v>1411</v>
      </c>
      <c r="B1472" s="138">
        <f>'Expenditures 15-22'!K223</f>
        <v>3001</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51292</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773</v>
      </c>
      <c r="C1476" s="2" t="s">
        <v>573</v>
      </c>
      <c r="D1476" s="2" t="str">
        <f t="shared" si="22"/>
        <v>Error?</v>
      </c>
    </row>
    <row r="1477" spans="1:4" x14ac:dyDescent="0.2">
      <c r="A1477" s="5">
        <v>1416</v>
      </c>
      <c r="B1477" s="138">
        <f>'Expenditures 15-22'!K234</f>
        <v>6222</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6995</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0</v>
      </c>
      <c r="C1485" s="2" t="s">
        <v>573</v>
      </c>
      <c r="D1485" s="2" t="str">
        <f t="shared" si="22"/>
        <v>Error?</v>
      </c>
    </row>
    <row r="1486" spans="1:4" x14ac:dyDescent="0.2">
      <c r="A1486" s="5">
        <v>1425</v>
      </c>
      <c r="B1486" s="138">
        <f>'Expenditures 15-22'!K245</f>
        <v>176</v>
      </c>
      <c r="C1486" s="2" t="s">
        <v>573</v>
      </c>
      <c r="D1486" s="2" t="str">
        <f t="shared" si="22"/>
        <v>Error?</v>
      </c>
    </row>
    <row r="1487" spans="1:4" x14ac:dyDescent="0.2">
      <c r="A1487" s="5">
        <v>1426</v>
      </c>
      <c r="B1487" s="138">
        <f>'Expenditures 15-22'!K246</f>
        <v>1173</v>
      </c>
      <c r="C1487" s="2" t="s">
        <v>573</v>
      </c>
      <c r="D1487" s="2" t="str">
        <f t="shared" si="22"/>
        <v>Error?</v>
      </c>
    </row>
    <row r="1488" spans="1:4" x14ac:dyDescent="0.2">
      <c r="A1488" s="5">
        <v>1427</v>
      </c>
      <c r="B1488" s="138">
        <f>'Expenditures 15-22'!K257</f>
        <v>1349</v>
      </c>
      <c r="C1488" s="2" t="s">
        <v>573</v>
      </c>
      <c r="D1488" s="2" t="str">
        <f t="shared" si="22"/>
        <v>Error?</v>
      </c>
    </row>
    <row r="1489" spans="1:4" x14ac:dyDescent="0.2">
      <c r="A1489" s="5">
        <v>1428</v>
      </c>
      <c r="B1489" s="138">
        <f>'Expenditures 15-22'!K259</f>
        <v>10066</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10066</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5859</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24833</v>
      </c>
      <c r="C1495" s="2" t="s">
        <v>573</v>
      </c>
      <c r="D1495" s="2" t="str">
        <f t="shared" si="22"/>
        <v>Error?</v>
      </c>
    </row>
    <row r="1496" spans="1:4" x14ac:dyDescent="0.2">
      <c r="A1496" s="5">
        <v>1435</v>
      </c>
      <c r="B1496" s="138">
        <f>'Expenditures 15-22'!K267</f>
        <v>17696</v>
      </c>
      <c r="C1496" s="2" t="s">
        <v>573</v>
      </c>
      <c r="D1496" s="2" t="str">
        <f t="shared" si="22"/>
        <v>Error?</v>
      </c>
    </row>
    <row r="1497" spans="1:4" x14ac:dyDescent="0.2">
      <c r="A1497" s="5">
        <v>1436</v>
      </c>
      <c r="B1497" s="138">
        <f>'Expenditures 15-22'!K268</f>
        <v>8150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56538</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5472</v>
      </c>
      <c r="C1509" s="2" t="s">
        <v>573</v>
      </c>
      <c r="D1509" s="2" t="str">
        <f t="shared" si="22"/>
        <v>Error?</v>
      </c>
    </row>
    <row r="1510" spans="1:4" x14ac:dyDescent="0.2">
      <c r="A1510" s="5">
        <v>1449</v>
      </c>
      <c r="B1510" s="138">
        <f>'Expenditures 15-22'!K279</f>
        <v>80420</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131712</v>
      </c>
      <c r="C1517" s="2" t="s">
        <v>573</v>
      </c>
      <c r="D1517" s="2" t="str">
        <f t="shared" si="22"/>
        <v>Error?</v>
      </c>
    </row>
    <row r="1518" spans="1:4" x14ac:dyDescent="0.2">
      <c r="A1518" s="5">
        <v>1457</v>
      </c>
      <c r="B1518" s="138">
        <f>'Expenditures 15-22'!K296</f>
        <v>32387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878323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481642</v>
      </c>
      <c r="C1630" s="2" t="s">
        <v>573</v>
      </c>
      <c r="D1630" s="2" t="str">
        <f t="shared" si="24"/>
        <v>Error?</v>
      </c>
    </row>
    <row r="1631" spans="1:4" x14ac:dyDescent="0.2">
      <c r="A1631" s="5">
        <v>1570</v>
      </c>
      <c r="B1631" s="138">
        <f>'Acct Summary 7-8'!D79</f>
        <v>622039</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583048</v>
      </c>
      <c r="C1644" s="2" t="s">
        <v>573</v>
      </c>
      <c r="D1644" s="2" t="str">
        <f t="shared" si="24"/>
        <v>Error?</v>
      </c>
    </row>
    <row r="1645" spans="1:4" x14ac:dyDescent="0.2">
      <c r="A1645" s="5">
        <v>1584</v>
      </c>
      <c r="B1645" s="138">
        <f>'Acct Summary 7-8'!E79</f>
        <v>45518</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45226</v>
      </c>
      <c r="C1658" s="2" t="s">
        <v>573</v>
      </c>
      <c r="D1658" s="2" t="str">
        <f t="shared" si="24"/>
        <v>Error?</v>
      </c>
    </row>
    <row r="1659" spans="1:4" x14ac:dyDescent="0.2">
      <c r="A1659" s="5">
        <v>1598</v>
      </c>
      <c r="B1659" s="138">
        <f>'Acct Summary 7-8'!F79</f>
        <v>67022</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130208</v>
      </c>
      <c r="C1672" s="2" t="s">
        <v>573</v>
      </c>
      <c r="D1672" s="2" t="str">
        <f t="shared" si="25"/>
        <v>Error?</v>
      </c>
    </row>
    <row r="1673" spans="1:4" x14ac:dyDescent="0.2">
      <c r="A1673" s="5">
        <v>1612</v>
      </c>
      <c r="B1673" s="138">
        <f>'Acct Summary 7-8'!G79</f>
        <v>60010</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92397</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1419360</v>
      </c>
      <c r="C1744" s="2" t="s">
        <v>573</v>
      </c>
      <c r="D1744" s="2" t="str">
        <f t="shared" si="26"/>
        <v>Error?</v>
      </c>
    </row>
    <row r="1745" spans="1:5" x14ac:dyDescent="0.2">
      <c r="A1745" s="5">
        <v>1684</v>
      </c>
      <c r="B1745" s="138">
        <f>'Tax Sched 23'!B5</f>
        <v>298816</v>
      </c>
      <c r="C1745" s="2" t="s">
        <v>573</v>
      </c>
      <c r="D1745" s="2" t="str">
        <f t="shared" si="26"/>
        <v>Error?</v>
      </c>
    </row>
    <row r="1746" spans="1:5" x14ac:dyDescent="0.2">
      <c r="A1746" s="5">
        <v>1685</v>
      </c>
      <c r="B1746" s="138">
        <f>'Tax Sched 23'!B6</f>
        <v>149426</v>
      </c>
      <c r="C1746" s="2" t="s">
        <v>573</v>
      </c>
      <c r="D1746" s="2" t="str">
        <f t="shared" si="26"/>
        <v>Error?</v>
      </c>
    </row>
    <row r="1747" spans="1:5" x14ac:dyDescent="0.2">
      <c r="A1747" s="5">
        <v>1686</v>
      </c>
      <c r="B1747" s="138">
        <f>'Tax Sched 23'!B7</f>
        <v>84664</v>
      </c>
      <c r="C1747" s="2" t="s">
        <v>573</v>
      </c>
      <c r="D1747" s="2" t="str">
        <f t="shared" si="26"/>
        <v>Error?</v>
      </c>
    </row>
    <row r="1748" spans="1:5" x14ac:dyDescent="0.2">
      <c r="A1748" s="5">
        <v>1687</v>
      </c>
      <c r="B1748" s="138">
        <f>'Tax Sched 23'!B8</f>
        <v>69724</v>
      </c>
      <c r="C1748" s="2" t="s">
        <v>573</v>
      </c>
      <c r="D1748" s="2" t="str">
        <f t="shared" si="26"/>
        <v>Error?</v>
      </c>
    </row>
    <row r="1749" spans="1:5" x14ac:dyDescent="0.2">
      <c r="A1749" s="5">
        <v>1688</v>
      </c>
      <c r="B1749" s="138">
        <f>'Tax Sched 23'!B10</f>
        <v>20921</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311763</v>
      </c>
      <c r="C1752" s="2" t="s">
        <v>573</v>
      </c>
      <c r="D1752" s="2" t="str">
        <f t="shared" si="26"/>
        <v>Error?</v>
      </c>
    </row>
    <row r="1753" spans="1:5" x14ac:dyDescent="0.2">
      <c r="A1753" s="5">
        <v>1692</v>
      </c>
      <c r="B1753" s="138">
        <f>'Tax Sched 23'!B12</f>
        <v>20921</v>
      </c>
      <c r="C1753" s="2" t="s">
        <v>573</v>
      </c>
      <c r="D1753" s="2" t="str">
        <f t="shared" si="26"/>
        <v>Error?</v>
      </c>
    </row>
    <row r="1754" spans="1:5" x14ac:dyDescent="0.2">
      <c r="A1754" s="5">
        <v>1693</v>
      </c>
      <c r="B1754" s="138">
        <f>'Tax Sched 23'!B14</f>
        <v>16936</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2503098</v>
      </c>
      <c r="C1759" s="2" t="s">
        <v>573</v>
      </c>
      <c r="D1759" s="2" t="str">
        <f t="shared" si="26"/>
        <v>Error?</v>
      </c>
    </row>
    <row r="1760" spans="1:5" x14ac:dyDescent="0.2">
      <c r="A1760" s="5">
        <v>1699</v>
      </c>
      <c r="B1760" s="138">
        <f>'Tax Sched 23'!D4</f>
        <v>1419360</v>
      </c>
      <c r="C1760" s="2" t="s">
        <v>573</v>
      </c>
      <c r="D1760" s="2" t="str">
        <f t="shared" si="26"/>
        <v>Error?</v>
      </c>
    </row>
    <row r="1761" spans="1:5" x14ac:dyDescent="0.2">
      <c r="A1761" s="5">
        <v>1700</v>
      </c>
      <c r="B1761" s="138">
        <f>'Tax Sched 23'!D5</f>
        <v>298816</v>
      </c>
      <c r="C1761" s="2" t="s">
        <v>573</v>
      </c>
      <c r="D1761" s="2" t="str">
        <f t="shared" si="26"/>
        <v>Error?</v>
      </c>
    </row>
    <row r="1762" spans="1:5" s="8" customFormat="1" x14ac:dyDescent="0.2">
      <c r="A1762" s="5">
        <v>1701</v>
      </c>
      <c r="B1762" s="138">
        <f>'Tax Sched 23'!D6</f>
        <v>149426</v>
      </c>
      <c r="C1762" s="2" t="s">
        <v>573</v>
      </c>
      <c r="D1762" s="2" t="str">
        <f t="shared" si="26"/>
        <v>Error?</v>
      </c>
      <c r="E1762" s="9"/>
    </row>
    <row r="1763" spans="1:5" x14ac:dyDescent="0.2">
      <c r="A1763" s="5">
        <v>1702</v>
      </c>
      <c r="B1763" s="138">
        <f>'Tax Sched 23'!D7</f>
        <v>84664</v>
      </c>
      <c r="C1763" s="2" t="s">
        <v>573</v>
      </c>
      <c r="D1763" s="2" t="str">
        <f t="shared" si="26"/>
        <v>Error?</v>
      </c>
    </row>
    <row r="1764" spans="1:5" x14ac:dyDescent="0.2">
      <c r="A1764" s="5">
        <v>1703</v>
      </c>
      <c r="B1764" s="138">
        <f>'Tax Sched 23'!D8</f>
        <v>69724</v>
      </c>
      <c r="C1764" s="2" t="s">
        <v>573</v>
      </c>
      <c r="D1764" s="2" t="str">
        <f t="shared" si="26"/>
        <v>Error?</v>
      </c>
    </row>
    <row r="1765" spans="1:5" x14ac:dyDescent="0.2">
      <c r="A1765" s="5">
        <v>1704</v>
      </c>
      <c r="B1765" s="138">
        <f>'Tax Sched 23'!D10</f>
        <v>20921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311763</v>
      </c>
      <c r="C1768" s="2" t="s">
        <v>573</v>
      </c>
      <c r="D1768" s="2" t="str">
        <f t="shared" si="26"/>
        <v>Error?</v>
      </c>
    </row>
    <row r="1769" spans="1:5" x14ac:dyDescent="0.2">
      <c r="A1769" s="5">
        <v>1708</v>
      </c>
      <c r="B1769" s="138">
        <f>'Tax Sched 23'!D12</f>
        <v>20921</v>
      </c>
      <c r="C1769" s="2" t="s">
        <v>573</v>
      </c>
      <c r="D1769" s="2" t="str">
        <f t="shared" si="26"/>
        <v>Error?</v>
      </c>
    </row>
    <row r="1770" spans="1:5" x14ac:dyDescent="0.2">
      <c r="A1770" s="5">
        <v>1709</v>
      </c>
      <c r="B1770" s="138">
        <f>'Tax Sched 23'!D14</f>
        <v>16936</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2503098</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1506666.4009485</v>
      </c>
      <c r="C1792" s="2" t="s">
        <v>573</v>
      </c>
      <c r="D1792" s="2" t="str">
        <f t="shared" si="27"/>
        <v>Error?</v>
      </c>
    </row>
    <row r="1793" spans="1:4" x14ac:dyDescent="0.2">
      <c r="A1793" s="5">
        <v>1732</v>
      </c>
      <c r="B1793" s="138">
        <f>'Tax Sched 23'!F5</f>
        <v>319599.01855050004</v>
      </c>
      <c r="C1793" s="2" t="s">
        <v>573</v>
      </c>
      <c r="D1793" s="2" t="str">
        <f t="shared" si="27"/>
        <v>Error?</v>
      </c>
    </row>
    <row r="1794" spans="1:4" x14ac:dyDescent="0.2">
      <c r="A1794" s="5">
        <v>1733</v>
      </c>
      <c r="B1794" s="138">
        <f>'Tax Sched 23'!F6</f>
        <v>147502.5663525</v>
      </c>
      <c r="C1794" s="2" t="s">
        <v>573</v>
      </c>
      <c r="D1794" s="2" t="str">
        <f t="shared" si="27"/>
        <v>Error?</v>
      </c>
    </row>
    <row r="1795" spans="1:4" x14ac:dyDescent="0.2">
      <c r="A1795" s="5">
        <v>1734</v>
      </c>
      <c r="B1795" s="138">
        <f>'Tax Sched 23'!F7</f>
        <v>91314.672868499998</v>
      </c>
      <c r="C1795" s="2" t="s">
        <v>573</v>
      </c>
      <c r="D1795" s="2" t="str">
        <f t="shared" si="27"/>
        <v>Error?</v>
      </c>
    </row>
    <row r="1796" spans="1:4" x14ac:dyDescent="0.2">
      <c r="A1796" s="5">
        <v>1735</v>
      </c>
      <c r="B1796" s="138">
        <f>'Tax Sched 23'!F8</f>
        <v>71683.490189999997</v>
      </c>
      <c r="C1796" s="2" t="s">
        <v>573</v>
      </c>
      <c r="D1796" s="2" t="str">
        <f t="shared" si="27"/>
        <v>Error?</v>
      </c>
    </row>
    <row r="1797" spans="1:4" x14ac:dyDescent="0.2">
      <c r="A1797" s="5">
        <v>1736</v>
      </c>
      <c r="B1797" s="138">
        <f>'Tax Sched 23'!F10</f>
        <v>22832.172950999997</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313000.77290849999</v>
      </c>
      <c r="C1800" s="2" t="s">
        <v>573</v>
      </c>
      <c r="D1800" s="2" t="str">
        <f t="shared" si="27"/>
        <v>Error?</v>
      </c>
    </row>
    <row r="1801" spans="1:4" x14ac:dyDescent="0.2">
      <c r="A1801" s="5">
        <v>1740</v>
      </c>
      <c r="B1801" s="138">
        <f>'Tax Sched 23'!F12</f>
        <v>22832.172950999997</v>
      </c>
      <c r="C1801" s="2" t="s">
        <v>573</v>
      </c>
      <c r="D1801" s="2" t="str">
        <f t="shared" si="27"/>
        <v>Error?</v>
      </c>
    </row>
    <row r="1802" spans="1:4" x14ac:dyDescent="0.2">
      <c r="A1802" s="5">
        <v>1741</v>
      </c>
      <c r="B1802" s="138">
        <f>'Tax Sched 23'!F14</f>
        <v>18266.672956500002</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2627844.7864964996</v>
      </c>
      <c r="C1807" s="2" t="s">
        <v>573</v>
      </c>
      <c r="D1807" s="2" t="str">
        <f t="shared" si="27"/>
        <v>Error?</v>
      </c>
    </row>
    <row r="1808" spans="1:4" x14ac:dyDescent="0.2">
      <c r="A1808" s="5">
        <v>1747</v>
      </c>
      <c r="B1808" s="138">
        <f>'Tax Sched 23'!E4</f>
        <v>1506666.4009485</v>
      </c>
      <c r="D1808" s="2" t="str">
        <f t="shared" si="27"/>
        <v>Error?</v>
      </c>
    </row>
    <row r="1809" spans="1:4" x14ac:dyDescent="0.2">
      <c r="A1809" s="5">
        <v>1748</v>
      </c>
      <c r="B1809" s="138">
        <f>'Tax Sched 23'!E5</f>
        <v>319599.01855050004</v>
      </c>
      <c r="D1809" s="2" t="str">
        <f t="shared" si="27"/>
        <v>Error?</v>
      </c>
    </row>
    <row r="1810" spans="1:4" x14ac:dyDescent="0.2">
      <c r="A1810" s="5">
        <v>1749</v>
      </c>
      <c r="B1810" s="138">
        <f>'Tax Sched 23'!E6</f>
        <v>147502.5663525</v>
      </c>
      <c r="D1810" s="2" t="str">
        <f t="shared" si="27"/>
        <v>Error?</v>
      </c>
    </row>
    <row r="1811" spans="1:4" x14ac:dyDescent="0.2">
      <c r="A1811" s="5">
        <v>1750</v>
      </c>
      <c r="B1811" s="138">
        <f>'Tax Sched 23'!E7</f>
        <v>91314.672868499998</v>
      </c>
      <c r="D1811" s="2" t="str">
        <f t="shared" si="27"/>
        <v>Error?</v>
      </c>
    </row>
    <row r="1812" spans="1:4" x14ac:dyDescent="0.2">
      <c r="A1812" s="5">
        <v>1751</v>
      </c>
      <c r="B1812" s="138">
        <f>'Tax Sched 23'!E8</f>
        <v>71683.490189999997</v>
      </c>
      <c r="D1812" s="2" t="str">
        <f t="shared" si="27"/>
        <v>Error?</v>
      </c>
    </row>
    <row r="1813" spans="1:4" x14ac:dyDescent="0.2">
      <c r="A1813" s="5">
        <v>1752</v>
      </c>
      <c r="B1813" s="138">
        <f>'Tax Sched 23'!E10</f>
        <v>22832.172950999997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313000.77290849999</v>
      </c>
      <c r="D1816" s="2" t="str">
        <f t="shared" si="27"/>
        <v>Error?</v>
      </c>
    </row>
    <row r="1817" spans="1:4" x14ac:dyDescent="0.2">
      <c r="A1817" s="5">
        <v>1756</v>
      </c>
      <c r="B1817" s="138">
        <f>'Tax Sched 23'!E12</f>
        <v>22832.172950999997</v>
      </c>
      <c r="D1817" s="2" t="str">
        <f t="shared" si="27"/>
        <v>Error?</v>
      </c>
    </row>
    <row r="1818" spans="1:4" x14ac:dyDescent="0.2">
      <c r="A1818" s="5">
        <v>1757</v>
      </c>
      <c r="B1818" s="138">
        <f>'Tax Sched 23'!E14</f>
        <v>18266.672956500002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2627844.7864964996</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773574</v>
      </c>
      <c r="C1939" s="2" t="s">
        <v>573</v>
      </c>
      <c r="D1939" s="2" t="str">
        <f t="shared" si="29"/>
        <v>Error?</v>
      </c>
    </row>
    <row r="1940" spans="1:5" x14ac:dyDescent="0.2">
      <c r="A1940" s="5">
        <v>1879</v>
      </c>
      <c r="B1940" s="138">
        <f>'Short-Term Long-Term Debt 24'!F49</f>
        <v>587651</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16936</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16936</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16936</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48291</v>
      </c>
      <c r="D2008" s="2" t="str">
        <f t="shared" si="30"/>
        <v>Error?</v>
      </c>
    </row>
    <row r="2009" spans="1:4" x14ac:dyDescent="0.2">
      <c r="A2009" s="5">
        <v>1948</v>
      </c>
      <c r="B2009" s="138">
        <f>'Cap Outlay Deprec 26'!C8</f>
        <v>3727823</v>
      </c>
      <c r="D2009" s="2" t="str">
        <f t="shared" si="30"/>
        <v>Error?</v>
      </c>
    </row>
    <row r="2010" spans="1:4" x14ac:dyDescent="0.2">
      <c r="A2010" s="5">
        <v>1949</v>
      </c>
      <c r="B2010" s="138">
        <f>'Cap Outlay Deprec 26'!C10</f>
        <v>232421</v>
      </c>
      <c r="D2010" s="2" t="str">
        <f t="shared" si="30"/>
        <v>Error?</v>
      </c>
    </row>
    <row r="2011" spans="1:4" x14ac:dyDescent="0.2">
      <c r="A2011" s="5">
        <v>1950</v>
      </c>
      <c r="B2011" s="138">
        <f>'Cap Outlay Deprec 26'!C12</f>
        <v>844476</v>
      </c>
      <c r="D2011" s="2" t="str">
        <f t="shared" si="30"/>
        <v>Error?</v>
      </c>
    </row>
    <row r="2012" spans="1:4" x14ac:dyDescent="0.2">
      <c r="A2012" s="5">
        <v>1951</v>
      </c>
      <c r="B2012" s="138">
        <f>'Cap Outlay Deprec 26'!C13</f>
        <v>565802</v>
      </c>
      <c r="D2012" s="2" t="str">
        <f t="shared" si="30"/>
        <v>Error?</v>
      </c>
    </row>
    <row r="2013" spans="1:4" x14ac:dyDescent="0.2">
      <c r="A2013" s="5">
        <v>1952</v>
      </c>
      <c r="B2013" s="138">
        <f>'Cap Outlay Deprec 26'!C16</f>
        <v>5418813</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45088</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14335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59423</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48291</v>
      </c>
      <c r="C2026" s="2" t="s">
        <v>573</v>
      </c>
      <c r="D2026" s="2" t="str">
        <f t="shared" si="30"/>
        <v>Error?</v>
      </c>
    </row>
    <row r="2027" spans="1:4" x14ac:dyDescent="0.2">
      <c r="A2027" s="5">
        <v>1966</v>
      </c>
      <c r="B2027" s="138">
        <f>'Cap Outlay Deprec 26'!F8</f>
        <v>3772911</v>
      </c>
      <c r="C2027" s="2" t="s">
        <v>573</v>
      </c>
      <c r="D2027" s="2" t="str">
        <f t="shared" si="30"/>
        <v>Error?</v>
      </c>
    </row>
    <row r="2028" spans="1:4" x14ac:dyDescent="0.2">
      <c r="A2028" s="5">
        <v>1967</v>
      </c>
      <c r="B2028" s="138">
        <f>'Cap Outlay Deprec 26'!F10</f>
        <v>232421</v>
      </c>
      <c r="C2028" s="2" t="s">
        <v>573</v>
      </c>
      <c r="D2028" s="2" t="str">
        <f t="shared" si="30"/>
        <v>Error?</v>
      </c>
    </row>
    <row r="2029" spans="1:4" x14ac:dyDescent="0.2">
      <c r="A2029" s="5">
        <v>1968</v>
      </c>
      <c r="B2029" s="138">
        <f>'Cap Outlay Deprec 26'!F12</f>
        <v>858811</v>
      </c>
      <c r="C2029" s="2" t="s">
        <v>573</v>
      </c>
      <c r="D2029" s="2" t="str">
        <f t="shared" si="30"/>
        <v>Error?</v>
      </c>
    </row>
    <row r="2030" spans="1:4" x14ac:dyDescent="0.2">
      <c r="A2030" s="5">
        <v>1969</v>
      </c>
      <c r="B2030" s="138">
        <f>'Cap Outlay Deprec 26'!F13</f>
        <v>565802</v>
      </c>
      <c r="C2030" s="2" t="s">
        <v>573</v>
      </c>
      <c r="D2030" s="2" t="str">
        <f t="shared" si="30"/>
        <v>Error?</v>
      </c>
    </row>
    <row r="2031" spans="1:4" x14ac:dyDescent="0.2">
      <c r="A2031" s="5">
        <v>1970</v>
      </c>
      <c r="B2031" s="138">
        <f>'Cap Outlay Deprec 26'!F16</f>
        <v>5478236</v>
      </c>
      <c r="C2031" s="2" t="s">
        <v>573</v>
      </c>
      <c r="D2031" s="2" t="str">
        <f t="shared" si="30"/>
        <v>Error?</v>
      </c>
    </row>
    <row r="2032" spans="1:4" x14ac:dyDescent="0.2">
      <c r="A2032" s="10">
        <v>1971</v>
      </c>
      <c r="D2032" s="2" t="str">
        <f t="shared" si="30"/>
        <v>OK</v>
      </c>
    </row>
    <row r="2033" spans="1:4" x14ac:dyDescent="0.2">
      <c r="A2033" s="5">
        <v>1972</v>
      </c>
      <c r="B2033" s="138">
        <f>'Cap Outlay Deprec 26'!H8</f>
        <v>1948013</v>
      </c>
      <c r="D2033" s="2" t="str">
        <f t="shared" si="30"/>
        <v>Error?</v>
      </c>
    </row>
    <row r="2034" spans="1:4" x14ac:dyDescent="0.2">
      <c r="A2034" s="5">
        <v>1973</v>
      </c>
      <c r="B2034" s="138">
        <f>'Cap Outlay Deprec 26'!H10</f>
        <v>126354</v>
      </c>
      <c r="D2034" s="2" t="str">
        <f t="shared" si="30"/>
        <v>Error?</v>
      </c>
    </row>
    <row r="2035" spans="1:4" x14ac:dyDescent="0.2">
      <c r="A2035" s="5">
        <v>1974</v>
      </c>
      <c r="B2035" s="138">
        <f>'Cap Outlay Deprec 26'!H12</f>
        <v>494175</v>
      </c>
      <c r="D2035" s="2" t="str">
        <f t="shared" si="30"/>
        <v>Error?</v>
      </c>
    </row>
    <row r="2036" spans="1:4" x14ac:dyDescent="0.2">
      <c r="A2036" s="5">
        <v>1975</v>
      </c>
      <c r="B2036" s="138">
        <f>'Cap Outlay Deprec 26'!H13</f>
        <v>467670</v>
      </c>
      <c r="D2036" s="2" t="str">
        <f t="shared" si="30"/>
        <v>Error?</v>
      </c>
    </row>
    <row r="2037" spans="1:4" x14ac:dyDescent="0.2">
      <c r="A2037" s="5">
        <v>1976</v>
      </c>
      <c r="B2037" s="138">
        <f>'Cap Outlay Deprec 26'!H16</f>
        <v>3036212</v>
      </c>
      <c r="C2037" s="2" t="s">
        <v>573</v>
      </c>
      <c r="D2037" s="2" t="str">
        <f t="shared" si="30"/>
        <v>Error?</v>
      </c>
    </row>
    <row r="2038" spans="1:4" x14ac:dyDescent="0.2">
      <c r="A2038" s="10">
        <v>1977</v>
      </c>
      <c r="D2038" s="2" t="str">
        <f t="shared" si="30"/>
        <v>OK</v>
      </c>
    </row>
    <row r="2039" spans="1:4" x14ac:dyDescent="0.2">
      <c r="A2039" s="5">
        <v>1978</v>
      </c>
      <c r="B2039" s="138">
        <f>'Cap Outlay Deprec 26'!I8</f>
        <v>55377</v>
      </c>
      <c r="D2039" s="2" t="str">
        <f t="shared" si="30"/>
        <v>Error?</v>
      </c>
    </row>
    <row r="2040" spans="1:4" x14ac:dyDescent="0.2">
      <c r="A2040" s="5">
        <v>1979</v>
      </c>
      <c r="B2040" s="138">
        <f>'Cap Outlay Deprec 26'!I10</f>
        <v>8785</v>
      </c>
      <c r="D2040" s="2" t="str">
        <f t="shared" si="30"/>
        <v>Error?</v>
      </c>
    </row>
    <row r="2041" spans="1:4" x14ac:dyDescent="0.2">
      <c r="A2041" s="5">
        <v>1980</v>
      </c>
      <c r="B2041" s="138">
        <f>'Cap Outlay Deprec 26'!I12</f>
        <v>72029</v>
      </c>
      <c r="D2041" s="2" t="str">
        <f t="shared" si="30"/>
        <v>Error?</v>
      </c>
    </row>
    <row r="2042" spans="1:4" x14ac:dyDescent="0.2">
      <c r="A2042" s="5">
        <v>1981</v>
      </c>
      <c r="B2042" s="138">
        <f>'Cap Outlay Deprec 26'!I13</f>
        <v>83167</v>
      </c>
      <c r="D2042" s="2" t="str">
        <f t="shared" si="30"/>
        <v>Error?</v>
      </c>
    </row>
    <row r="2043" spans="1:4" x14ac:dyDescent="0.2">
      <c r="A2043" s="5">
        <v>1982</v>
      </c>
      <c r="B2043" s="138">
        <f>'Cap Outlay Deprec 26'!I16</f>
        <v>219358</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2003390</v>
      </c>
      <c r="C2051" s="2" t="s">
        <v>573</v>
      </c>
      <c r="D2051" s="2" t="str">
        <f t="shared" si="31"/>
        <v>Error?</v>
      </c>
    </row>
    <row r="2052" spans="1:4" x14ac:dyDescent="0.2">
      <c r="A2052" s="5">
        <v>1991</v>
      </c>
      <c r="B2052" s="138">
        <f>'Cap Outlay Deprec 26'!K10</f>
        <v>135139</v>
      </c>
      <c r="C2052" s="2" t="s">
        <v>573</v>
      </c>
      <c r="D2052" s="2" t="str">
        <f t="shared" si="31"/>
        <v>Error?</v>
      </c>
    </row>
    <row r="2053" spans="1:4" x14ac:dyDescent="0.2">
      <c r="A2053" s="5">
        <v>1992</v>
      </c>
      <c r="B2053" s="138">
        <f>'Cap Outlay Deprec 26'!K12</f>
        <v>566204</v>
      </c>
      <c r="C2053" s="2" t="s">
        <v>573</v>
      </c>
      <c r="D2053" s="2" t="str">
        <f t="shared" si="31"/>
        <v>Error?</v>
      </c>
    </row>
    <row r="2054" spans="1:4" x14ac:dyDescent="0.2">
      <c r="A2054" s="5">
        <v>1993</v>
      </c>
      <c r="B2054" s="138">
        <f>'Cap Outlay Deprec 26'!K13</f>
        <v>550837</v>
      </c>
      <c r="C2054" s="2" t="s">
        <v>573</v>
      </c>
      <c r="D2054" s="2" t="str">
        <f t="shared" si="31"/>
        <v>Error?</v>
      </c>
    </row>
    <row r="2055" spans="1:4" x14ac:dyDescent="0.2">
      <c r="A2055" s="5">
        <v>1994</v>
      </c>
      <c r="B2055" s="138">
        <f>'Cap Outlay Deprec 26'!K16</f>
        <v>3255570</v>
      </c>
      <c r="C2055" s="2" t="s">
        <v>573</v>
      </c>
      <c r="D2055" s="2" t="str">
        <f t="shared" si="31"/>
        <v>Error?</v>
      </c>
    </row>
    <row r="2056" spans="1:4" x14ac:dyDescent="0.2">
      <c r="A2056" s="5">
        <v>1995</v>
      </c>
      <c r="B2056" s="138">
        <f>'Cap Outlay Deprec 26'!L5</f>
        <v>48291</v>
      </c>
      <c r="C2056" s="2" t="s">
        <v>573</v>
      </c>
      <c r="D2056" s="2" t="str">
        <f t="shared" si="31"/>
        <v>Error?</v>
      </c>
    </row>
    <row r="2057" spans="1:4" x14ac:dyDescent="0.2">
      <c r="A2057" s="5">
        <v>1996</v>
      </c>
      <c r="B2057" s="138">
        <f>'Cap Outlay Deprec 26'!L8</f>
        <v>1769521</v>
      </c>
      <c r="C2057" s="2" t="s">
        <v>573</v>
      </c>
      <c r="D2057" s="2" t="str">
        <f t="shared" si="31"/>
        <v>Error?</v>
      </c>
    </row>
    <row r="2058" spans="1:4" x14ac:dyDescent="0.2">
      <c r="A2058" s="5">
        <v>1997</v>
      </c>
      <c r="B2058" s="138">
        <f>'Cap Outlay Deprec 26'!L10</f>
        <v>97282</v>
      </c>
      <c r="C2058" s="2" t="s">
        <v>573</v>
      </c>
      <c r="D2058" s="2" t="str">
        <f t="shared" si="31"/>
        <v>Error?</v>
      </c>
    </row>
    <row r="2059" spans="1:4" x14ac:dyDescent="0.2">
      <c r="A2059" s="5">
        <v>1998</v>
      </c>
      <c r="B2059" s="138">
        <f>'Cap Outlay Deprec 26'!L12</f>
        <v>292607</v>
      </c>
      <c r="C2059" s="2" t="s">
        <v>573</v>
      </c>
      <c r="D2059" s="2" t="str">
        <f t="shared" si="31"/>
        <v>Error?</v>
      </c>
    </row>
    <row r="2060" spans="1:4" x14ac:dyDescent="0.2">
      <c r="A2060" s="5">
        <v>1999</v>
      </c>
      <c r="B2060" s="138">
        <f>'Cap Outlay Deprec 26'!L13</f>
        <v>14965</v>
      </c>
      <c r="C2060" s="2" t="s">
        <v>573</v>
      </c>
      <c r="D2060" s="2" t="str">
        <f t="shared" si="31"/>
        <v>Error?</v>
      </c>
    </row>
    <row r="2061" spans="1:4" x14ac:dyDescent="0.2">
      <c r="A2061" s="5">
        <v>2000</v>
      </c>
      <c r="B2061" s="138">
        <f>'Cap Outlay Deprec 26'!L16</f>
        <v>2222666</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1997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30604</v>
      </c>
      <c r="C2088" s="2" t="s">
        <v>573</v>
      </c>
      <c r="D2088" s="2" t="str">
        <f t="shared" si="31"/>
        <v>Error?</v>
      </c>
    </row>
    <row r="2089" spans="1:4" x14ac:dyDescent="0.2">
      <c r="A2089" s="5">
        <v>2028</v>
      </c>
      <c r="B2089" s="138">
        <f>'Expenditures 15-22'!K92</f>
        <v>28704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9139</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34437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1547735</v>
      </c>
      <c r="C2551" s="2" t="s">
        <v>573</v>
      </c>
      <c r="D2551" s="2" t="str">
        <f t="shared" si="38"/>
        <v>Error?</v>
      </c>
    </row>
    <row r="2552" spans="1:4" x14ac:dyDescent="0.2">
      <c r="A2552" s="10">
        <v>2491</v>
      </c>
      <c r="D2552" s="2" t="str">
        <f t="shared" si="38"/>
        <v>OK</v>
      </c>
    </row>
    <row r="2553" spans="1:4" x14ac:dyDescent="0.2">
      <c r="A2553" s="5">
        <v>2492</v>
      </c>
      <c r="B2553" s="138">
        <f>'Acct Summary 7-8'!C6</f>
        <v>599305</v>
      </c>
      <c r="C2553" s="2" t="s">
        <v>573</v>
      </c>
      <c r="D2553" s="2" t="str">
        <f t="shared" si="38"/>
        <v>Error?</v>
      </c>
    </row>
    <row r="2554" spans="1:4" x14ac:dyDescent="0.2">
      <c r="A2554" s="5">
        <v>2493</v>
      </c>
      <c r="B2554" s="138">
        <f>'Acct Summary 7-8'!C7</f>
        <v>171050</v>
      </c>
      <c r="C2554" s="2" t="s">
        <v>573</v>
      </c>
      <c r="D2554" s="2" t="str">
        <f t="shared" si="38"/>
        <v>Error?</v>
      </c>
    </row>
    <row r="2555" spans="1:4" x14ac:dyDescent="0.2">
      <c r="A2555" s="5">
        <v>2494</v>
      </c>
      <c r="B2555" s="138">
        <f>'Acct Summary 7-8'!C8</f>
        <v>2318090</v>
      </c>
      <c r="C2555" s="2" t="s">
        <v>573</v>
      </c>
      <c r="D2555" s="2" t="str">
        <f t="shared" si="38"/>
        <v>Error?</v>
      </c>
    </row>
    <row r="2556" spans="1:4" x14ac:dyDescent="0.2">
      <c r="A2556" s="5">
        <v>2495</v>
      </c>
      <c r="B2556" s="138">
        <f>'Acct Summary 7-8'!C12</f>
        <v>1989437</v>
      </c>
      <c r="C2556" s="2" t="s">
        <v>573</v>
      </c>
      <c r="D2556" s="2" t="str">
        <f t="shared" si="38"/>
        <v>Error?</v>
      </c>
    </row>
    <row r="2557" spans="1:4" x14ac:dyDescent="0.2">
      <c r="A2557" s="5">
        <v>2496</v>
      </c>
      <c r="B2557" s="138">
        <f>'Acct Summary 7-8'!C13</f>
        <v>666026</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59308</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2714771</v>
      </c>
      <c r="C2561" s="2" t="s">
        <v>573</v>
      </c>
      <c r="D2561" s="2" t="str">
        <f t="shared" si="39"/>
        <v>Error?</v>
      </c>
    </row>
    <row r="2562" spans="1:4" x14ac:dyDescent="0.2">
      <c r="A2562" s="5">
        <v>2501</v>
      </c>
      <c r="B2562" s="138">
        <f>'Acct Summary 7-8'!C20</f>
        <v>-396681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306734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306734</v>
      </c>
      <c r="C2568" s="2" t="s">
        <v>573</v>
      </c>
      <c r="D2568" s="2" t="str">
        <f t="shared" si="39"/>
        <v>Error?</v>
      </c>
    </row>
    <row r="2569" spans="1:4" x14ac:dyDescent="0.2">
      <c r="A2569" s="5">
        <v>2508</v>
      </c>
      <c r="B2569" s="138">
        <f>'Acct Summary 7-8'!D13</f>
        <v>345725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345725</v>
      </c>
      <c r="C2573" s="2" t="s">
        <v>573</v>
      </c>
      <c r="D2573" s="2" t="str">
        <f t="shared" si="39"/>
        <v>Error?</v>
      </c>
    </row>
    <row r="2574" spans="1:4" x14ac:dyDescent="0.2">
      <c r="A2574" s="5">
        <v>2513</v>
      </c>
      <c r="B2574" s="138">
        <f>'Acct Summary 7-8'!D20</f>
        <v>-38991</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163835</v>
      </c>
      <c r="C2591" s="2" t="s">
        <v>573</v>
      </c>
      <c r="D2591" s="2" t="str">
        <f t="shared" si="39"/>
        <v>Error?</v>
      </c>
    </row>
    <row r="2592" spans="1:4" x14ac:dyDescent="0.2">
      <c r="A2592" s="10">
        <v>2531</v>
      </c>
      <c r="D2592" s="2" t="str">
        <f t="shared" si="39"/>
        <v>OK</v>
      </c>
    </row>
    <row r="2593" spans="1:4" x14ac:dyDescent="0.2">
      <c r="A2593" s="5">
        <v>2532</v>
      </c>
      <c r="B2593" s="138">
        <f>'Acct Summary 7-8'!F6</f>
        <v>167471</v>
      </c>
      <c r="C2593" s="2" t="s">
        <v>573</v>
      </c>
      <c r="D2593" s="2" t="str">
        <f t="shared" si="39"/>
        <v>Error?</v>
      </c>
    </row>
    <row r="2594" spans="1:4" x14ac:dyDescent="0.2">
      <c r="A2594" s="5">
        <v>2533</v>
      </c>
      <c r="B2594" s="138">
        <f>'Acct Summary 7-8'!F7</f>
        <v>5595</v>
      </c>
      <c r="C2594" s="2" t="s">
        <v>573</v>
      </c>
      <c r="D2594" s="2" t="str">
        <f t="shared" si="39"/>
        <v>Error?</v>
      </c>
    </row>
    <row r="2595" spans="1:4" x14ac:dyDescent="0.2">
      <c r="A2595" s="5">
        <v>2534</v>
      </c>
      <c r="B2595" s="138">
        <f>'Acct Summary 7-8'!F8</f>
        <v>336901</v>
      </c>
      <c r="C2595" s="2" t="s">
        <v>573</v>
      </c>
      <c r="D2595" s="2" t="str">
        <f t="shared" si="39"/>
        <v>Error?</v>
      </c>
    </row>
    <row r="2596" spans="1:4" x14ac:dyDescent="0.2">
      <c r="A2596" s="5">
        <v>2535</v>
      </c>
      <c r="B2596" s="138">
        <f>'Acct Summary 7-8'!F13</f>
        <v>163981</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25938</v>
      </c>
      <c r="C2598" s="2" t="s">
        <v>573</v>
      </c>
      <c r="D2598" s="2" t="str">
        <f t="shared" si="39"/>
        <v>Error?</v>
      </c>
    </row>
    <row r="2599" spans="1:4" x14ac:dyDescent="0.2">
      <c r="A2599" s="5">
        <v>2538</v>
      </c>
      <c r="B2599" s="138">
        <f>'Acct Summary 7-8'!F16</f>
        <v>83796</v>
      </c>
      <c r="C2599" s="2" t="s">
        <v>573</v>
      </c>
      <c r="D2599" s="2" t="str">
        <f t="shared" si="39"/>
        <v>Error?</v>
      </c>
    </row>
    <row r="2600" spans="1:4" x14ac:dyDescent="0.2">
      <c r="A2600" s="5">
        <v>2539</v>
      </c>
      <c r="B2600" s="138">
        <f>'Acct Summary 7-8'!F17</f>
        <v>273715</v>
      </c>
      <c r="C2600" s="2" t="s">
        <v>573</v>
      </c>
      <c r="D2600" s="2" t="str">
        <f t="shared" si="39"/>
        <v>Error?</v>
      </c>
    </row>
    <row r="2601" spans="1:4" x14ac:dyDescent="0.2">
      <c r="A2601" s="5">
        <v>2540</v>
      </c>
      <c r="B2601" s="138">
        <f>'Acct Summary 7-8'!F20</f>
        <v>63186</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164099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164099</v>
      </c>
      <c r="C2606" s="2" t="s">
        <v>573</v>
      </c>
      <c r="D2606" s="2" t="str">
        <f t="shared" si="39"/>
        <v>Error?</v>
      </c>
    </row>
    <row r="2607" spans="1:4" x14ac:dyDescent="0.2">
      <c r="A2607" s="5">
        <v>2546</v>
      </c>
      <c r="B2607" s="138">
        <f>'Acct Summary 7-8'!G12</f>
        <v>51292</v>
      </c>
      <c r="C2607" s="2" t="s">
        <v>573</v>
      </c>
      <c r="D2607" s="2" t="str">
        <f t="shared" si="39"/>
        <v>Error?</v>
      </c>
    </row>
    <row r="2608" spans="1:4" x14ac:dyDescent="0.2">
      <c r="A2608" s="5">
        <v>2547</v>
      </c>
      <c r="B2608" s="138">
        <f>'Acct Summary 7-8'!G13</f>
        <v>80420</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131712</v>
      </c>
      <c r="C2612" s="2" t="s">
        <v>573</v>
      </c>
      <c r="D2612" s="2" t="str">
        <f t="shared" si="39"/>
        <v>Error?</v>
      </c>
    </row>
    <row r="2613" spans="1:4" x14ac:dyDescent="0.2">
      <c r="A2613" s="5">
        <v>2552</v>
      </c>
      <c r="B2613" s="138">
        <f>'Acct Summary 7-8'!G20</f>
        <v>32387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149708</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149708</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150000</v>
      </c>
      <c r="C2634" s="2" t="s">
        <v>573</v>
      </c>
      <c r="D2634" s="2" t="str">
        <f t="shared" si="40"/>
        <v>Error?</v>
      </c>
    </row>
    <row r="2635" spans="1:4" x14ac:dyDescent="0.2">
      <c r="A2635" s="5">
        <v>2574</v>
      </c>
      <c r="B2635" s="138">
        <f>'Acct Summary 7-8'!E17</f>
        <v>150000</v>
      </c>
      <c r="C2635" s="2" t="s">
        <v>573</v>
      </c>
      <c r="D2635" s="2" t="str">
        <f t="shared" si="40"/>
        <v>Error?</v>
      </c>
    </row>
    <row r="2636" spans="1:4" x14ac:dyDescent="0.2">
      <c r="A2636" s="5">
        <v>2575</v>
      </c>
      <c r="B2636" s="138">
        <f>'Acct Summary 7-8'!E20</f>
        <v>-292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28607</v>
      </c>
      <c r="C2789" s="2" t="s">
        <v>573</v>
      </c>
      <c r="D2789" s="2" t="str">
        <f t="shared" si="42"/>
        <v>Error?</v>
      </c>
    </row>
    <row r="2790" spans="1:4" x14ac:dyDescent="0.2">
      <c r="A2790" s="5">
        <v>2729</v>
      </c>
      <c r="B2790" s="138">
        <f>'Expenditures 15-22'!E102</f>
        <v>28607</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25938</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25938</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542931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34273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542931</v>
      </c>
      <c r="D2912" s="2" t="str">
        <f t="shared" si="44"/>
        <v>Error?</v>
      </c>
    </row>
    <row r="2913" spans="1:4" x14ac:dyDescent="0.2">
      <c r="A2913" s="5">
        <v>2852</v>
      </c>
      <c r="B2913" s="138">
        <f>'Assets-Liab 5-6'!I41</f>
        <v>542931</v>
      </c>
      <c r="C2913" s="2" t="s">
        <v>573</v>
      </c>
      <c r="D2913" s="2" t="str">
        <f t="shared" si="44"/>
        <v>Error?</v>
      </c>
    </row>
    <row r="2914" spans="1:4" x14ac:dyDescent="0.2">
      <c r="A2914" s="5">
        <v>2853</v>
      </c>
      <c r="B2914" s="138">
        <f>'Assets-Liab 5-6'!L33</f>
        <v>21548</v>
      </c>
      <c r="D2914" s="2" t="str">
        <f t="shared" si="44"/>
        <v>Error?</v>
      </c>
    </row>
    <row r="2915" spans="1:4" x14ac:dyDescent="0.2">
      <c r="A2915" s="10">
        <v>2854</v>
      </c>
      <c r="D2915" s="2" t="str">
        <f t="shared" si="44"/>
        <v>OK</v>
      </c>
    </row>
    <row r="2916" spans="1:4" x14ac:dyDescent="0.2">
      <c r="A2916" s="5">
        <v>2855</v>
      </c>
      <c r="B2916" s="138">
        <f>'Assets-Liab 5-6'!L34</f>
        <v>21548</v>
      </c>
      <c r="C2916" s="2" t="s">
        <v>573</v>
      </c>
      <c r="D2916" s="2" t="str">
        <f t="shared" si="44"/>
        <v>Error?</v>
      </c>
    </row>
    <row r="2917" spans="1:4" x14ac:dyDescent="0.2">
      <c r="A2917" s="5">
        <v>2856</v>
      </c>
      <c r="B2917" s="138">
        <f>'Assets-Liab 5-6'!L41</f>
        <v>34273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26073</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294</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2240</v>
      </c>
      <c r="D2954" s="2" t="str">
        <f t="shared" si="45"/>
        <v>Error?</v>
      </c>
    </row>
    <row r="2955" spans="1:4" x14ac:dyDescent="0.2">
      <c r="A2955" s="5">
        <v>2894</v>
      </c>
      <c r="B2955" s="138">
        <f>'Expenditures 15-22'!H78</f>
        <v>1997</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1997</v>
      </c>
      <c r="C2973" s="2" t="s">
        <v>573</v>
      </c>
      <c r="D2973" s="2" t="str">
        <f t="shared" si="45"/>
        <v>Error?</v>
      </c>
    </row>
    <row r="2974" spans="1:4" x14ac:dyDescent="0.2">
      <c r="A2974" s="5">
        <v>2913</v>
      </c>
      <c r="B2974" s="138">
        <f>'Expenditures 15-22'!K79</f>
        <v>26073</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294</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2240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25878</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60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25878</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60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40000</v>
      </c>
      <c r="D3055" s="2" t="str">
        <f t="shared" si="46"/>
        <v>Error?</v>
      </c>
    </row>
    <row r="3056" spans="1:4" x14ac:dyDescent="0.2">
      <c r="A3056" s="5">
        <v>2995</v>
      </c>
      <c r="B3056" s="138">
        <f>'Expenditures 15-22'!D10</f>
        <v>4266</v>
      </c>
      <c r="D3056" s="2" t="str">
        <f t="shared" si="46"/>
        <v>Error?</v>
      </c>
    </row>
    <row r="3057" spans="1:4" x14ac:dyDescent="0.2">
      <c r="A3057" s="5">
        <v>2996</v>
      </c>
      <c r="B3057" s="138">
        <f>'Expenditures 15-22'!E10</f>
        <v>8303</v>
      </c>
      <c r="D3057" s="2" t="str">
        <f t="shared" si="46"/>
        <v>Error?</v>
      </c>
    </row>
    <row r="3058" spans="1:4" x14ac:dyDescent="0.2">
      <c r="A3058" s="5">
        <v>2997</v>
      </c>
      <c r="B3058" s="138">
        <f>'Expenditures 15-22'!F10</f>
        <v>14059</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66628</v>
      </c>
      <c r="C3062" s="2" t="s">
        <v>573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12725</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21911</v>
      </c>
      <c r="C3225" s="2" t="s">
        <v>573</v>
      </c>
      <c r="D3225" s="2" t="str">
        <f t="shared" si="49"/>
        <v>Error?</v>
      </c>
    </row>
    <row r="3226" spans="1:4" x14ac:dyDescent="0.2">
      <c r="A3226" s="5">
        <v>3165</v>
      </c>
      <c r="B3226" s="138">
        <f>'Acct Summary 7-8'!I8</f>
        <v>21911</v>
      </c>
      <c r="C3226" s="2" t="s">
        <v>573</v>
      </c>
      <c r="D3226" s="2" t="str">
        <f t="shared" si="49"/>
        <v>Error?</v>
      </c>
    </row>
    <row r="3227" spans="1:4" x14ac:dyDescent="0.2">
      <c r="A3227" s="5">
        <v>3166</v>
      </c>
      <c r="B3227" s="138">
        <f>'Acct Summary 7-8'!I20</f>
        <v>21911</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-396681</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-38991</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63186</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32387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-292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500000</v>
      </c>
      <c r="C3317" s="2" t="s">
        <v>573</v>
      </c>
      <c r="D3317" s="2" t="str">
        <f t="shared" si="50"/>
        <v>Error?</v>
      </c>
    </row>
    <row r="3318" spans="1:4" x14ac:dyDescent="0.2">
      <c r="A3318" s="5">
        <v>3257</v>
      </c>
      <c r="B3318" s="138">
        <f>'Acct Summary 7-8'!I76</f>
        <v>4105</v>
      </c>
      <c r="C3318" s="2" t="s">
        <v>573</v>
      </c>
      <c r="D3318" s="2" t="str">
        <f t="shared" si="50"/>
        <v>Error?</v>
      </c>
    </row>
    <row r="3319" spans="1:4" x14ac:dyDescent="0.2">
      <c r="A3319" s="5">
        <v>3258</v>
      </c>
      <c r="B3319" s="138">
        <f>'Acct Summary 7-8'!I77</f>
        <v>495895</v>
      </c>
      <c r="C3319" s="2" t="s">
        <v>573</v>
      </c>
      <c r="D3319" s="2" t="str">
        <f t="shared" si="50"/>
        <v>Error?</v>
      </c>
    </row>
    <row r="3320" spans="1:4" x14ac:dyDescent="0.2">
      <c r="A3320" s="5">
        <v>3259</v>
      </c>
      <c r="B3320" s="138">
        <f>'Acct Summary 7-8'!I78</f>
        <v>517806</v>
      </c>
      <c r="C3320" s="2" t="s">
        <v>573</v>
      </c>
      <c r="D3320" s="2" t="str">
        <f t="shared" si="50"/>
        <v>Error?</v>
      </c>
    </row>
    <row r="3321" spans="1:4" x14ac:dyDescent="0.2">
      <c r="A3321" s="5">
        <v>3260</v>
      </c>
      <c r="B3321" s="138">
        <f>'Acct Summary 7-8'!I79</f>
        <v>25125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542931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159668</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23678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2417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404</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186167</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43679</v>
      </c>
      <c r="D3387" s="2" t="str">
        <f t="shared" si="51"/>
        <v>Error?</v>
      </c>
    </row>
    <row r="3388" spans="1:4" x14ac:dyDescent="0.2">
      <c r="A3388" s="5">
        <v>3327</v>
      </c>
      <c r="B3388" s="138">
        <f>'Expenditures 15-22'!D217</f>
        <v>2895</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43679</v>
      </c>
      <c r="C3390" s="2" t="s">
        <v>573</v>
      </c>
      <c r="D3390" s="2" t="str">
        <f t="shared" si="51"/>
        <v>Error?</v>
      </c>
    </row>
    <row r="3391" spans="1:4" x14ac:dyDescent="0.2">
      <c r="A3391" s="5">
        <v>3330</v>
      </c>
      <c r="B3391" s="138">
        <f>'Expenditures 15-22'!K217</f>
        <v>2895</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481705</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583048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45226</v>
      </c>
      <c r="D3417" s="2" t="str">
        <f t="shared" si="52"/>
        <v>Error?</v>
      </c>
    </row>
    <row r="3418" spans="1:4" x14ac:dyDescent="0.2">
      <c r="A3418" s="10">
        <v>3357</v>
      </c>
      <c r="D3418" s="2" t="str">
        <f t="shared" si="52"/>
        <v>OK</v>
      </c>
    </row>
    <row r="3419" spans="1:4" x14ac:dyDescent="0.2">
      <c r="A3419" s="5">
        <v>3358</v>
      </c>
      <c r="B3419" s="138">
        <f>'Assets-Liab 5-6'!F4</f>
        <v>130208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92397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542931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34273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89646</v>
      </c>
      <c r="C3446" s="2" t="s">
        <v>573</v>
      </c>
      <c r="D3446" s="2" t="str">
        <f t="shared" si="52"/>
        <v>Error?</v>
      </c>
    </row>
    <row r="3447" spans="1:4" x14ac:dyDescent="0.2">
      <c r="A3447" s="5">
        <v>3386</v>
      </c>
      <c r="B3447" s="138">
        <f>'Tax Sched 23'!D16</f>
        <v>89646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91314.672868499998</v>
      </c>
      <c r="C3449" s="2" t="s">
        <v>573</v>
      </c>
      <c r="D3449" s="2" t="str">
        <f t="shared" si="52"/>
        <v>Error?</v>
      </c>
    </row>
    <row r="3450" spans="1:4" x14ac:dyDescent="0.2">
      <c r="A3450" s="5">
        <v>3389</v>
      </c>
      <c r="B3450" s="138">
        <f>'Tax Sched 23'!E16</f>
        <v>91314.672868499998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42709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42709</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42709</v>
      </c>
      <c r="D3567" s="2" t="str">
        <f t="shared" si="54"/>
        <v>Error?</v>
      </c>
    </row>
    <row r="3568" spans="1:4" x14ac:dyDescent="0.2">
      <c r="A3568" s="5">
        <v>3507</v>
      </c>
      <c r="B3568" s="138">
        <f>'Assets-Liab 5-6'!K41</f>
        <v>42709</v>
      </c>
      <c r="C3568" s="2" t="s">
        <v>573</v>
      </c>
      <c r="D3568" s="2" t="str">
        <f t="shared" si="54"/>
        <v>Error?</v>
      </c>
    </row>
    <row r="3569" spans="1:4" x14ac:dyDescent="0.2">
      <c r="A3569" s="5">
        <v>3508</v>
      </c>
      <c r="B3569" s="138">
        <f>'Acct Summary 7-8'!K4</f>
        <v>21051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21051</v>
      </c>
      <c r="C3571" s="2" t="s">
        <v>573</v>
      </c>
      <c r="D3571" s="2" t="str">
        <f t="shared" si="54"/>
        <v>Error?</v>
      </c>
    </row>
    <row r="3572" spans="1:4" x14ac:dyDescent="0.2">
      <c r="A3572" s="5">
        <v>3511</v>
      </c>
      <c r="B3572" s="138">
        <f>'Acct Summary 7-8'!K13</f>
        <v>34519</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34519</v>
      </c>
      <c r="C3575" s="2" t="s">
        <v>573</v>
      </c>
      <c r="D3575" s="2" t="str">
        <f t="shared" si="54"/>
        <v>Error?</v>
      </c>
    </row>
    <row r="3576" spans="1:4" x14ac:dyDescent="0.2">
      <c r="A3576" s="5">
        <v>3515</v>
      </c>
      <c r="B3576" s="138">
        <f>'Acct Summary 7-8'!K20</f>
        <v>-13468</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-13468</v>
      </c>
      <c r="C3588" s="2" t="s">
        <v>573</v>
      </c>
      <c r="D3588" s="2" t="str">
        <f t="shared" si="55"/>
        <v>Error?</v>
      </c>
    </row>
    <row r="3589" spans="1:4" x14ac:dyDescent="0.2">
      <c r="A3589" s="5">
        <v>3528</v>
      </c>
      <c r="B3589" s="138">
        <f>'Acct Summary 7-8'!K79</f>
        <v>56177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42709</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34519</v>
      </c>
      <c r="D3646" s="2" t="str">
        <f t="shared" si="55"/>
        <v>Error?</v>
      </c>
    </row>
    <row r="3647" spans="1:4" x14ac:dyDescent="0.2">
      <c r="A3647" s="5">
        <v>3586</v>
      </c>
      <c r="B3647" s="138">
        <f>'Expenditures 15-22'!G350</f>
        <v>34519</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34519</v>
      </c>
      <c r="C3649" s="2" t="s">
        <v>573</v>
      </c>
      <c r="D3649" s="2" t="str">
        <f t="shared" si="56"/>
        <v>Error?</v>
      </c>
    </row>
    <row r="3650" spans="1:4" x14ac:dyDescent="0.2">
      <c r="A3650" s="5">
        <v>3589</v>
      </c>
      <c r="B3650" s="138">
        <f>'Expenditures 15-22'!G367</f>
        <v>34519</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34519</v>
      </c>
      <c r="C3669" s="2" t="s">
        <v>573</v>
      </c>
      <c r="D3669" s="2" t="str">
        <f t="shared" si="56"/>
        <v>Error?</v>
      </c>
    </row>
    <row r="3670" spans="1:4" x14ac:dyDescent="0.2">
      <c r="A3670" s="5">
        <v>3609</v>
      </c>
      <c r="B3670" s="138">
        <f>'Expenditures 15-22'!K350</f>
        <v>34519</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34519</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34519</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-13468</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20921</v>
      </c>
      <c r="C3725" s="2" t="s">
        <v>573</v>
      </c>
      <c r="D3725" s="2" t="str">
        <f t="shared" si="57"/>
        <v>Error?</v>
      </c>
    </row>
    <row r="3726" spans="1:4" x14ac:dyDescent="0.2">
      <c r="A3726" s="5">
        <v>3665</v>
      </c>
      <c r="B3726" s="138">
        <f>'Tax Sched 23'!D13</f>
        <v>20921</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22832.172950999997</v>
      </c>
      <c r="C3728" s="2" t="s">
        <v>573</v>
      </c>
      <c r="D3728" s="2" t="str">
        <f t="shared" si="57"/>
        <v>Error?</v>
      </c>
    </row>
    <row r="3729" spans="1:4" x14ac:dyDescent="0.2">
      <c r="A3729" s="5">
        <v>3668</v>
      </c>
      <c r="B3729" s="138">
        <f>'Tax Sched 23'!E13</f>
        <v>22832.172950999997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1214338</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3532428</v>
      </c>
      <c r="C4122" s="2" t="s">
        <v>573</v>
      </c>
      <c r="D4122" s="2" t="str">
        <f t="shared" si="63"/>
        <v>Error?</v>
      </c>
    </row>
    <row r="4123" spans="1:4" x14ac:dyDescent="0.2">
      <c r="A4123" s="5">
        <v>4062</v>
      </c>
      <c r="B4123" s="138">
        <f>'Acct Summary 7-8'!D10</f>
        <v>306734</v>
      </c>
      <c r="C4123" s="2" t="s">
        <v>573</v>
      </c>
      <c r="D4123" s="2" t="str">
        <f t="shared" si="63"/>
        <v>Error?</v>
      </c>
    </row>
    <row r="4124" spans="1:4" x14ac:dyDescent="0.2">
      <c r="A4124" s="5">
        <v>4063</v>
      </c>
      <c r="B4124" s="138">
        <f>'Acct Summary 7-8'!E10</f>
        <v>149708</v>
      </c>
      <c r="C4124" s="2" t="s">
        <v>573</v>
      </c>
      <c r="D4124" s="2" t="str">
        <f t="shared" si="63"/>
        <v>Error?</v>
      </c>
    </row>
    <row r="4125" spans="1:4" x14ac:dyDescent="0.2">
      <c r="A4125" s="5">
        <v>4064</v>
      </c>
      <c r="B4125" s="138">
        <f>'Acct Summary 7-8'!F10</f>
        <v>336901</v>
      </c>
      <c r="C4125" s="2" t="s">
        <v>573</v>
      </c>
      <c r="D4125" s="2" t="str">
        <f t="shared" si="63"/>
        <v>Error?</v>
      </c>
    </row>
    <row r="4126" spans="1:4" x14ac:dyDescent="0.2">
      <c r="A4126" s="5">
        <v>4065</v>
      </c>
      <c r="B4126" s="138">
        <f>'Acct Summary 7-8'!G10</f>
        <v>164099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21911</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21051</v>
      </c>
      <c r="C4130" s="2" t="s">
        <v>573</v>
      </c>
      <c r="D4130" s="2" t="str">
        <f t="shared" si="63"/>
        <v>Error?</v>
      </c>
    </row>
    <row r="4131" spans="1:4" x14ac:dyDescent="0.2">
      <c r="A4131" s="5">
        <v>4070</v>
      </c>
      <c r="B4131" s="138">
        <f>'Acct Summary 7-8'!C18</f>
        <v>1214338</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3929109</v>
      </c>
      <c r="C4136" s="2" t="s">
        <v>573</v>
      </c>
      <c r="D4136" s="2" t="str">
        <f t="shared" si="63"/>
        <v>Error?</v>
      </c>
    </row>
    <row r="4137" spans="1:4" x14ac:dyDescent="0.2">
      <c r="A4137" s="5">
        <v>4076</v>
      </c>
      <c r="B4137" s="138">
        <f>'Acct Summary 7-8'!D19</f>
        <v>345725</v>
      </c>
      <c r="C4137" s="2" t="s">
        <v>573</v>
      </c>
      <c r="D4137" s="2" t="str">
        <f t="shared" si="63"/>
        <v>Error?</v>
      </c>
    </row>
    <row r="4138" spans="1:4" x14ac:dyDescent="0.2">
      <c r="A4138" s="5">
        <v>4077</v>
      </c>
      <c r="B4138" s="138">
        <f>'Acct Summary 7-8'!E19</f>
        <v>150000</v>
      </c>
      <c r="C4138" s="2" t="s">
        <v>573</v>
      </c>
      <c r="D4138" s="2" t="str">
        <f t="shared" si="63"/>
        <v>Error?</v>
      </c>
    </row>
    <row r="4139" spans="1:4" x14ac:dyDescent="0.2">
      <c r="A4139" s="5">
        <v>4078</v>
      </c>
      <c r="B4139" s="138">
        <f>'Acct Summary 7-8'!F19</f>
        <v>273715</v>
      </c>
      <c r="C4139" s="2" t="s">
        <v>573</v>
      </c>
      <c r="D4139" s="2" t="str">
        <f t="shared" si="63"/>
        <v>Error?</v>
      </c>
    </row>
    <row r="4140" spans="1:4" x14ac:dyDescent="0.2">
      <c r="A4140" s="5">
        <v>4079</v>
      </c>
      <c r="B4140" s="138">
        <f>'Acct Summary 7-8'!G19</f>
        <v>131712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34519</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1133639</v>
      </c>
      <c r="C4171" s="2" t="s">
        <v>573</v>
      </c>
      <c r="D4171" s="2" t="str">
        <f t="shared" si="64"/>
        <v>Error?</v>
      </c>
    </row>
    <row r="4172" spans="1:4" x14ac:dyDescent="0.2">
      <c r="A4172" s="5">
        <v>4111</v>
      </c>
      <c r="B4172" s="138">
        <f>'Short-Term Long-Term Debt 24'!J49</f>
        <v>1088413</v>
      </c>
      <c r="C4172" s="2" t="s">
        <v>573</v>
      </c>
      <c r="D4172" s="2" t="str">
        <f t="shared" si="64"/>
        <v>Error?</v>
      </c>
    </row>
    <row r="4173" spans="1:4" x14ac:dyDescent="0.2">
      <c r="A4173" s="5">
        <v>4112</v>
      </c>
      <c r="B4173" s="138">
        <f>'Short-Term Long-Term Debt 24'!H49</f>
        <v>227586</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77586</v>
      </c>
      <c r="D4210" s="2" t="str">
        <f t="shared" si="64"/>
        <v>Error?</v>
      </c>
    </row>
    <row r="4211" spans="1:4" x14ac:dyDescent="0.2">
      <c r="A4211" s="5">
        <v>4150</v>
      </c>
      <c r="B4211" s="138">
        <f>'Expenditures 15-22'!K206</f>
        <v>77586</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3224.2100000000005</v>
      </c>
      <c r="C4265" s="2" t="s">
        <v>573</v>
      </c>
      <c r="D4265" s="2" t="str">
        <f t="shared" si="65"/>
        <v>Error?</v>
      </c>
      <c r="E4265" s="128"/>
    </row>
    <row r="4266" spans="1:5" x14ac:dyDescent="0.2">
      <c r="A4266" s="12">
        <v>4205</v>
      </c>
      <c r="B4266" s="138">
        <f>('FP Info 3'!F10)*100000</f>
        <v>683.93000000000006</v>
      </c>
      <c r="C4266" s="2" t="s">
        <v>573</v>
      </c>
      <c r="D4266" s="2" t="str">
        <f t="shared" si="65"/>
        <v>Error?</v>
      </c>
      <c r="E4266" s="128"/>
    </row>
    <row r="4267" spans="1:5" x14ac:dyDescent="0.2">
      <c r="A4267" s="12">
        <v>4206</v>
      </c>
      <c r="B4267" s="138">
        <f>('FP Info 3'!H10)*100000</f>
        <v>195.41</v>
      </c>
      <c r="C4267" s="2" t="s">
        <v>573</v>
      </c>
      <c r="D4267" s="2" t="str">
        <f t="shared" si="65"/>
        <v>Error?</v>
      </c>
      <c r="E4267" s="128"/>
    </row>
    <row r="4268" spans="1:5" x14ac:dyDescent="0.2">
      <c r="A4268" s="12">
        <v>4207</v>
      </c>
      <c r="B4268" s="138">
        <f>('FP Info 3'!J10)*100000</f>
        <v>4104</v>
      </c>
      <c r="C4268" s="2" t="s">
        <v>573</v>
      </c>
      <c r="D4268" s="2" t="str">
        <f t="shared" si="65"/>
        <v>Error?</v>
      </c>
    </row>
    <row r="4269" spans="1:5" x14ac:dyDescent="0.2">
      <c r="A4269" s="12">
        <v>4208</v>
      </c>
      <c r="B4269" s="138">
        <f>'FP Info 3'!J16</f>
        <v>1737829</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4401</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21092</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21024</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21024</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10000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5595</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10000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5595</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7871</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48.859999999999992</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16854</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494</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46729785</v>
      </c>
      <c r="D4995" s="2" t="str">
        <f t="shared" si="77"/>
        <v>Error?</v>
      </c>
    </row>
    <row r="4996" spans="1:4" x14ac:dyDescent="0.2">
      <c r="A4996" s="12">
        <v>4935</v>
      </c>
      <c r="B4996" s="138">
        <f>'FP Info 3'!H31</f>
        <v>6448710.3300000001</v>
      </c>
      <c r="D4996" s="2" t="str">
        <f t="shared" si="77"/>
        <v>Error?</v>
      </c>
    </row>
    <row r="4997" spans="1:4" x14ac:dyDescent="0.2">
      <c r="A4997" s="12">
        <v>4936</v>
      </c>
      <c r="B4997" s="138">
        <f>'FP Info 3'!H37</f>
        <v>1133639</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20921</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1419360</v>
      </c>
      <c r="D5061" s="2" t="str">
        <f t="shared" si="78"/>
        <v>Error?</v>
      </c>
    </row>
    <row r="5062" spans="1:4" x14ac:dyDescent="0.2">
      <c r="A5062" s="10">
        <v>5001</v>
      </c>
      <c r="D5062" s="2" t="str">
        <f t="shared" si="78"/>
        <v>OK</v>
      </c>
    </row>
    <row r="5063" spans="1:4" x14ac:dyDescent="0.2">
      <c r="A5063" s="5">
        <v>5002</v>
      </c>
      <c r="B5063" s="138">
        <f>'Revenues 9-14'!C7</f>
        <v>16936</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1457217</v>
      </c>
      <c r="C5066" s="2" t="s">
        <v>573</v>
      </c>
      <c r="D5066" s="2" t="str">
        <f t="shared" si="78"/>
        <v>Error?</v>
      </c>
    </row>
    <row r="5067" spans="1:4" x14ac:dyDescent="0.2">
      <c r="A5067" s="5">
        <v>5006</v>
      </c>
      <c r="B5067" s="138">
        <f>'Revenues 9-14'!C14</f>
        <v>108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108</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4113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4113</v>
      </c>
      <c r="C5090" s="2" t="s">
        <v>573</v>
      </c>
      <c r="D5090" s="2" t="str">
        <f t="shared" si="78"/>
        <v>Error?</v>
      </c>
    </row>
    <row r="5091" spans="1:4" x14ac:dyDescent="0.2">
      <c r="A5091" s="5">
        <v>5030</v>
      </c>
      <c r="B5091" s="138">
        <f>'Revenues 9-14'!C70</f>
        <v>666</v>
      </c>
      <c r="D5091" s="2" t="str">
        <f t="shared" si="78"/>
        <v>Error?</v>
      </c>
    </row>
    <row r="5092" spans="1:4" x14ac:dyDescent="0.2">
      <c r="A5092" s="5">
        <v>5031</v>
      </c>
      <c r="B5092" s="138">
        <f>'Revenues 9-14'!C71</f>
        <v>906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896</v>
      </c>
      <c r="D5094" s="2" t="str">
        <f t="shared" si="78"/>
        <v>Error?</v>
      </c>
    </row>
    <row r="5095" spans="1:4" x14ac:dyDescent="0.2">
      <c r="A5095" s="5">
        <v>5034</v>
      </c>
      <c r="B5095" s="138">
        <f>'Revenues 9-14'!C74</f>
        <v>64</v>
      </c>
      <c r="D5095" s="2" t="str">
        <f t="shared" si="78"/>
        <v>Error?</v>
      </c>
    </row>
    <row r="5096" spans="1:4" x14ac:dyDescent="0.2">
      <c r="A5096" s="5">
        <v>5035</v>
      </c>
      <c r="B5096" s="138">
        <f>'Revenues 9-14'!C75</f>
        <v>35739</v>
      </c>
      <c r="C5096" s="2" t="s">
        <v>573</v>
      </c>
      <c r="D5096" s="2" t="str">
        <f t="shared" si="78"/>
        <v>Error?</v>
      </c>
    </row>
    <row r="5097" spans="1:4" x14ac:dyDescent="0.2">
      <c r="A5097" s="5">
        <v>5036</v>
      </c>
      <c r="B5097" s="138">
        <f>'Revenues 9-14'!C77</f>
        <v>10630</v>
      </c>
      <c r="D5097" s="2" t="str">
        <f t="shared" si="78"/>
        <v>Error?</v>
      </c>
    </row>
    <row r="5098" spans="1:4" x14ac:dyDescent="0.2">
      <c r="A5098" s="5">
        <v>5037</v>
      </c>
      <c r="B5098" s="138">
        <f>'Revenues 9-14'!C78</f>
        <v>270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1223</v>
      </c>
      <c r="D5101" s="2" t="str">
        <f t="shared" si="78"/>
        <v>Error?</v>
      </c>
    </row>
    <row r="5102" spans="1:4" x14ac:dyDescent="0.2">
      <c r="A5102" s="5">
        <v>5041</v>
      </c>
      <c r="B5102" s="138">
        <f>'Revenues 9-14'!C82</f>
        <v>12123</v>
      </c>
      <c r="C5102" s="2" t="s">
        <v>573</v>
      </c>
      <c r="D5102" s="2" t="str">
        <f t="shared" si="78"/>
        <v>Error?</v>
      </c>
    </row>
    <row r="5103" spans="1:4" x14ac:dyDescent="0.2">
      <c r="A5103" s="5">
        <v>5042</v>
      </c>
      <c r="B5103" s="138">
        <f>'Revenues 9-14'!C84</f>
        <v>6397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6397</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9648</v>
      </c>
      <c r="D5115" s="2" t="str">
        <f t="shared" si="78"/>
        <v>Error?</v>
      </c>
    </row>
    <row r="5116" spans="1:4" x14ac:dyDescent="0.2">
      <c r="A5116" s="5">
        <v>5055</v>
      </c>
      <c r="B5116" s="138">
        <f>'Revenues 9-14'!C99</f>
        <v>165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4871</v>
      </c>
      <c r="D5119" s="2" t="str">
        <f t="shared" ref="D5119:D5182" si="79">IF(ISBLANK(B5119),"OK",IF(A5119-B5119=0,"OK","Error?"))</f>
        <v>Error?</v>
      </c>
    </row>
    <row r="5120" spans="1:4" x14ac:dyDescent="0.2">
      <c r="A5120" s="5">
        <v>5059</v>
      </c>
      <c r="B5120" s="138">
        <f>'Revenues 9-14'!C108</f>
        <v>32038</v>
      </c>
      <c r="C5120" s="2" t="s">
        <v>573</v>
      </c>
      <c r="D5120" s="2" t="str">
        <f t="shared" si="79"/>
        <v>Error?</v>
      </c>
    </row>
    <row r="5121" spans="1:4" x14ac:dyDescent="0.2">
      <c r="A5121" s="5">
        <v>5060</v>
      </c>
      <c r="B5121" s="138">
        <f>'Revenues 9-14'!C109</f>
        <v>1547735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568532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568532</v>
      </c>
      <c r="C5132" s="2" t="s">
        <v>573</v>
      </c>
      <c r="D5132" s="2" t="str">
        <f t="shared" si="79"/>
        <v>Error?</v>
      </c>
    </row>
    <row r="5133" spans="1:4" x14ac:dyDescent="0.2">
      <c r="A5133" s="5">
        <v>5072</v>
      </c>
      <c r="B5133" s="138">
        <f>'Revenues 9-14'!C125</f>
        <v>21859</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21859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3626</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718</v>
      </c>
      <c r="D5167" s="2" t="str">
        <f t="shared" si="79"/>
        <v>Error?</v>
      </c>
    </row>
    <row r="5168" spans="1:4" x14ac:dyDescent="0.2">
      <c r="A5168" s="5">
        <v>5107</v>
      </c>
      <c r="B5168" s="138">
        <f>'Revenues 9-14'!C148</f>
        <v>4076</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30773</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599305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39611</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4972</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44583</v>
      </c>
      <c r="C5246" s="2" t="s">
        <v>573</v>
      </c>
      <c r="D5246" s="2" t="str">
        <f t="shared" si="80"/>
        <v>Error?</v>
      </c>
    </row>
    <row r="5247" spans="1:4" x14ac:dyDescent="0.2">
      <c r="A5247" s="5">
        <v>5186</v>
      </c>
      <c r="B5247" s="138">
        <f>'Revenues 9-14'!C200</f>
        <v>47673</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47673</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14406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14406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171050</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171050</v>
      </c>
      <c r="C5326" s="2" t="s">
        <v>573</v>
      </c>
      <c r="D5326" s="2" t="str">
        <f t="shared" si="82"/>
        <v>Error?</v>
      </c>
    </row>
    <row r="5327" spans="1:5" x14ac:dyDescent="0.2">
      <c r="A5327" s="5">
        <v>5266</v>
      </c>
      <c r="B5327" s="138">
        <f>'Revenues 9-14'!C268</f>
        <v>2318090</v>
      </c>
      <c r="C5327" s="2" t="s">
        <v>573</v>
      </c>
      <c r="D5327" s="2" t="str">
        <f t="shared" si="82"/>
        <v>Error?</v>
      </c>
    </row>
    <row r="5328" spans="1:5" x14ac:dyDescent="0.2">
      <c r="A5328" s="5">
        <v>5267</v>
      </c>
      <c r="B5328" s="138">
        <f>'Revenues 9-14'!D5</f>
        <v>298816</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298816</v>
      </c>
      <c r="C5334" s="2" t="s">
        <v>573</v>
      </c>
      <c r="D5334" s="2" t="str">
        <f t="shared" si="82"/>
        <v>Error?</v>
      </c>
    </row>
    <row r="5335" spans="1:4" x14ac:dyDescent="0.2">
      <c r="A5335" s="5">
        <v>5274</v>
      </c>
      <c r="B5335" s="138">
        <f>'Revenues 9-14'!D14</f>
        <v>22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2214</v>
      </c>
      <c r="D5338" s="2" t="str">
        <f t="shared" si="82"/>
        <v>Error?</v>
      </c>
    </row>
    <row r="5339" spans="1:4" x14ac:dyDescent="0.2">
      <c r="A5339" s="5">
        <v>5278</v>
      </c>
      <c r="B5339" s="138">
        <f>'Revenues 9-14'!D18</f>
        <v>2236</v>
      </c>
      <c r="C5339" s="2" t="s">
        <v>573</v>
      </c>
      <c r="D5339" s="2" t="str">
        <f t="shared" si="82"/>
        <v>Error?</v>
      </c>
    </row>
    <row r="5340" spans="1:4" x14ac:dyDescent="0.2">
      <c r="A5340" s="5">
        <v>5279</v>
      </c>
      <c r="B5340" s="138">
        <f>'Revenues 9-14'!D65</f>
        <v>2868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2868</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440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2374</v>
      </c>
      <c r="D5354" s="2" t="str">
        <f t="shared" si="82"/>
        <v>Error?</v>
      </c>
    </row>
    <row r="5355" spans="1:4" x14ac:dyDescent="0.2">
      <c r="A5355" s="5">
        <v>5294</v>
      </c>
      <c r="B5355" s="138">
        <f>'Revenues 9-14'!D108</f>
        <v>2814</v>
      </c>
      <c r="C5355" s="2" t="s">
        <v>573</v>
      </c>
      <c r="D5355" s="2" t="str">
        <f t="shared" si="82"/>
        <v>Error?</v>
      </c>
    </row>
    <row r="5356" spans="1:4" x14ac:dyDescent="0.2">
      <c r="A5356" s="5">
        <v>5295</v>
      </c>
      <c r="B5356" s="138">
        <f>'Revenues 9-14'!D109</f>
        <v>306734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306734</v>
      </c>
      <c r="C5508" s="2" t="s">
        <v>573</v>
      </c>
      <c r="D5508" s="2" t="str">
        <f t="shared" si="85"/>
        <v>Error?</v>
      </c>
    </row>
    <row r="5509" spans="1:4" x14ac:dyDescent="0.2">
      <c r="A5509" s="5">
        <v>5448</v>
      </c>
      <c r="B5509" s="138">
        <f>'Revenues 9-14'!E5</f>
        <v>149426</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149426</v>
      </c>
      <c r="C5513" s="2" t="s">
        <v>573</v>
      </c>
      <c r="D5513" s="2" t="str">
        <f t="shared" si="85"/>
        <v>Error?</v>
      </c>
    </row>
    <row r="5514" spans="1:4" x14ac:dyDescent="0.2">
      <c r="A5514" s="5">
        <v>5453</v>
      </c>
      <c r="B5514" s="138">
        <f>'Revenues 9-14'!E14</f>
        <v>12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12</v>
      </c>
      <c r="C5518" s="2" t="s">
        <v>573</v>
      </c>
      <c r="D5518" s="2" t="str">
        <f t="shared" si="85"/>
        <v>Error?</v>
      </c>
    </row>
    <row r="5519" spans="1:4" x14ac:dyDescent="0.2">
      <c r="A5519" s="5">
        <v>5458</v>
      </c>
      <c r="B5519" s="138">
        <f>'Revenues 9-14'!E65</f>
        <v>270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270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149708</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149708</v>
      </c>
      <c r="C5552" s="2" t="s">
        <v>573</v>
      </c>
      <c r="D5552" s="2" t="str">
        <f t="shared" si="85"/>
        <v>Error?</v>
      </c>
    </row>
    <row r="5553" spans="1:4" x14ac:dyDescent="0.2">
      <c r="A5553" s="5">
        <v>5492</v>
      </c>
      <c r="B5553" s="138">
        <f>'Revenues 9-14'!F5</f>
        <v>84664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84664</v>
      </c>
      <c r="C5557" s="2" t="s">
        <v>573</v>
      </c>
      <c r="D5557" s="2" t="str">
        <f t="shared" si="85"/>
        <v>Error?</v>
      </c>
    </row>
    <row r="5558" spans="1:4" x14ac:dyDescent="0.2">
      <c r="A5558" s="5">
        <v>5497</v>
      </c>
      <c r="B5558" s="138">
        <f>'Revenues 9-14'!F14</f>
        <v>6</v>
      </c>
      <c r="D5558" s="2" t="str">
        <f t="shared" si="85"/>
        <v>Error?</v>
      </c>
    </row>
    <row r="5559" spans="1:4" x14ac:dyDescent="0.2">
      <c r="A5559" s="5">
        <v>5498</v>
      </c>
      <c r="B5559" s="138">
        <f>'Revenues 9-14'!F15</f>
        <v>0</v>
      </c>
      <c r="D5559" s="2" t="str">
        <f t="shared" si="85"/>
        <v>Error?</v>
      </c>
    </row>
    <row r="5560" spans="1:4" x14ac:dyDescent="0.2">
      <c r="A5560" s="5">
        <v>5499</v>
      </c>
      <c r="B5560" s="138">
        <f>'Revenues 9-14'!F16</f>
        <v>76231</v>
      </c>
      <c r="D5560" s="2" t="str">
        <f t="shared" si="85"/>
        <v>Error?</v>
      </c>
    </row>
    <row r="5561" spans="1:4" x14ac:dyDescent="0.2">
      <c r="A5561" s="5">
        <v>5500</v>
      </c>
      <c r="B5561" s="138">
        <f>'Revenues 9-14'!F17</f>
        <v>0</v>
      </c>
      <c r="D5561" s="2" t="str">
        <f t="shared" si="85"/>
        <v>Error?</v>
      </c>
    </row>
    <row r="5562" spans="1:4" x14ac:dyDescent="0.2">
      <c r="A5562" s="5">
        <v>5501</v>
      </c>
      <c r="B5562" s="138">
        <f>'Revenues 9-14'!F18</f>
        <v>76237</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2784</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2784</v>
      </c>
      <c r="C5579" s="2" t="s">
        <v>573</v>
      </c>
      <c r="D5579" s="2" t="str">
        <f t="shared" si="86"/>
        <v>Error?</v>
      </c>
    </row>
    <row r="5580" spans="1:4" x14ac:dyDescent="0.2">
      <c r="A5580" s="5">
        <v>5519</v>
      </c>
      <c r="B5580" s="138">
        <f>'Revenues 9-14'!F65</f>
        <v>150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150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163835</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92262</v>
      </c>
      <c r="D5615" s="2" t="str">
        <f t="shared" si="86"/>
        <v>Error?</v>
      </c>
    </row>
    <row r="5616" spans="1:4" x14ac:dyDescent="0.2">
      <c r="A5616" s="10">
        <v>5555</v>
      </c>
      <c r="D5616" s="2" t="str">
        <f t="shared" si="86"/>
        <v>OK</v>
      </c>
    </row>
    <row r="5617" spans="1:5" x14ac:dyDescent="0.2">
      <c r="A5617" s="5">
        <v>5556</v>
      </c>
      <c r="B5617" s="138">
        <f>'Revenues 9-14'!F153</f>
        <v>75209</v>
      </c>
      <c r="D5617" s="2" t="str">
        <f t="shared" si="86"/>
        <v>Error?</v>
      </c>
    </row>
    <row r="5618" spans="1:5" x14ac:dyDescent="0.2">
      <c r="A5618" s="5">
        <v>5557</v>
      </c>
      <c r="B5618" s="138">
        <f>'Revenues 9-14'!F155</f>
        <v>167471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167471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167471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5595</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5595</v>
      </c>
      <c r="C5719" s="2" t="s">
        <v>573</v>
      </c>
      <c r="D5719" s="2" t="str">
        <f t="shared" si="88"/>
        <v>Error?</v>
      </c>
    </row>
    <row r="5720" spans="1:4" x14ac:dyDescent="0.2">
      <c r="A5720" s="5">
        <v>5659</v>
      </c>
      <c r="B5720" s="138">
        <f>'Revenues 9-14'!F268</f>
        <v>336901</v>
      </c>
      <c r="C5720" s="2" t="s">
        <v>573</v>
      </c>
      <c r="D5720" s="2" t="str">
        <f t="shared" si="88"/>
        <v>Error?</v>
      </c>
    </row>
    <row r="5721" spans="1:4" x14ac:dyDescent="0.2">
      <c r="A5721" s="5">
        <v>5660</v>
      </c>
      <c r="B5721" s="138">
        <f>'Revenues 9-14'!G5</f>
        <v>69724</v>
      </c>
      <c r="D5721" s="2" t="str">
        <f t="shared" si="88"/>
        <v>Error?</v>
      </c>
    </row>
    <row r="5722" spans="1:4" x14ac:dyDescent="0.2">
      <c r="A5722" s="5">
        <v>5661</v>
      </c>
      <c r="B5722" s="138">
        <f>'Revenues 9-14'!G7</f>
        <v>0</v>
      </c>
      <c r="D5722" s="2" t="str">
        <f t="shared" si="88"/>
        <v>Error?</v>
      </c>
    </row>
    <row r="5723" spans="1:4" x14ac:dyDescent="0.2">
      <c r="A5723" s="5">
        <v>5662</v>
      </c>
      <c r="B5723" s="138">
        <f>'Revenues 9-14'!G8</f>
        <v>89646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159370</v>
      </c>
      <c r="C5725" s="2" t="s">
        <v>573</v>
      </c>
      <c r="D5725" s="2" t="str">
        <f t="shared" si="88"/>
        <v>Error?</v>
      </c>
    </row>
    <row r="5726" spans="1:4" x14ac:dyDescent="0.2">
      <c r="A5726" s="5">
        <v>5665</v>
      </c>
      <c r="B5726" s="138">
        <f>'Revenues 9-14'!G14</f>
        <v>12</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4312</v>
      </c>
      <c r="C5730" s="2" t="s">
        <v>573</v>
      </c>
      <c r="D5730" s="2" t="str">
        <f t="shared" si="88"/>
        <v>Error?</v>
      </c>
    </row>
    <row r="5731" spans="1:4" x14ac:dyDescent="0.2">
      <c r="A5731" s="5">
        <v>5670</v>
      </c>
      <c r="B5731" s="138">
        <f>'Revenues 9-14'!G65</f>
        <v>417</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417</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164099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20921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20921</v>
      </c>
      <c r="C5918" s="2" t="s">
        <v>573</v>
      </c>
      <c r="D5918" s="2" t="str">
        <f t="shared" si="91"/>
        <v>Error?</v>
      </c>
    </row>
    <row r="5919" spans="1:4" x14ac:dyDescent="0.2">
      <c r="A5919" s="5">
        <v>5858</v>
      </c>
      <c r="B5919" s="138">
        <f>'Revenues 9-14'!I14</f>
        <v>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v>
      </c>
      <c r="C5923" s="2" t="s">
        <v>573</v>
      </c>
      <c r="D5923" s="2" t="str">
        <f t="shared" si="91"/>
        <v>Error?</v>
      </c>
    </row>
    <row r="5924" spans="1:4" x14ac:dyDescent="0.2">
      <c r="A5924" s="5">
        <v>5863</v>
      </c>
      <c r="B5924" s="138">
        <f>'Revenues 9-14'!I65</f>
        <v>989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989</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21911</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20921</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20921</v>
      </c>
      <c r="C5987" s="2" t="s">
        <v>573</v>
      </c>
      <c r="D5987" s="2" t="str">
        <f t="shared" si="92"/>
        <v>Error?</v>
      </c>
    </row>
    <row r="5988" spans="1:4" x14ac:dyDescent="0.2">
      <c r="A5988" s="5">
        <v>5927</v>
      </c>
      <c r="B5988" s="138">
        <f>'Revenues 9-14'!K14</f>
        <v>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v>
      </c>
      <c r="C5992" s="2" t="s">
        <v>573</v>
      </c>
      <c r="D5992" s="2" t="str">
        <f t="shared" si="92"/>
        <v>Error?</v>
      </c>
    </row>
    <row r="5993" spans="1:4" x14ac:dyDescent="0.2">
      <c r="A5993" s="5">
        <v>5932</v>
      </c>
      <c r="B5993" s="138">
        <f>'Revenues 9-14'!K65</f>
        <v>129</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129</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21051</v>
      </c>
      <c r="C6023" s="2" t="s">
        <v>573</v>
      </c>
      <c r="D6023" s="2" t="str">
        <f t="shared" si="93"/>
        <v>Error?</v>
      </c>
    </row>
    <row r="6024" spans="1:5" x14ac:dyDescent="0.2">
      <c r="A6024" s="5">
        <v>5963</v>
      </c>
      <c r="B6024" s="138">
        <f>'Revenues 9-14'!G109</f>
        <v>164099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21911</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21051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33207</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9002</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190</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179791</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179791</v>
      </c>
      <c r="D6215" s="2" t="str">
        <f t="shared" si="96"/>
        <v>Error?</v>
      </c>
      <c r="E6215" s="2" t="s">
        <v>190</v>
      </c>
    </row>
    <row r="6216" spans="1:5" x14ac:dyDescent="0.2">
      <c r="A6216">
        <v>6155</v>
      </c>
      <c r="B6216" s="138">
        <f>'Assets-Liab 5-6'!J41</f>
        <v>179791</v>
      </c>
      <c r="D6216" s="2" t="str">
        <f t="shared" si="96"/>
        <v>Error?</v>
      </c>
      <c r="E6216" s="2" t="s">
        <v>190</v>
      </c>
    </row>
    <row r="6217" spans="1:5" x14ac:dyDescent="0.2">
      <c r="A6217">
        <v>6156</v>
      </c>
      <c r="B6217" s="138">
        <f>'Assets-Liab 5-6'!J4</f>
        <v>179791</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313948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313948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313948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184233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184233</v>
      </c>
      <c r="D6229" s="2" t="str">
        <f t="shared" si="96"/>
        <v>Error?</v>
      </c>
      <c r="E6229" s="2" t="s">
        <v>190</v>
      </c>
    </row>
    <row r="6230" spans="1:5" x14ac:dyDescent="0.2">
      <c r="A6230">
        <v>6169</v>
      </c>
      <c r="B6230" s="138">
        <f>'Acct Summary 7-8'!J20</f>
        <v>129715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4105</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129715</v>
      </c>
      <c r="D6263" s="2" t="str">
        <f t="shared" si="96"/>
        <v>Error?</v>
      </c>
      <c r="E6263" s="2" t="s">
        <v>190</v>
      </c>
    </row>
    <row r="6264" spans="1:5" x14ac:dyDescent="0.2">
      <c r="A6264">
        <v>6203</v>
      </c>
      <c r="B6264" s="138">
        <f>'Acct Summary 7-8'!J79</f>
        <v>50076</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179791</v>
      </c>
      <c r="D6266" s="2" t="str">
        <f t="shared" si="96"/>
        <v>Error?</v>
      </c>
      <c r="E6266" s="2" t="s">
        <v>190</v>
      </c>
    </row>
    <row r="6267" spans="1:5" x14ac:dyDescent="0.2">
      <c r="A6267">
        <v>6206</v>
      </c>
      <c r="B6267" s="138">
        <f>'Acct Summary 7-8'!C82</f>
        <v>-396681</v>
      </c>
      <c r="D6267" s="2" t="str">
        <f t="shared" si="96"/>
        <v>Error?</v>
      </c>
      <c r="E6267" s="2" t="s">
        <v>190</v>
      </c>
    </row>
    <row r="6268" spans="1:5" x14ac:dyDescent="0.2">
      <c r="A6268">
        <v>6207</v>
      </c>
      <c r="B6268" s="138">
        <f>'Acct Summary 7-8'!D82</f>
        <v>-38991</v>
      </c>
      <c r="D6268" s="2" t="str">
        <f t="shared" si="96"/>
        <v>Error?</v>
      </c>
      <c r="E6268" s="2" t="s">
        <v>190</v>
      </c>
    </row>
    <row r="6269" spans="1:5" x14ac:dyDescent="0.2">
      <c r="A6269">
        <v>6208</v>
      </c>
      <c r="B6269" s="138">
        <f>'Acct Summary 7-8'!E82</f>
        <v>-292</v>
      </c>
      <c r="D6269" s="2" t="str">
        <f t="shared" si="96"/>
        <v>Error?</v>
      </c>
      <c r="E6269" s="2" t="s">
        <v>190</v>
      </c>
    </row>
    <row r="6270" spans="1:5" x14ac:dyDescent="0.2">
      <c r="A6270">
        <v>6209</v>
      </c>
      <c r="B6270" s="138">
        <f>'Acct Summary 7-8'!F82</f>
        <v>63186</v>
      </c>
      <c r="D6270" s="2" t="str">
        <f t="shared" si="96"/>
        <v>Error?</v>
      </c>
      <c r="E6270" s="2" t="s">
        <v>190</v>
      </c>
    </row>
    <row r="6271" spans="1:5" x14ac:dyDescent="0.2">
      <c r="A6271">
        <v>6210</v>
      </c>
      <c r="B6271" s="138">
        <f>'Acct Summary 7-8'!G82</f>
        <v>32387</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517806</v>
      </c>
      <c r="D6273" s="2" t="str">
        <f t="shared" si="97"/>
        <v>Error?</v>
      </c>
      <c r="E6273" s="2" t="s">
        <v>190</v>
      </c>
    </row>
    <row r="6274" spans="1:5" x14ac:dyDescent="0.2">
      <c r="A6274">
        <v>6213</v>
      </c>
      <c r="B6274" s="138">
        <f>'Acct Summary 7-8'!J82</f>
        <v>129715</v>
      </c>
      <c r="D6274" s="2" t="str">
        <f t="shared" si="97"/>
        <v>Error?</v>
      </c>
      <c r="E6274" s="2" t="s">
        <v>190</v>
      </c>
    </row>
    <row r="6275" spans="1:5" x14ac:dyDescent="0.2">
      <c r="A6275">
        <v>6214</v>
      </c>
      <c r="B6275" s="138">
        <f>'Acct Summary 7-8'!K82</f>
        <v>-13468</v>
      </c>
      <c r="D6275" s="2" t="str">
        <f t="shared" si="97"/>
        <v>Error?</v>
      </c>
      <c r="E6275" s="2" t="s">
        <v>190</v>
      </c>
    </row>
    <row r="6276" spans="1:5" x14ac:dyDescent="0.2">
      <c r="A6276">
        <v>6215</v>
      </c>
      <c r="B6276" s="138">
        <f>'Acct Summary 7-8'!C83</f>
        <v>-0.82360134705860366</v>
      </c>
      <c r="D6276" s="2" t="str">
        <f t="shared" si="97"/>
        <v>Error?</v>
      </c>
      <c r="E6276" s="2" t="s">
        <v>190</v>
      </c>
    </row>
    <row r="6277" spans="1:5" x14ac:dyDescent="0.2">
      <c r="A6277">
        <v>6216</v>
      </c>
      <c r="B6277" s="138">
        <f>'Acct Summary 7-8'!D83</f>
        <v>-6.6874425433240486E-2</v>
      </c>
      <c r="D6277" s="2" t="str">
        <f t="shared" si="97"/>
        <v>Error?</v>
      </c>
      <c r="E6277" s="2" t="s">
        <v>190</v>
      </c>
    </row>
    <row r="6278" spans="1:5" x14ac:dyDescent="0.2">
      <c r="A6278">
        <v>6217</v>
      </c>
      <c r="B6278" s="138">
        <f>'Acct Summary 7-8'!E83</f>
        <v>-6.4564630964489451E-3</v>
      </c>
      <c r="D6278" s="2" t="str">
        <f t="shared" si="97"/>
        <v>Error?</v>
      </c>
      <c r="E6278" s="2" t="s">
        <v>190</v>
      </c>
    </row>
    <row r="6279" spans="1:5" x14ac:dyDescent="0.2">
      <c r="A6279">
        <v>6218</v>
      </c>
      <c r="B6279" s="138">
        <f>'Acct Summary 7-8'!F83</f>
        <v>0.48526972229048904</v>
      </c>
      <c r="D6279" s="2" t="str">
        <f t="shared" si="97"/>
        <v>Error?</v>
      </c>
      <c r="E6279" s="2" t="s">
        <v>190</v>
      </c>
    </row>
    <row r="6280" spans="1:5" x14ac:dyDescent="0.2">
      <c r="A6280">
        <v>6219</v>
      </c>
      <c r="B6280" s="138">
        <f>'Acct Summary 7-8'!G83</f>
        <v>0.35052003852938945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0.95372340131618938</v>
      </c>
      <c r="D6282" s="2" t="str">
        <f t="shared" si="97"/>
        <v>Error?</v>
      </c>
      <c r="E6282" s="2" t="s">
        <v>190</v>
      </c>
    </row>
    <row r="6283" spans="1:5" x14ac:dyDescent="0.2">
      <c r="A6283">
        <v>6222</v>
      </c>
      <c r="B6283" s="138">
        <f>'Acct Summary 7-8'!J83</f>
        <v>0.72147660338949116</v>
      </c>
      <c r="D6283" s="2" t="str">
        <f t="shared" si="97"/>
        <v>Error?</v>
      </c>
      <c r="E6283" s="2" t="s">
        <v>190</v>
      </c>
    </row>
    <row r="6284" spans="1:5" x14ac:dyDescent="0.2">
      <c r="A6284">
        <v>6223</v>
      </c>
      <c r="B6284" s="138">
        <f>'Acct Summary 7-8'!K83</f>
        <v>-0.31534337024983022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311763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311763</v>
      </c>
      <c r="D6301" s="2" t="str">
        <f t="shared" si="97"/>
        <v>Error?</v>
      </c>
      <c r="E6301" s="2" t="s">
        <v>190</v>
      </c>
    </row>
    <row r="6302" spans="1:5" x14ac:dyDescent="0.2">
      <c r="A6302">
        <v>6241</v>
      </c>
      <c r="B6302" s="138">
        <f>'Revenues 9-14'!J14</f>
        <v>19</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19</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766</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766</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1400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500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1400</v>
      </c>
      <c r="D6351" s="2" t="str">
        <f t="shared" si="98"/>
        <v>Error?</v>
      </c>
      <c r="E6351" s="2" t="s">
        <v>190</v>
      </c>
    </row>
    <row r="6352" spans="1:5" x14ac:dyDescent="0.2">
      <c r="A6352">
        <v>6291</v>
      </c>
      <c r="B6352" s="138">
        <f>'Revenues 9-14'!J109</f>
        <v>313948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3626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9454</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62064</v>
      </c>
      <c r="D6880" s="2" t="str">
        <f t="shared" si="106"/>
        <v>Error?</v>
      </c>
    </row>
    <row r="6881" spans="1:4" x14ac:dyDescent="0.2">
      <c r="A6881">
        <v>6820</v>
      </c>
      <c r="B6881" s="138">
        <f>'Expenditures 15-22'!K22</f>
        <v>62064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16329</v>
      </c>
      <c r="D6983" s="2" t="str">
        <f t="shared" si="108"/>
        <v>Error?</v>
      </c>
    </row>
    <row r="6984" spans="1:4" x14ac:dyDescent="0.2">
      <c r="A6984">
        <v>6923</v>
      </c>
      <c r="B6984" s="138">
        <f>'Expenditures 15-22'!K86</f>
        <v>16329</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12375</v>
      </c>
      <c r="D6987" s="2" t="str">
        <f t="shared" si="108"/>
        <v>Error?</v>
      </c>
    </row>
    <row r="6988" spans="1:4" x14ac:dyDescent="0.2">
      <c r="A6988">
        <v>6927</v>
      </c>
      <c r="B6988" s="138">
        <f>'Expenditures 15-22'!K88</f>
        <v>12375</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28704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184233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313948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6210</v>
      </c>
      <c r="D7067" s="2" t="str">
        <f t="shared" si="109"/>
        <v>Error?</v>
      </c>
    </row>
    <row r="7068" spans="1:4" x14ac:dyDescent="0.2">
      <c r="A7068">
        <v>7007</v>
      </c>
      <c r="B7068" s="138">
        <f>'Expenditures 15-22'!K205</f>
        <v>6210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105</v>
      </c>
      <c r="D7079" s="2" t="str">
        <f t="shared" si="109"/>
        <v>Error?</v>
      </c>
    </row>
    <row r="7080" spans="1:4" x14ac:dyDescent="0.2">
      <c r="A7080">
        <v>7019</v>
      </c>
      <c r="B7080" s="138">
        <f>'Expenditures 15-22'!K226</f>
        <v>105</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6360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6360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79896</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79896</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82351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7876</v>
      </c>
      <c r="D7174" s="2" t="str">
        <f t="shared" si="111"/>
        <v>Error?</v>
      </c>
    </row>
    <row r="7175" spans="1:4" x14ac:dyDescent="0.2">
      <c r="A7175">
        <v>7114</v>
      </c>
      <c r="B7175" s="138">
        <f>'Expenditures 15-22'!F325</f>
        <v>3435</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93662</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4315</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4315</v>
      </c>
      <c r="D7198" s="2" t="str">
        <f t="shared" si="111"/>
        <v>Error?</v>
      </c>
    </row>
    <row r="7199" spans="1:4" x14ac:dyDescent="0.2">
      <c r="A7199">
        <v>7138</v>
      </c>
      <c r="B7199" s="138">
        <f>'Expenditures 15-22'!C330</f>
        <v>82351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98447</v>
      </c>
      <c r="D7201" s="2" t="str">
        <f t="shared" si="111"/>
        <v>Error?</v>
      </c>
    </row>
    <row r="7202" spans="1:4" x14ac:dyDescent="0.2">
      <c r="A7202">
        <v>7141</v>
      </c>
      <c r="B7202" s="138">
        <f>'Expenditures 15-22'!F330</f>
        <v>3435</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184233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82351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98447</v>
      </c>
      <c r="D7218" s="2" t="str">
        <f t="shared" si="111"/>
        <v>Error?</v>
      </c>
    </row>
    <row r="7219" spans="1:4" x14ac:dyDescent="0.2">
      <c r="A7219">
        <v>7158</v>
      </c>
      <c r="B7219" s="138">
        <f>'Expenditures 15-22'!F342</f>
        <v>3435</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184233</v>
      </c>
      <c r="D7224" s="2" t="str">
        <f t="shared" si="111"/>
        <v>Error?</v>
      </c>
    </row>
    <row r="7225" spans="1:4" x14ac:dyDescent="0.2">
      <c r="A7225">
        <v>7164</v>
      </c>
      <c r="B7225" s="138">
        <f>'Expenditures 15-22'!K343</f>
        <v>129715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7227</v>
      </c>
      <c r="D7263" s="2" t="str">
        <f t="shared" si="112"/>
        <v>Error?</v>
      </c>
    </row>
    <row r="7264" spans="1:4" x14ac:dyDescent="0.2">
      <c r="A7264">
        <f t="shared" si="113"/>
        <v>7203</v>
      </c>
      <c r="B7264" s="138">
        <f>'Expenditures 15-22'!D17</f>
        <v>107</v>
      </c>
      <c r="D7264" s="2" t="str">
        <f t="shared" si="112"/>
        <v>Error?</v>
      </c>
    </row>
    <row r="7265" spans="1:5" x14ac:dyDescent="0.2">
      <c r="A7265">
        <f t="shared" si="113"/>
        <v>7204</v>
      </c>
      <c r="B7265" s="138">
        <f>'Expenditures 15-22'!E17</f>
        <v>2120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219358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500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4076</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4576</v>
      </c>
      <c r="D7719" s="2" t="str">
        <f t="shared" si="126"/>
        <v>Error?</v>
      </c>
      <c r="E7719" s="2" t="s">
        <v>827</v>
      </c>
    </row>
    <row r="7720" spans="1:6" x14ac:dyDescent="0.2">
      <c r="A7720">
        <v>7659</v>
      </c>
      <c r="B7720" s="138">
        <f>'Rest Tax Levies-Tort Im 25'!H14</f>
        <v>16936</v>
      </c>
      <c r="D7720" s="2" t="str">
        <f t="shared" si="126"/>
        <v>Error?</v>
      </c>
      <c r="E7720" s="2" t="s">
        <v>827</v>
      </c>
    </row>
    <row r="7721" spans="1:6" x14ac:dyDescent="0.2">
      <c r="A7721">
        <v>7660</v>
      </c>
      <c r="B7721" s="138">
        <f>'Rest Tax Levies-Tort Im 25'!K14</f>
        <v>4576</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0</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29'!D141</f>
        <v>34524</v>
      </c>
      <c r="D7797" s="2" t="str">
        <f t="shared" si="127"/>
        <v>Error?</v>
      </c>
      <c r="E7797" s="4" t="s">
        <v>1903</v>
      </c>
    </row>
    <row r="7798" spans="1:5" x14ac:dyDescent="0.2">
      <c r="A7798">
        <v>7737</v>
      </c>
      <c r="B7798" s="138">
        <f>'Contracts Paid in CY 29'!F141</f>
        <v>34524</v>
      </c>
      <c r="D7798" s="2" t="str">
        <f t="shared" si="127"/>
        <v>Error?</v>
      </c>
      <c r="E7798" s="4" t="s">
        <v>1903</v>
      </c>
    </row>
    <row r="7799" spans="1:5" x14ac:dyDescent="0.2">
      <c r="A7799">
        <v>7738</v>
      </c>
      <c r="B7799" s="138">
        <f>'Contracts Paid in CY 29'!G141</f>
        <v>0</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1988</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La Moille CUSD 303</v>
      </c>
      <c r="B7" s="2384"/>
      <c r="C7" s="2384"/>
      <c r="D7" s="2421"/>
      <c r="E7" s="2422">
        <f>COVER!A13</f>
        <v>28006303026</v>
      </c>
      <c r="F7" s="2423"/>
      <c r="G7" s="2390" t="str">
        <f>COVER!T23</f>
        <v>066-004501</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 xml:space="preserve">HOPKINS &amp; ASSOCIATES, CPAS </v>
      </c>
      <c r="H9" s="2397"/>
      <c r="I9" s="2397"/>
      <c r="J9" s="2397"/>
      <c r="K9" s="2397"/>
      <c r="L9" s="2398"/>
    </row>
    <row r="10" spans="1:29" ht="13.5" customHeight="1" x14ac:dyDescent="0.2">
      <c r="A10" s="2380" t="str">
        <f>COVER!A38</f>
        <v>JAY MCCRACKEN</v>
      </c>
      <c r="B10" s="2381"/>
      <c r="C10" s="2381"/>
      <c r="D10" s="2381"/>
      <c r="E10" s="2381"/>
      <c r="F10" s="2382"/>
      <c r="G10" s="2396" t="str">
        <f>COVER!T17</f>
        <v>314 S MCCOY STREET</v>
      </c>
      <c r="H10" s="2409"/>
      <c r="I10" s="2409"/>
      <c r="J10" s="2409"/>
      <c r="K10" s="2409"/>
      <c r="L10" s="2410"/>
    </row>
    <row r="11" spans="1:29" ht="13.5" customHeight="1" x14ac:dyDescent="0.2">
      <c r="A11" s="1184" t="s">
        <v>1519</v>
      </c>
      <c r="B11" s="1185"/>
      <c r="C11" s="1186"/>
      <c r="D11" s="1191"/>
      <c r="E11" s="1186"/>
      <c r="F11" s="1190"/>
      <c r="G11" s="2396" t="str">
        <f>COVER!T19</f>
        <v>GRANVILLE</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JOEL@HOPKINSOFFICE.COM</v>
      </c>
      <c r="J13" s="2418"/>
      <c r="K13" s="2418"/>
      <c r="L13" s="2419"/>
    </row>
    <row r="14" spans="1:29" ht="13.5" customHeight="1" x14ac:dyDescent="0.2">
      <c r="A14" s="2396" t="str">
        <f>COVER!A19</f>
        <v>801 S. MAIN ST.</v>
      </c>
      <c r="B14" s="2409"/>
      <c r="C14" s="2409"/>
      <c r="D14" s="2409"/>
      <c r="E14" s="2409"/>
      <c r="F14" s="2410"/>
      <c r="G14" s="1195" t="s">
        <v>1185</v>
      </c>
      <c r="H14" s="1193"/>
      <c r="I14" s="1193"/>
      <c r="J14" s="1193"/>
      <c r="K14" s="1193"/>
      <c r="L14" s="1194"/>
    </row>
    <row r="15" spans="1:29" ht="13.5" customHeight="1" x14ac:dyDescent="0.2">
      <c r="A15" s="2396" t="str">
        <f>COVER!A21</f>
        <v xml:space="preserve">LA MOILLE   </v>
      </c>
      <c r="B15" s="2409"/>
      <c r="C15" s="2409"/>
      <c r="D15" s="2409"/>
      <c r="E15" s="2409"/>
      <c r="F15" s="2410"/>
      <c r="G15" s="2406" t="str">
        <f>COVER!T15</f>
        <v xml:space="preserve">JOEL HOPKINS </v>
      </c>
      <c r="H15" s="2407"/>
      <c r="I15" s="2407"/>
      <c r="J15" s="2407"/>
      <c r="K15" s="2407"/>
      <c r="L15" s="2408"/>
    </row>
    <row r="16" spans="1:29" ht="12.2" customHeight="1" x14ac:dyDescent="0.2">
      <c r="A16" s="2386">
        <f>COVER!A25</f>
        <v>61320</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815-339-6630</v>
      </c>
      <c r="H18" s="2384"/>
      <c r="I18" s="2384"/>
      <c r="J18" s="2384"/>
      <c r="K18" s="2383" t="str">
        <f>COVER!X21</f>
        <v>815-339-6643</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3"/>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La Moille CUSD 303</v>
      </c>
      <c r="B1" s="2420"/>
      <c r="C1" s="2420"/>
      <c r="D1" s="2420"/>
    </row>
    <row r="2" spans="1:11" s="1212" customFormat="1" ht="12.75" x14ac:dyDescent="0.2">
      <c r="A2" s="2425">
        <f>'Single Audit Cover'!E7</f>
        <v>28006303026</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La Moille CUSD 303</v>
      </c>
      <c r="B1" s="2428"/>
      <c r="C1" s="2428"/>
      <c r="D1" s="2428"/>
      <c r="E1" s="2428"/>
    </row>
    <row r="2" spans="1:5" x14ac:dyDescent="0.2">
      <c r="A2" s="2429">
        <f>'Single Audit Cover'!E7</f>
        <v>28006303026</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176645</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9002</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-21092</v>
      </c>
    </row>
    <row r="19" spans="1:4" ht="13.5" thickBot="1" x14ac:dyDescent="0.25">
      <c r="A19" s="1262" t="s">
        <v>1235</v>
      </c>
      <c r="D19" s="1263">
        <f>SUM(D10:D17)</f>
        <v>164555</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164555</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164555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La Moille CUSD 303</v>
      </c>
      <c r="C1" s="2432"/>
      <c r="D1" s="2432"/>
      <c r="E1" s="2432"/>
      <c r="F1" s="2432"/>
      <c r="G1" s="2432"/>
      <c r="H1" s="2432"/>
      <c r="I1" s="2432"/>
      <c r="J1" s="2432"/>
      <c r="K1" s="2432"/>
      <c r="L1" s="2432"/>
      <c r="M1" s="2432"/>
    </row>
    <row r="2" spans="2:14" ht="15" x14ac:dyDescent="0.2">
      <c r="B2" s="2433">
        <f>'Single Audit Cover'!E7</f>
        <v>28006303026</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La Moille CUSD 303</v>
      </c>
      <c r="B1" s="2437"/>
      <c r="C1" s="2437"/>
      <c r="D1" s="2437"/>
      <c r="E1" s="2437"/>
      <c r="F1" s="2437"/>
    </row>
    <row r="2" spans="1:7" ht="13.5" customHeight="1" x14ac:dyDescent="0.2">
      <c r="A2" s="2433">
        <f>'Single Audit Cover'!E7</f>
        <v>28006303026</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9"/>
      <c r="D11" s="1277"/>
      <c r="E11" s="1899"/>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0"/>
      <c r="E30" s="1283"/>
    </row>
    <row r="31" spans="1:6" ht="12" customHeight="1" x14ac:dyDescent="0.2">
      <c r="A31" s="1284" t="s">
        <v>1549</v>
      </c>
      <c r="B31" s="328"/>
      <c r="C31" s="1462"/>
      <c r="D31" s="1900"/>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0"/>
      <c r="E33" s="1283"/>
    </row>
    <row r="34" spans="1:6" ht="13.5" customHeight="1" x14ac:dyDescent="0.2">
      <c r="A34" s="328" t="s">
        <v>1838</v>
      </c>
      <c r="B34" s="328"/>
      <c r="C34" s="1286">
        <v>0</v>
      </c>
      <c r="D34" s="1900" t="s">
        <v>1589</v>
      </c>
      <c r="E34" s="2445">
        <f>+C33+C34</f>
        <v>0</v>
      </c>
      <c r="F34" s="2446"/>
    </row>
    <row r="35" spans="1:6" ht="12" customHeight="1" x14ac:dyDescent="0.2">
      <c r="A35" s="328"/>
      <c r="B35" s="328"/>
      <c r="C35" s="1901"/>
      <c r="D35" s="1900"/>
      <c r="E35" s="1287"/>
      <c r="F35" s="1288"/>
    </row>
    <row r="36" spans="1:6" ht="13.5" customHeight="1" x14ac:dyDescent="0.2">
      <c r="A36" s="1284" t="s">
        <v>1550</v>
      </c>
      <c r="B36" s="328"/>
      <c r="C36" s="1462"/>
      <c r="D36" s="1900"/>
      <c r="E36" s="1283"/>
    </row>
    <row r="37" spans="1:6" ht="14.25" customHeight="1" x14ac:dyDescent="0.2">
      <c r="A37" s="328" t="s">
        <v>1484</v>
      </c>
      <c r="B37" s="328"/>
      <c r="C37" s="1902"/>
      <c r="D37" s="1900"/>
      <c r="E37" s="1283"/>
    </row>
    <row r="38" spans="1:6" ht="14.25" customHeight="1" x14ac:dyDescent="0.2">
      <c r="A38" s="328"/>
      <c r="B38" s="328" t="s">
        <v>1435</v>
      </c>
      <c r="C38" s="1289"/>
      <c r="D38" s="1900"/>
      <c r="E38" s="1283"/>
    </row>
    <row r="39" spans="1:6" ht="14.25" customHeight="1" x14ac:dyDescent="0.2">
      <c r="A39" s="328"/>
      <c r="B39" s="328" t="s">
        <v>1436</v>
      </c>
      <c r="C39" s="1289"/>
      <c r="D39" s="1900"/>
      <c r="E39" s="1283"/>
    </row>
    <row r="40" spans="1:6" ht="14.25" customHeight="1" x14ac:dyDescent="0.2">
      <c r="A40" s="328"/>
      <c r="B40" s="328" t="s">
        <v>1437</v>
      </c>
      <c r="C40" s="1289"/>
      <c r="D40" s="1900"/>
      <c r="E40" s="1283"/>
    </row>
    <row r="41" spans="1:6" ht="14.25" customHeight="1" x14ac:dyDescent="0.2">
      <c r="A41" s="328"/>
      <c r="B41" s="328" t="s">
        <v>1438</v>
      </c>
      <c r="C41" s="1289"/>
      <c r="D41" s="1900"/>
      <c r="E41" s="1283"/>
    </row>
    <row r="42" spans="1:6" ht="14.25" customHeight="1" x14ac:dyDescent="0.2">
      <c r="A42" s="328" t="s">
        <v>1439</v>
      </c>
      <c r="B42" s="328"/>
      <c r="C42" s="1898"/>
      <c r="D42" s="1900"/>
      <c r="E42" s="1283"/>
    </row>
    <row r="43" spans="1:6" ht="14.25" customHeight="1" x14ac:dyDescent="0.2">
      <c r="A43" s="328" t="s">
        <v>1440</v>
      </c>
      <c r="B43" s="328"/>
      <c r="C43" s="1290"/>
      <c r="D43" s="1900"/>
      <c r="E43" s="1283"/>
    </row>
    <row r="44" spans="1:6" ht="14.25" customHeight="1" x14ac:dyDescent="0.2">
      <c r="A44" s="328"/>
      <c r="B44" s="328"/>
      <c r="C44" s="1902" t="s">
        <v>1441</v>
      </c>
      <c r="D44" s="1900"/>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A11" sqref="A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La Moille CUSD 303</v>
      </c>
      <c r="C1" s="2453"/>
      <c r="D1" s="2453"/>
      <c r="E1" s="2453"/>
      <c r="F1" s="2453"/>
      <c r="G1" s="2453"/>
      <c r="H1" s="2453"/>
      <c r="I1" s="2453"/>
      <c r="J1" s="1406"/>
    </row>
    <row r="2" spans="2:10" s="317" customFormat="1" ht="12.75" customHeight="1" x14ac:dyDescent="0.2">
      <c r="B2" s="2454">
        <f>'Single Audit Cover'!E7</f>
        <v>28006303026</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2073</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La Moille CUSD 303</v>
      </c>
      <c r="C1" s="2452"/>
      <c r="D1" s="2452"/>
      <c r="E1" s="2452"/>
      <c r="F1" s="2452"/>
      <c r="G1" s="2452"/>
      <c r="H1" s="2452"/>
      <c r="I1" s="2452"/>
      <c r="J1" s="2452"/>
      <c r="K1" s="2452"/>
      <c r="L1" s="1371"/>
      <c r="M1" s="1371"/>
    </row>
    <row r="2" spans="1:13" ht="12" customHeight="1" x14ac:dyDescent="0.2">
      <c r="B2" s="2454">
        <f>'Single Audit Cover'!E7</f>
        <v>28006303026</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La Moille CUSD 303</v>
      </c>
      <c r="C1" s="2479"/>
      <c r="D1" s="2479"/>
      <c r="E1" s="2479"/>
      <c r="F1" s="2479"/>
      <c r="G1" s="2479"/>
      <c r="H1" s="2479"/>
      <c r="I1" s="2479"/>
      <c r="J1" s="2479"/>
      <c r="K1" s="2479"/>
      <c r="L1" s="1449"/>
    </row>
    <row r="2" spans="1:12" ht="12.75" customHeight="1" x14ac:dyDescent="0.2">
      <c r="B2" s="2480">
        <f>'Single Audit Cover'!E7</f>
        <v>28006303026</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La Moille CUSD 303</v>
      </c>
      <c r="C1" s="2452"/>
      <c r="D1" s="2452"/>
      <c r="E1" s="1469"/>
    </row>
    <row r="2" spans="2:5" s="1279" customFormat="1" ht="12.75" customHeight="1" x14ac:dyDescent="0.2">
      <c r="B2" s="2454">
        <f>'Single Audit Cover'!E7</f>
        <v>28006303026</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www.w3.org/XML/1998/namespace"/>
    <ds:schemaRef ds:uri="d21dc803-237d-4c68-8692-8d731fd29118"/>
    <ds:schemaRef ds:uri="http://schemas.microsoft.com/office/infopath/2007/PartnerControls"/>
    <ds:schemaRef ds:uri="6ce3111e-7420-4802-b50a-75d4e9a0b980"/>
    <ds:schemaRef ds:uri="4d435f69-8686-490b-bd6d-b153bf22ab50"/>
    <ds:schemaRef ds:uri="http://schemas.microsoft.com/sharepoint/v3"/>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2019-09-09T20:43:28Z</cp:lastPrinted>
  <dcterms:created xsi:type="dcterms:W3CDTF">2003-10-29T19:06:34Z</dcterms:created>
  <dcterms:modified xsi:type="dcterms:W3CDTF">2019-11-26T20:02:51Z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