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A9666C2-D7ED-4464-8138-3EBDF9689D12}"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SEFA'!$B$1:$M$51</definedName>
    <definedName name="_xlnm.Print_Area" localSheetId="28">' SEFA (2)'!$B$1:$M$50</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3" i="3" l="1"/>
  <c r="L15" i="184" l="1"/>
  <c r="L14" i="184"/>
  <c r="L11" i="184"/>
  <c r="L32" i="179"/>
  <c r="L31" i="179"/>
  <c r="L30" i="179"/>
  <c r="J22" i="179" l="1"/>
  <c r="J18" i="179"/>
  <c r="M22" i="184"/>
  <c r="K22" i="184"/>
  <c r="J22" i="184"/>
  <c r="I22" i="184"/>
  <c r="H22" i="184"/>
  <c r="G22" i="184"/>
  <c r="F22" i="184"/>
  <c r="E22" i="184"/>
  <c r="M29" i="184" l="1"/>
  <c r="K29" i="184"/>
  <c r="J29" i="184"/>
  <c r="I29" i="184"/>
  <c r="H29" i="184"/>
  <c r="G29" i="184"/>
  <c r="F29" i="184"/>
  <c r="E29" i="184"/>
  <c r="M19" i="184"/>
  <c r="K19" i="184"/>
  <c r="J19" i="184"/>
  <c r="I19" i="184"/>
  <c r="H19" i="184"/>
  <c r="G19" i="184"/>
  <c r="F19" i="184"/>
  <c r="E19" i="184"/>
  <c r="M16" i="184"/>
  <c r="L16" i="184"/>
  <c r="K16" i="184"/>
  <c r="J16" i="184"/>
  <c r="I16" i="184"/>
  <c r="H16" i="184"/>
  <c r="G16" i="184"/>
  <c r="F16" i="184"/>
  <c r="E16" i="184"/>
  <c r="M13" i="184"/>
  <c r="K13" i="184"/>
  <c r="J13" i="184"/>
  <c r="I13" i="184"/>
  <c r="H13" i="184"/>
  <c r="G13" i="184"/>
  <c r="F13" i="184"/>
  <c r="E13" i="184"/>
  <c r="M33" i="179"/>
  <c r="L33" i="179"/>
  <c r="K33" i="179"/>
  <c r="J33" i="179"/>
  <c r="I33" i="179"/>
  <c r="I23" i="184" s="1"/>
  <c r="H33" i="179"/>
  <c r="G33" i="179"/>
  <c r="G23" i="184" s="1"/>
  <c r="F33" i="179"/>
  <c r="F23" i="184" s="1"/>
  <c r="E33" i="179"/>
  <c r="E23" i="184" s="1"/>
  <c r="M25" i="179"/>
  <c r="K25" i="179"/>
  <c r="J25" i="179"/>
  <c r="I25" i="179"/>
  <c r="H25" i="179"/>
  <c r="G25" i="179"/>
  <c r="F25" i="179"/>
  <c r="E25" i="179"/>
  <c r="M21" i="179"/>
  <c r="K21" i="179"/>
  <c r="J21" i="179"/>
  <c r="I21" i="179"/>
  <c r="H21" i="179"/>
  <c r="G21" i="179"/>
  <c r="F21" i="179"/>
  <c r="E21" i="179"/>
  <c r="M17" i="179"/>
  <c r="K17" i="179"/>
  <c r="J17" i="179"/>
  <c r="I17" i="179"/>
  <c r="H17" i="179"/>
  <c r="G17" i="179"/>
  <c r="G26" i="179" s="1"/>
  <c r="F17" i="179"/>
  <c r="E17" i="179"/>
  <c r="E26" i="179" s="1"/>
  <c r="E31" i="184" s="1"/>
  <c r="G31" i="184" l="1"/>
  <c r="M23" i="184"/>
  <c r="M26" i="179"/>
  <c r="K23" i="184"/>
  <c r="K26" i="179"/>
  <c r="K31" i="184" s="1"/>
  <c r="J23" i="184"/>
  <c r="J26" i="179"/>
  <c r="J31" i="184" s="1"/>
  <c r="I26" i="179"/>
  <c r="H23" i="184"/>
  <c r="H26" i="179"/>
  <c r="F26" i="179"/>
  <c r="F31" i="184" s="1"/>
  <c r="L29" i="184"/>
  <c r="L28" i="184"/>
  <c r="L27" i="184"/>
  <c r="L21" i="184"/>
  <c r="L20" i="184"/>
  <c r="L19" i="184"/>
  <c r="L18" i="184"/>
  <c r="L17" i="184"/>
  <c r="L13" i="184"/>
  <c r="L12" i="184"/>
  <c r="B4" i="184"/>
  <c r="M31" i="184" l="1"/>
  <c r="L22" i="184"/>
  <c r="L23" i="184"/>
  <c r="I31" i="184"/>
  <c r="H31" i="184"/>
  <c r="D20" i="181"/>
  <c r="I13" i="11"/>
  <c r="I14" i="11"/>
  <c r="I12" i="11"/>
  <c r="D13" i="11"/>
  <c r="E16" i="7"/>
  <c r="E14" i="7"/>
  <c r="E12" i="7"/>
  <c r="E11" i="7"/>
  <c r="E10" i="7"/>
  <c r="E7" i="7"/>
  <c r="E5" i="7"/>
  <c r="E4" i="7"/>
  <c r="D325" i="29"/>
  <c r="C325" i="29"/>
  <c r="D241" i="29"/>
  <c r="D268" i="29"/>
  <c r="D267" i="29"/>
  <c r="D266" i="29"/>
  <c r="D264" i="29"/>
  <c r="D259" i="29"/>
  <c r="D254" i="29"/>
  <c r="D246" i="29"/>
  <c r="D237" i="29"/>
  <c r="D233" i="29"/>
  <c r="D224" i="29"/>
  <c r="D223" i="29"/>
  <c r="D216" i="29"/>
  <c r="D215" i="29"/>
  <c r="F182" i="29"/>
  <c r="E182" i="29"/>
  <c r="D182" i="29"/>
  <c r="C182" i="29"/>
  <c r="G124" i="29"/>
  <c r="F124" i="29"/>
  <c r="E124" i="29"/>
  <c r="D124" i="29"/>
  <c r="C124" i="29"/>
  <c r="D5" i="29"/>
  <c r="E40" i="29"/>
  <c r="D8" i="29"/>
  <c r="D7" i="29"/>
  <c r="F63" i="29"/>
  <c r="E60" i="29"/>
  <c r="D60" i="29"/>
  <c r="H55" i="29"/>
  <c r="F55" i="29"/>
  <c r="E55" i="29"/>
  <c r="D55" i="29"/>
  <c r="C55" i="29"/>
  <c r="D50" i="29"/>
  <c r="C50" i="29"/>
  <c r="E49" i="29"/>
  <c r="F45" i="29"/>
  <c r="E45" i="29"/>
  <c r="D45" i="29"/>
  <c r="C45" i="29"/>
  <c r="D41" i="29"/>
  <c r="C41" i="29"/>
  <c r="D40" i="29"/>
  <c r="F37" i="29"/>
  <c r="D37" i="29"/>
  <c r="D15" i="29"/>
  <c r="F14" i="29"/>
  <c r="D14" i="29"/>
  <c r="C14" i="29"/>
  <c r="H14" i="29"/>
  <c r="E14" i="29"/>
  <c r="E10" i="29"/>
  <c r="D10" i="29"/>
  <c r="C10" i="29"/>
  <c r="D9" i="29"/>
  <c r="C9" i="29"/>
  <c r="C8" i="29"/>
  <c r="F7" i="29"/>
  <c r="E7" i="29"/>
  <c r="C7" i="29"/>
  <c r="F5" i="29"/>
  <c r="C5" i="29"/>
  <c r="F98" i="5"/>
  <c r="C159" i="5" l="1"/>
  <c r="C65" i="5"/>
  <c r="M19" i="3"/>
  <c r="D4" i="3"/>
  <c r="C39" i="3"/>
  <c r="F139" i="181" l="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F31" i="181" s="1"/>
  <c r="G31" i="181" s="1"/>
  <c r="E30" i="181"/>
  <c r="F30" i="181" s="1"/>
  <c r="G30" i="181" s="1"/>
  <c r="E29" i="181"/>
  <c r="F29" i="181" s="1"/>
  <c r="G29" i="181" s="1"/>
  <c r="E28" i="181"/>
  <c r="E27" i="181"/>
  <c r="F27" i="181" s="1"/>
  <c r="G27" i="181" s="1"/>
  <c r="E26" i="181"/>
  <c r="E25" i="181"/>
  <c r="F25" i="181" s="1"/>
  <c r="G25" i="181" s="1"/>
  <c r="E24" i="181"/>
  <c r="E23" i="181"/>
  <c r="F23" i="181" s="1"/>
  <c r="G23" i="181" s="1"/>
  <c r="E22" i="181"/>
  <c r="F22" i="181" s="1"/>
  <c r="G22" i="181" s="1"/>
  <c r="E21" i="181"/>
  <c r="F21" i="181" s="1"/>
  <c r="G21" i="181" s="1"/>
  <c r="E20" i="181"/>
  <c r="F20" i="181" s="1"/>
  <c r="G20" i="181" s="1"/>
  <c r="E19" i="181"/>
  <c r="E18" i="181"/>
  <c r="F42" i="181" l="1"/>
  <c r="G42" i="181" s="1"/>
  <c r="F41" i="181"/>
  <c r="G41" i="181" s="1"/>
  <c r="F32" i="181"/>
  <c r="G32" i="181" s="1"/>
  <c r="F28" i="181"/>
  <c r="G28" i="181" s="1"/>
  <c r="F26" i="181"/>
  <c r="G26" i="181" s="1"/>
  <c r="F24" i="181"/>
  <c r="G24" i="181" s="1"/>
  <c r="F19" i="181"/>
  <c r="G19" i="181" s="1"/>
  <c r="F18" i="181"/>
  <c r="G18" i="181" s="1"/>
  <c r="D140" i="181"/>
  <c r="D80" i="36" l="1"/>
  <c r="B7797" i="106"/>
  <c r="E140" i="181"/>
  <c r="E17" i="181"/>
  <c r="F17" i="181" s="1"/>
  <c r="E16" i="181"/>
  <c r="F16" i="181" l="1"/>
  <c r="G16" i="181" s="1"/>
  <c r="G17" i="181"/>
  <c r="G140" i="181" s="1"/>
  <c r="G40" i="108" l="1"/>
  <c r="B7799" i="106"/>
  <c r="F140" i="181"/>
  <c r="B7798" i="106" s="1"/>
  <c r="E40" i="108"/>
  <c r="B4" i="179" l="1"/>
  <c r="D17" i="171" l="1"/>
  <c r="L24" i="179" l="1"/>
  <c r="L23" i="179"/>
  <c r="L22" i="179"/>
  <c r="L25" i="179" s="1"/>
  <c r="L20" i="179"/>
  <c r="L19" i="179"/>
  <c r="L18" i="179"/>
  <c r="L16" i="179"/>
  <c r="L15" i="179"/>
  <c r="L14" i="179"/>
  <c r="L13" i="179"/>
  <c r="L21" i="179" l="1"/>
  <c r="L17" i="179"/>
  <c r="D14" i="17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L26" i="179"/>
  <c r="L31" i="184" s="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C342" i="29" l="1"/>
  <c r="B7216" i="106" s="1"/>
  <c r="D7216" i="106" s="1"/>
  <c r="E28" i="108"/>
  <c r="F38" i="34"/>
  <c r="D54" i="36"/>
  <c r="D11" i="37"/>
  <c r="D69" i="36"/>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B1381" i="106"/>
  <c r="D1381" i="106"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F8" i="4"/>
  <c r="F10" i="4" s="1"/>
  <c r="B4125" i="106" s="1"/>
  <c r="D4125"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<sst xmlns="http://schemas.openxmlformats.org/spreadsheetml/2006/main" count="5248" uniqueCount="2162">
  <si>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</si>
  <si>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</si>
  <si>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</si>
  <si>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</si>
  <si>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</si>
  <si>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</si>
  <si>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</si>
  <si>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</si>
  <si>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</si>
  <si>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</si>
  <si>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</si>
  <si>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</si>
  <si>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</si>
  <si>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</si>
  <si>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</si>
  <si>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</si>
  <si>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</si>
  <si>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</si>
  <si>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</si>
  <si>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</si>
  <si>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</si>
  <si>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</si>
  <si>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</si>
  <si>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</si>
  <si>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</si>
  <si>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</si>
  <si>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</si>
  <si>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</si>
  <si>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</si>
  <si>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</si>
  <si>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</si>
  <si>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</si>
  <si>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</si>
  <si>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</si>
  <si>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</si>
  <si>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</si>
  <si>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</si>
  <si>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</si>
  <si>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</si>
  <si>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</si>
  <si>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</si>
  <si>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</si>
  <si>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</si>
  <si>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</si>
  <si>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</si>
  <si>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</si>
  <si>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</si>
  <si>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</si>
  <si>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</si>
  <si>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</si>
  <si>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</si>
  <si>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</si>
  <si>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</si>
  <si>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</si>
  <si>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</si>
  <si>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</si>
  <si>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</si>
  <si>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</si>
  <si>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</si>
  <si>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</si>
  <si>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</si>
  <si>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</si>
  <si>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</si>
  <si>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</si>
  <si>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</si>
  <si>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</si>
  <si>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</si>
  <si>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</si>
  <si>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</si>
  <si>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</si>
  <si>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</si>
  <si>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</si>
  <si>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</si>
  <si>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</si>
  <si>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</si>
  <si>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</si>
  <si>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</si>
  <si>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</si>
  <si>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</si>
  <si>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</si>
  <si>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</si>
  <si>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</si>
  <si>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</si>
  <si>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</si>
  <si>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</si>
  <si>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</si>
  <si>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</si>
  <si>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</si>
  <si>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</si>
  <si>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</si>
  <si>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</si>
  <si>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</si>
  <si>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</si>
  <si>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</si>
  <si>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</si>
  <si>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</si>
  <si>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</si>
  <si>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</si>
  <si>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</si>
  <si>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</si>
  <si>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</si>
  <si>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</si>
  <si>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</si>
  <si>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</si>
  <si>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</si>
  <si>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</si>
  <si>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</si>
  <si>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</si>
  <si>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</si>
  <si>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</si>
  <si>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</si>
  <si>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</si>
  <si>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</si>
  <si>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</si>
  <si>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</si>
  <si>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</si>
  <si>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</si>
  <si>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</si>
  <si>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</si>
  <si>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</si>
  <si>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</si>
  <si>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</si>
  <si>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</si>
  <si>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</si>
  <si>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</si>
  <si>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</si>
  <si>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</si>
  <si>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</si>
  <si>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</si>
  <si>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</si>
  <si>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</si>
  <si>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</si>
  <si>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</si>
  <si>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</si>
  <si>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</si>
  <si>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</si>
  <si>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</si>
  <si>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</si>
  <si>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</si>
  <si>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</si>
  <si>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</si>
  <si>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</si>
  <si>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</si>
  <si>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</si>
  <si>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</si>
  <si>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</si>
  <si>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</si>
  <si>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</si>
  <si>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</si>
  <si>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</si>
  <si>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</si>
  <si>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</si>
  <si>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</si>
  <si>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</si>
  <si>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</si>
  <si>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</si>
  <si>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</si>
  <si>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</si>
  <si>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</si>
  <si>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</si>
  <si>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</si>
  <si>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</si>
  <si>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</si>
  <si>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</si>
  <si>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</si>
  <si>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</si>
  <si>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</si>
  <si>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</si>
  <si>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</si>
  <si>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</si>
  <si>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</si>
  <si>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</si>
  <si>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</si>
  <si>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</si>
  <si>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</si>
  <si>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</si>
  <si>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</si>
  <si>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</si>
  <si>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</si>
  <si>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</si>
  <si>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</si>
  <si>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</si>
  <si>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</si>
  <si>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</si>
  <si>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</si>
  <si>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</si>
  <si>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</si>
  <si>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</si>
  <si>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</si>
  <si>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</si>
  <si>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</si>
  <si>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</si>
  <si>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</si>
  <si>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</si>
  <si>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</si>
  <si>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</si>
  <si>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</si>
  <si>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</si>
  <si>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</si>
  <si>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</si>
  <si>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</si>
  <si>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</si>
  <si>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</si>
  <si>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</si>
  <si>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</si>
  <si>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</si>
  <si>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</si>
  <si>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</si>
  <si>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</si>
  <si>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</si>
  <si>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</si>
  <si>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</si>
  <si>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</si>
  <si>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</si>
  <si>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</si>
  <si>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</si>
  <si>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</si>
  <si>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</si>
  <si>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</si>
  <si>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</si>
  <si>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</si>
  <si>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</si>
  <si>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</si>
  <si>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</si>
  <si>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</si>
  <si>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</si>
  <si>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</si>
  <si>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</si>
  <si>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</si>
  <si>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</si>
  <si>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</si>
  <si>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</si>
  <si>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</si>
  <si>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</si>
  <si>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</si>
  <si>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</si>
  <si>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</si>
  <si>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</si>
  <si>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</si>
  <si>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</si>
  <si>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</si>
  <si>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</si>
  <si>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</si>
  <si>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</si>
  <si>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</si>
  <si>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</si>
  <si>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</si>
  <si>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</si>
  <si>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</si>
  <si>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</si>
  <si>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</si>
  <si>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</si>
  <si>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</si>
  <si>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</si>
  <si>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</si>
  <si>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</si>
  <si>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</si>
  <si>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</si>
  <si>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</si>
  <si>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</si>
  <si>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</si>
  <si>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</si>
  <si>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</si>
  <si>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</si>
  <si>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</si>
  <si>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</si>
  <si>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</si>
  <si>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</si>
  <si>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</si>
  <si>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</si>
  <si>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</si>
  <si>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</si>
  <si>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</si>
  <si>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</si>
  <si>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</si>
  <si>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</si>
  <si>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</si>
  <si>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</si>
  <si>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</si>
  <si>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</si>
  <si>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</si>
  <si>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</si>
  <si>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</si>
  <si>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</si>
  <si>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</si>
  <si>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</si>
  <si>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</si>
  <si>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</si>
  <si>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</si>
  <si>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</si>
  <si>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</si>
  <si>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</si>
  <si>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</si>
  <si>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</si>
  <si>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</si>
  <si>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</si>
  <si>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</si>
  <si>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</si>
  <si>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</si>
  <si>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</si>
  <si>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</si>
  <si>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</si>
  <si>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</si>
  <si>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</si>
  <si>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</si>
  <si>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</si>
  <si>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</si>
  <si>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</si>
  <si>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</si>
  <si>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</si>
  <si>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</si>
  <si>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</si>
  <si>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</si>
  <si>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</si>
  <si>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</si>
  <si>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</si>
  <si>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</si>
  <si>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</si>
  <si>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</si>
  <si>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</si>
  <si>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</si>
  <si>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</si>
  <si>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</si>
  <si>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</si>
  <si>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</si>
  <si>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</si>
  <si>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</si>
  <si>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</si>
  <si>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</si>
  <si>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</si>
  <si>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</si>
  <si>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</si>
  <si>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</si>
  <si>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</si>
  <si>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</si>
  <si>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</si>
  <si>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</si>
  <si>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</si>
  <si>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</si>
  <si>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</si>
  <si>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</si>
  <si>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</si>
  <si>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</si>
  <si>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</si>
  <si>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</si>
  <si>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</si>
  <si>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</si>
  <si>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</si>
  <si>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</si>
  <si>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</si>
  <si>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</si>
  <si>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</si>
  <si>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</si>
  <si>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</si>
  <si>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</si>
  <si>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</si>
  <si>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</si>
  <si>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</si>
  <si>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</si>
  <si>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</si>
  <si>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</si>
  <si>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</si>
  <si>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</si>
  <si>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</si>
  <si>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</si>
  <si>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</si>
  <si>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</si>
  <si>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</si>
  <si>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</si>
  <si>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</si>
  <si>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</si>
  <si>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</si>
  <si>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</si>
  <si>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</si>
  <si>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</si>
  <si>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</si>
  <si>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</si>
  <si>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</si>
  <si>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</si>
  <si>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</si>
  <si>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</si>
  <si>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</si>
  <si>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</si>
  <si>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</si>
  <si>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</si>
  <si>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</si>
  <si>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</si>
  <si>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</si>
  <si>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</si>
  <si>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</si>
  <si>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</si>
  <si>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</si>
  <si>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</si>
  <si>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</si>
  <si>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</si>
  <si>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</si>
  <si>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</si>
  <si>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</si>
  <si>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</si>
  <si>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</si>
  <si>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</si>
  <si>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</si>
  <si>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</si>
  <si>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</si>
  <si>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</si>
  <si>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</si>
  <si>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</si>
  <si>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</si>
  <si>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</si>
  <si>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</si>
  <si>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</si>
  <si>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</si>
  <si>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</si>
  <si>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</si>
  <si>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</si>
  <si>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</si>
  <si>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</si>
  <si>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</si>
  <si>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</si>
  <si>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</si>
  <si>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</si>
  <si>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</si>
  <si>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</si>
  <si>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</si>
  <si>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</si>
  <si>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</si>
  <si>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</si>
  <si>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</si>
  <si>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</si>
  <si>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</si>
  <si>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</si>
  <si>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</si>
  <si>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</si>
  <si>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</si>
  <si>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</si>
  <si>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</si>
  <si>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</si>
  <si>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</si>
  <si>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</si>
  <si>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</si>
  <si>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</si>
  <si>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</si>
  <si>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</si>
  <si>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</si>
  <si>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</si>
  <si>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</si>
  <si>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</si>
  <si>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</si>
  <si>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</si>
  <si>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</si>
  <si>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</si>
  <si>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</si>
  <si>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</si>
  <si>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</si>
  <si>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</si>
  <si>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</si>
  <si>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</si>
  <si>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</si>
  <si>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</si>
  <si>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</si>
  <si>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</si>
  <si>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</si>
  <si>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</si>
  <si>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</si>
  <si>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</si>
  <si>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</si>
  <si>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</si>
  <si>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</si>
  <si>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</si>
  <si>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</si>
  <si>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</si>
  <si>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</si>
  <si>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</si>
  <si>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</si>
  <si>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</si>
  <si>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</si>
  <si>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</si>
  <si>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</si>
  <si>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</si>
  <si>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</si>
  <si>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</si>
  <si>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</si>
  <si>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</si>
  <si>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</si>
  <si>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</si>
  <si>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</si>
  <si>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</si>
  <si>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</si>
  <si>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</si>
  <si>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</si>
  <si>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</si>
  <si>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</si>
  <si>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</si>
  <si>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</si>
  <si>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</si>
  <si>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</si>
  <si>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</si>
  <si>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</si>
  <si>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</si>
  <si>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</si>
  <si>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</si>
  <si>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</si>
  <si>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</si>
  <si>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</si>
  <si>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</si>
  <si>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</si>
  <si>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</si>
  <si>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</si>
  <si>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</si>
  <si>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</si>
  <si>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</si>
  <si>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</si>
  <si>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</si>
  <si>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</si>
  <si>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</si>
  <si>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</si>
  <si>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</si>
  <si>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</si>
  <si>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</si>
  <si>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</si>
  <si>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</si>
  <si>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</si>
  <si>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</si>
  <si>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</si>
  <si>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</si>
  <si>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</si>
  <si>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</si>
  <si>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</si>
  <si>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</si>
  <si>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</si>
  <si>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</si>
  <si>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</si>
  <si>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</si>
  <si>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</si>
  <si>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</si>
  <si>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</si>
  <si>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</si>
  <si>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</si>
  <si>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</si>
  <si>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</si>
  <si>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</si>
  <si>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</si>
  <si>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</si>
  <si>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</si>
  <si>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</si>
  <si>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</si>
  <si>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</si>
  <si>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</si>
  <si>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</si>
  <si>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</si>
  <si>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</si>
  <si>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</si>
  <si>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</si>
  <si>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</si>
  <si>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</si>
  <si>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</si>
  <si>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</si>
  <si>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</si>
  <si>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</si>
  <si>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</si>
  <si>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</si>
  <si>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</si>
  <si>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</si>
  <si>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</si>
  <si>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</si>
  <si>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</si>
  <si>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</si>
  <si>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</si>
  <si>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</si>
  <si>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</si>
  <si>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</si>
  <si>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</si>
  <si>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</si>
  <si>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</si>
  <si>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</si>
  <si>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</si>
  <si>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</si>
  <si>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</si>
  <si>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</si>
  <si>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</si>
  <si>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</si>
  <si>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</si>
  <si>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</si>
  <si>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</si>
  <si>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</si>
  <si>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</si>
  <si>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</si>
  <si>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</si>
  <si>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</si>
  <si>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</si>
  <si>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</si>
  <si>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</si>
  <si>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</si>
  <si>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</si>
  <si>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</si>
  <si>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</si>
  <si>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</si>
  <si>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</si>
  <si>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</si>
  <si>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</si>
  <si>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</si>
  <si>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</si>
  <si>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</si>
  <si>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</si>
  <si>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</si>
  <si>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</si>
  <si>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</si>
  <si>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</si>
  <si>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</si>
  <si>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</si>
  <si>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</si>
  <si>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</si>
  <si>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</si>
  <si>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</si>
  <si>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</si>
  <si>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</si>
  <si>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</si>
  <si>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</si>
  <si>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</si>
  <si>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</si>
  <si>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</si>
  <si>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</si>
  <si>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</si>
  <si>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</si>
  <si>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</si>
  <si>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</si>
  <si>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</si>
  <si>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</si>
  <si>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</si>
  <si>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</si>
  <si>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</si>
  <si>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</si>
  <si>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</si>
  <si>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</si>
  <si>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</si>
  <si>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</si>
  <si>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</si>
  <si>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</si>
  <si>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</si>
  <si>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</si>
  <si>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</si>
  <si>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</si>
  <si>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</si>
  <si>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</si>
  <si>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</si>
  <si>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</si>
  <si>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</si>
  <si>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</si>
  <si>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</si>
  <si>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</si>
  <si>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</si>
  <si>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</si>
  <si>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</si>
  <si>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</si>
  <si>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</si>
  <si>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</si>
  <si>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</si>
  <si>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</si>
  <si>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</si>
  <si>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</si>
  <si>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</si>
  <si>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</si>
  <si>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</si>
  <si>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</si>
  <si>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</si>
  <si>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</si>
  <si>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</si>
  <si>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</si>
  <si>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</si>
  <si>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</si>
  <si>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</si>
  <si>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</si>
  <si>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</si>
  <si>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</si>
  <si>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</si>
  <si>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</si>
  <si>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</si>
  <si>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</si>
  <si>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</si>
  <si>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</si>
  <si>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</si>
  <si>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</si>
  <si>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</si>
  <si>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</si>
  <si>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</si>
  <si>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</si>
  <si>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</si>
  <si>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</si>
  <si>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</si>
  <si>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</si>
  <si>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</si>
  <si>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</si>
  <si>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</si>
  <si>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</si>
  <si>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</si>
  <si>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</si>
  <si>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</si>
  <si>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</si>
  <si>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</si>
  <si>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</si>
  <si>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</si>
  <si>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</si>
  <si>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</si>
  <si>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</si>
  <si>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</si>
  <si>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</si>
  <si>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</si>
  <si>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</si>
  <si>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</si>
  <si>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</si>
  <si>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</si>
  <si>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</si>
  <si>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</si>
  <si>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</si>
  <si>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</si>
  <si>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</si>
  <si>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</si>
  <si>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</si>
  <si>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</si>
  <si>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</si>
  <si>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</si>
  <si>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</si>
  <si>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</si>
  <si>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</si>
  <si>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</si>
  <si>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</si>
  <si>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</si>
  <si>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</si>
  <si>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</si>
  <si>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</si>
  <si>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</si>
  <si>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</si>
  <si>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</si>
  <si>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</si>
  <si>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</si>
  <si>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</si>
  <si>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</si>
  <si>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</si>
  <si>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</si>
  <si>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</si>
  <si>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</si>
  <si>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</si>
  <si>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</si>
  <si>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</si>
  <si>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</si>
  <si>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</si>
  <si>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</si>
  <si>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</si>
  <si>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</si>
  <si>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</si>
  <si>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</si>
  <si>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</si>
  <si>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</si>
  <si>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</si>
  <si>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</si>
  <si>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</si>
  <si>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</si>
  <si>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</si>
  <si>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</si>
  <si>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</si>
  <si>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</si>
  <si>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</si>
  <si>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</si>
  <si>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</si>
  <si>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</si>
  <si>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</si>
  <si>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</si>
  <si>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</si>
  <si>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</si>
  <si>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</si>
  <si>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</si>
  <si>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</si>
  <si>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</si>
  <si>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</si>
  <si>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</si>
  <si>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</si>
  <si>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</si>
  <si>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</si>
  <si>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</si>
  <si>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</si>
  <si>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</si>
  <si>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</si>
  <si>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</si>
  <si>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</si>
  <si>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</si>
  <si>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</si>
  <si>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</si>
  <si>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</si>
  <si>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</si>
  <si>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</si>
  <si>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</si>
  <si>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</si>
  <si>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</si>
  <si>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</si>
  <si>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</si>
  <si>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</si>
  <si>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</si>
  <si>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</si>
  <si>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</si>
  <si>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</si>
  <si>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</si>
  <si>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</si>
  <si>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</si>
  <si>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</si>
  <si>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</si>
  <si>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</si>
  <si>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</si>
  <si>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</si>
  <si>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</si>
  <si>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</si>
  <si>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</si>
  <si>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</si>
  <si>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</si>
  <si>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</si>
  <si>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</si>
  <si>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</si>
  <si>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</si>
  <si>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</si>
  <si>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</si>
  <si>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</si>
  <si>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</si>
  <si>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</si>
  <si>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</si>
  <si>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</si>
  <si>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</si>
  <si>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</si>
  <si>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</si>
  <si>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</si>
  <si>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</si>
  <si>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</si>
  <si>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</si>
  <si>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</si>
  <si>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</si>
  <si>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</si>
  <si>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</si>
  <si>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</si>
  <si>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</si>
  <si>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</si>
  <si>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</si>
  <si>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</si>
  <si>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</si>
  <si>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</si>
  <si>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</si>
  <si>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</si>
  <si>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</si>
  <si>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</si>
  <si>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</si>
  <si>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</si>
  <si>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</si>
  <si>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</si>
  <si>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</si>
  <si>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</si>
  <si>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</si>
  <si>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</si>
  <si>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</si>
  <si>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</si>
  <si>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</si>
  <si>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</si>
  <si>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</si>
  <si>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</si>
  <si>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</si>
  <si>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</si>
  <si>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</si>
  <si>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</si>
  <si>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</si>
  <si>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</si>
  <si>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</si>
  <si>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</si>
  <si>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</si>
  <si>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</si>
  <si>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</si>
  <si>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</si>
  <si>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</si>
  <si>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</si>
  <si>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</si>
  <si>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</si>
  <si>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</si>
  <si>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</si>
  <si>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</si>
  <si>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</si>
  <si>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</si>
  <si>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</si>
  <si>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</si>
  <si>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</si>
  <si>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</si>
  <si>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</si>
  <si>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</si>
  <si>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</si>
  <si>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</si>
  <si>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</si>
  <si>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</si>
  <si>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</si>
  <si>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</si>
  <si>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</si>
  <si>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</si>
  <si>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</si>
  <si>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</si>
  <si>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</si>
  <si>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</si>
  <si>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</si>
  <si>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</si>
  <si>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</si>
  <si>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</si>
  <si>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</si>
  <si>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</si>
  <si>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</si>
  <si>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</si>
  <si>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</si>
  <si>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</si>
  <si>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</si>
  <si>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</si>
  <si>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</si>
  <si>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</si>
  <si>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</si>
  <si>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</si>
  <si>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</si>
  <si>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</si>
  <si>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</si>
  <si>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</si>
  <si>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</si>
  <si>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</si>
  <si>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</si>
  <si>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</si>
  <si>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</si>
  <si>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</si>
  <si>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</si>
  <si>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</si>
  <si>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</si>
  <si>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</si>
  <si>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</si>
  <si>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</si>
  <si>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</si>
  <si>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</si>
  <si>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</si>
  <si>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</si>
  <si>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</si>
  <si>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</si>
  <si>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</si>
  <si>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</si>
  <si>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</si>
  <si>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</si>
  <si>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</si>
  <si>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</si>
  <si>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</si>
  <si>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</si>
  <si>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</si>
  <si>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</si>
  <si>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</si>
  <si>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</si>
  <si>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</si>
  <si>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</si>
  <si>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</si>
  <si>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</si>
  <si>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</si>
  <si>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</si>
  <si>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</si>
  <si>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</si>
  <si>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</si>
  <si>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</si>
  <si>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</si>
  <si>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</si>
  <si>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</si>
  <si>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</si>
  <si>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</si>
  <si>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</si>
  <si>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</si>
  <si>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</si>
  <si>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</si>
  <si>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</si>
  <si>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</si>
  <si>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</si>
  <si>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</si>
  <si>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</si>
  <si>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</si>
  <si>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</si>
  <si>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</si>
  <si>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</si>
  <si>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</si>
  <si>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</si>
  <si>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</si>
  <si>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</si>
  <si>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</si>
  <si>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</si>
  <si>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</si>
  <si>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</si>
  <si>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</si>
  <si>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</si>
  <si>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</si>
  <si>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</si>
  <si>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</si>
  <si>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</si>
  <si>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</si>
  <si>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</si>
  <si>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</si>
  <si>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</si>
  <si>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</si>
  <si>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</si>
  <si>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</si>
  <si>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</si>
  <si>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</si>
  <si>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</si>
  <si>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</si>
  <si>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</si>
  <si>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</si>
  <si>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</si>
  <si>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</si>
  <si>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</si>
  <si>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</si>
  <si>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</si>
  <si>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</si>
  <si>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</si>
  <si>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</si>
  <si>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</si>
  <si>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</si>
  <si>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</si>
  <si>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</si>
  <si>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</si>
  <si>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</si>
  <si>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</si>
  <si>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</si>
  <si>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</si>
  <si>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</si>
  <si>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</si>
  <si>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</si>
  <si>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</si>
  <si>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</si>
  <si>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</si>
  <si>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</si>
  <si>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</si>
  <si>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</si>
  <si>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</si>
  <si>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</si>
  <si>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</si>
  <si>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</si>
  <si>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</si>
  <si>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</si>
  <si>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</si>
  <si>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</si>
  <si>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</si>
  <si>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</si>
  <si>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</si>
  <si>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</si>
  <si>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</si>
  <si>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</si>
  <si>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</si>
  <si>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</si>
  <si>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</si>
  <si>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</si>
  <si>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</si>
  <si>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</si>
  <si>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</si>
  <si>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</si>
  <si>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</si>
  <si>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</si>
  <si>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</si>
  <si>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</si>
  <si>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</si>
  <si>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</si>
  <si>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</si>
  <si>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</si>
  <si>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</si>
  <si>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</si>
  <si>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</si>
  <si>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</si>
  <si>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</si>
  <si>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</si>
  <si>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</si>
  <si>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</si>
  <si>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</si>
  <si>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</si>
  <si>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</si>
  <si>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</si>
  <si>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</si>
  <si>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</si>
  <si>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</si>
  <si>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</si>
  <si>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</si>
  <si>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</si>
  <si>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</si>
  <si>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</si>
  <si>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</si>
  <si>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</si>
  <si>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</si>
  <si>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</si>
  <si>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</si>
  <si>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</si>
  <si>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</si>
  <si>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</si>
  <si>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</si>
  <si>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</si>
  <si>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</si>
  <si>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</si>
  <si>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</si>
  <si>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</si>
  <si>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</si>
  <si>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</si>
  <si>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</si>
  <si>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</si>
  <si>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</si>
  <si>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</si>
  <si>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</si>
  <si>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</si>
  <si>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</si>
  <si>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</si>
  <si>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</si>
  <si>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</si>
  <si>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</si>
  <si>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</si>
  <si>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</si>
  <si>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</si>
  <si>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</si>
  <si>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</si>
  <si>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</si>
  <si>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</si>
  <si>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</si>
  <si>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</si>
  <si>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</si>
  <si>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</si>
  <si>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</si>
  <si>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</si>
  <si>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</si>
  <si>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</si>
  <si>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</si>
  <si>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</si>
  <si>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</si>
  <si>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</si>
  <si>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</si>
  <si>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</si>
  <si>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</si>
  <si>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</si>
  <si>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</si>
  <si>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</si>
  <si>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</si>
  <si>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</si>
  <si>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</si>
  <si>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</si>
  <si>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</si>
  <si>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</si>
  <si>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</si>
  <si>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</si>
  <si>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</si>
  <si>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</si>
  <si>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</si>
  <si>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</si>
  <si>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</si>
  <si>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</si>
  <si>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</si>
  <si>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</si>
  <si>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</si>
  <si>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</si>
  <si>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</si>
  <si>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</si>
  <si>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</si>
  <si>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</si>
  <si>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</si>
  <si>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</si>
  <si>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</si>
  <si>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</si>
  <si>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</si>
  <si>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</si>
  <si>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</si>
  <si>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</si>
  <si>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</si>
  <si>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</si>
  <si>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</si>
  <si>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</si>
  <si>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</si>
  <si>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</si>
  <si>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</si>
  <si>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</si>
  <si>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</si>
  <si>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</si>
  <si>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</si>
  <si>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</si>
  <si>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</si>
  <si>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</si>
  <si>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</si>
  <si>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</si>
  <si>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</si>
  <si>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</si>
  <si>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</si>
  <si>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</si>
  <si>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</si>
  <si>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</si>
  <si>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</si>
  <si>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</si>
  <si>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</si>
  <si>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</si>
  <si>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</si>
  <si>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</si>
  <si>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</si>
  <si>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</si>
  <si>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</si>
  <si>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</si>
  <si>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</si>
  <si>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</si>
  <si>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</si>
  <si>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</si>
  <si>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</si>
  <si>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</si>
  <si>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</si>
  <si>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</si>
  <si>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</si>
  <si>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</si>
  <si>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</si>
  <si>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</si>
  <si>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</si>
  <si>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</si>
  <si>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</si>
  <si>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</si>
  <si>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</si>
  <si>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</si>
  <si>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</si>
  <si>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</si>
  <si>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</si>
  <si>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</si>
  <si>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</si>
  <si>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</si>
  <si>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</si>
  <si>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</si>
  <si>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</si>
  <si>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</si>
  <si>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</si>
  <si>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</si>
  <si>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</si>
  <si>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</si>
  <si>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</si>
  <si>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</si>
  <si>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</si>
  <si>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</si>
  <si>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</si>
  <si>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</si>
  <si>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</si>
  <si>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</si>
  <si>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</si>
  <si>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</si>
  <si>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</si>
  <si>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</si>
  <si>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</si>
  <si>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</si>
  <si>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</si>
  <si>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</si>
  <si>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</si>
  <si>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</si>
  <si>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</si>
  <si>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</si>
  <si>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</si>
  <si>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</si>
  <si>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</si>
  <si>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</si>
  <si>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</si>
  <si>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</si>
  <si>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</si>
  <si>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</si>
  <si>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</si>
  <si>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</si>
  <si>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</si>
  <si>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</si>
  <si>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</si>
  <si>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</si>
  <si>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</si>
  <si>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</si>
  <si>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</si>
  <si>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</si>
  <si>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</si>
  <si>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</si>
  <si>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</si>
  <si>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</si>
  <si>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</si>
  <si>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</si>
  <si>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</si>
  <si>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</si>
  <si>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</si>
  <si>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</si>
  <si>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</si>
  <si>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</si>
  <si>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</si>
  <si>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</si>
  <si>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</si>
  <si>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</si>
  <si>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</si>
  <si>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</si>
  <si>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</si>
  <si>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</si>
  <si>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</si>
  <si>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</si>
  <si>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</si>
  <si>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</si>
  <si>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</si>
  <si>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</si>
  <si>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</si>
  <si>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</si>
  <si>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</si>
  <si>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</si>
  <si>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</si>
  <si>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</si>
  <si>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</si>
  <si>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</si>
  <si>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</si>
  <si>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</si>
  <si>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</si>
  <si>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</si>
  <si>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</si>
  <si>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</si>
  <si>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</si>
  <si>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</si>
  <si>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</si>
  <si>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</si>
  <si>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</si>
  <si>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</si>
  <si>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</si>
  <si>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</si>
  <si>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</si>
  <si>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</si>
  <si>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</si>
  <si>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</si>
  <si>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</si>
  <si>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</si>
  <si>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</si>
  <si>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</si>
  <si>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</si>
  <si>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</si>
  <si>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</si>
  <si>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</si>
  <si>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</si>
  <si>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</si>
  <si>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</si>
  <si>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</si>
  <si>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</si>
  <si>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</si>
  <si>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</si>
  <si>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</si>
  <si>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</si>
  <si>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</si>
  <si>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</si>
  <si>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</si>
  <si>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</si>
  <si>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</si>
  <si>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</si>
  <si>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</si>
  <si>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</si>
  <si>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</si>
  <si>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</si>
  <si>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</si>
  <si>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</si>
  <si>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</si>
  <si>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</si>
  <si>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</si>
  <si>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</si>
  <si>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</si>
  <si>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</si>
  <si>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</si>
  <si>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</si>
  <si>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</si>
  <si>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</si>
  <si>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</si>
  <si>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</si>
  <si>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</si>
  <si>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</si>
  <si>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</si>
  <si>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</si>
  <si>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</si>
  <si>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</si>
  <si>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</si>
  <si>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</si>
  <si>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</si>
  <si>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</si>
  <si>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</si>
  <si>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</si>
  <si>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</si>
  <si>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</si>
  <si>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</si>
  <si>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</si>
  <si>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</si>
  <si>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</si>
  <si>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</si>
  <si>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</si>
  <si>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</si>
  <si>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</si>
  <si>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</si>
  <si>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</si>
  <si>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</si>
  <si>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</si>
  <si>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</si>
  <si>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</si>
  <si>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</si>
  <si>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</si>
  <si>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</si>
  <si>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</si>
  <si>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</si>
  <si>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</si>
  <si>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</si>
  <si>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</si>
  <si>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</si>
  <si>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</si>
  <si>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</si>
  <si>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</si>
  <si>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</si>
  <si>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</si>
  <si>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</si>
  <si>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</si>
  <si>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</si>
  <si>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</si>
  <si>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</si>
  <si>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</si>
  <si>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</si>
  <si>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</si>
  <si>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</si>
  <si>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</si>
  <si>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</si>
  <si>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</si>
  <si>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</si>
  <si>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</si>
  <si>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</si>
  <si>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</si>
  <si>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</si>
  <si>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</si>
  <si>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</si>
  <si>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</si>
  <si>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</si>
  <si>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</si>
  <si>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</si>
  <si>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</si>
  <si>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</si>
  <si>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</si>
  <si>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</si>
  <si>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</si>
  <si>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</si>
  <si>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</si>
  <si>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</si>
  <si>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</si>
  <si>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</si>
  <si>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</si>
  <si>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</si>
  <si>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</si>
  <si>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</si>
  <si>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</si>
  <si>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</si>
  <si>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</si>
  <si>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</si>
  <si>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</si>
  <si>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</si>
  <si>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</si>
  <si>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</si>
  <si>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</si>
  <si>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</si>
  <si>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</si>
  <si>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</si>
  <si>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</si>
  <si>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</si>
  <si>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</si>
  <si>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</si>
  <si>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</si>
  <si>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</si>
  <si>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</si>
  <si>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</si>
  <si>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</si>
  <si>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</si>
  <si>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</si>
  <si>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</si>
  <si>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</si>
  <si>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</si>
  <si>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</si>
  <si>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</si>
  <si>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</si>
  <si>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</si>
  <si>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</si>
  <si>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</si>
  <si>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</si>
  <si>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</si>
  <si>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</si>
  <si>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</si>
  <si>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</si>
  <si>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</si>
  <si>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</si>
  <si>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</si>
  <si>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</si>
  <si>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</si>
  <si>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</si>
  <si>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</si>
  <si>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</si>
  <si>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</si>
  <si>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</si>
  <si>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</si>
  <si>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</si>
  <si>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</si>
  <si>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</si>
  <si>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</si>
  <si>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</si>
  <si>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</si>
  <si>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</si>
  <si>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</si>
  <si>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</si>
  <si>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</si>
  <si>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</si>
  <si>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</si>
  <si>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</si>
  <si>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</si>
  <si>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</si>
  <si>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</si>
  <si>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</si>
  <si>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</si>
  <si>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</si>
  <si>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</si>
  <si>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</si>
  <si>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</si>
  <si>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</si>
  <si>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</si>
  <si>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</si>
  <si>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</si>
  <si>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</si>
  <si>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</si>
  <si>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</si>
  <si>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</si>
  <si>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</si>
  <si>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</si>
  <si>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</si>
  <si>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</si>
  <si>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</si>
  <si>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</si>
  <si>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</si>
  <si>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</si>
  <si>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</si>
  <si>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</si>
  <si>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</si>
  <si>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</si>
  <si>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</si>
  <si>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</si>
  <si>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</si>
  <si>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</si>
  <si>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</si>
  <si>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</si>
  <si>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</si>
  <si>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</si>
  <si>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</si>
  <si>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</si>
  <si>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</si>
  <si>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</si>
  <si>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</si>
  <si>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</si>
  <si>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</si>
  <si>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</si>
  <si>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</si>
  <si>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</si>
  <si>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</si>
  <si>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</si>
  <si>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</si>
  <si>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</si>
  <si>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</si>
  <si>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</si>
  <si>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</si>
  <si>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</si>
  <si>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</si>
  <si>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</si>
  <si>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</si>
  <si>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</si>
  <si>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</si>
  <si>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</si>
  <si>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</si>
  <si>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</si>
  <si>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</si>
  <si>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</si>
  <si>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</si>
  <si>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</si>
  <si>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</si>
  <si>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</si>
  <si>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</si>
  <si>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</si>
  <si>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</si>
  <si>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</si>
  <si>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</si>
  <si>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</si>
  <si>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</si>
  <si>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</si>
  <si>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</si>
  <si>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</si>
  <si>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</si>
  <si>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</si>
  <si>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</si>
  <si>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</si>
  <si>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</si>
  <si>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</si>
  <si>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</si>
  <si>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</si>
  <si>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</si>
  <si>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</si>
  <si>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</si>
  <si>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</si>
  <si>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</si>
  <si>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</si>
  <si>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</si>
  <si>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</si>
  <si>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</si>
  <si>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</si>
  <si>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</si>
  <si>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</si>
  <si>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</si>
  <si>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</si>
  <si>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</si>
  <si>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</si>
  <si>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</si>
  <si>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</si>
  <si>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</si>
  <si>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</si>
  <si>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</si>
  <si>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</si>
  <si>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</si>
  <si>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</si>
  <si>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</si>
  <si>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</si>
  <si>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</si>
  <si>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</si>
  <si>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</si>
  <si>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</si>
  <si>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</si>
  <si>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</si>
  <si>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</si>
  <si>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</si>
  <si>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</si>
  <si>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</si>
  <si>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</si>
  <si>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</si>
  <si>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</si>
  <si>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</si>
  <si>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</si>
  <si>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</si>
  <si>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</si>
  <si>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</si>
  <si>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</si>
  <si>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</si>
  <si>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</si>
  <si>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</si>
  <si>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</si>
  <si>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</si>
  <si>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</si>
  <si>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</si>
  <si>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</si>
  <si>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</si>
  <si>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</si>
  <si>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</si>
  <si>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</si>
  <si>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</si>
  <si>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</si>
  <si>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</si>
  <si>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</si>
  <si>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</si>
  <si>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</si>
  <si>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</si>
  <si>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</si>
  <si>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</si>
  <si>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</si>
  <si>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</si>
  <si>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</si>
  <si>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</si>
  <si>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</si>
  <si>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</si>
  <si>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</si>
  <si>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</si>
  <si>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</si>
  <si>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</si>
  <si>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</si>
  <si>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</si>
  <si>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</si>
  <si>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</si>
  <si>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</si>
  <si>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</si>
  <si>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</si>
  <si>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</si>
  <si>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</si>
  <si>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</si>
  <si>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</si>
  <si>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</si>
  <si>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</si>
  <si>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</si>
  <si>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</si>
  <si>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</si>
  <si>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</si>
  <si>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</si>
  <si>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</si>
  <si>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</si>
  <si>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</si>
  <si>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</si>
  <si>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</si>
  <si>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</si>
  <si>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</si>
  <si>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</si>
  <si>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</si>
  <si>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</si>
  <si>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</si>
  <si>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</si>
  <si>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</si>
  <si>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</si>
  <si>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</si>
  <si>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</si>
  <si>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</si>
  <si>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</si>
  <si>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</si>
  <si>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</si>
  <si>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</si>
  <si>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</si>
  <si>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</si>
  <si>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</si>
  <si>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</si>
  <si>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</si>
  <si>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</si>
  <si>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</si>
  <si>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</si>
  <si>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</si>
  <si>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</si>
  <si>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</si>
  <si>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</si>
  <si>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</si>
  <si>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</si>
  <si>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</si>
  <si>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</si>
  <si>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</si>
  <si>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</si>
  <si>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</si>
  <si>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</si>
  <si>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</si>
  <si>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</si>
  <si>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</si>
  <si>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</si>
  <si>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</si>
  <si>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</si>
  <si>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</si>
  <si>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</si>
  <si>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</si>
  <si>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</si>
  <si>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</si>
  <si>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</si>
  <si>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</si>
  <si>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</si>
  <si>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</si>
  <si>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</si>
  <si>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</si>
  <si>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</si>
  <si>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</si>
  <si>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</si>
  <si>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</si>
  <si>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</si>
  <si>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</si>
  <si>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</si>
  <si>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</si>
  <si>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</si>
  <si>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</si>
  <si>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</si>
  <si>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</si>
  <si>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</si>
  <si>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</si>
  <si>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</si>
  <si>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</si>
  <si>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</si>
  <si>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</si>
  <si>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</si>
  <si>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</si>
  <si>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</si>
  <si>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</si>
  <si>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</si>
  <si>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</si>
  <si>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</si>
  <si>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</si>
  <si>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</si>
  <si>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</si>
  <si>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</si>
  <si>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</si>
  <si>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</si>
  <si>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</si>
  <si>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</si>
  <si>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</si>
  <si>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</si>
  <si>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</si>
  <si>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</si>
  <si>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</si>
  <si>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</si>
  <si>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</si>
  <si>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</si>
  <si>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</si>
  <si>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</si>
  <si>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</si>
  <si>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</si>
  <si>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</si>
  <si>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</si>
  <si>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</si>
  <si>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</si>
  <si>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</si>
  <si>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</si>
  <si>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</si>
  <si>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</si>
  <si>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</si>
  <si>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</si>
  <si>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</si>
  <si>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</si>
  <si>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</si>
  <si>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</si>
  <si>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</si>
  <si>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</si>
  <si>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</si>
  <si>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</si>
  <si>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</si>
  <si>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</si>
  <si>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</si>
  <si>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</si>
  <si>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</si>
  <si>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</si>
  <si>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</si>
  <si>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</si>
  <si>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</si>
  <si>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</si>
  <si>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</si>
  <si>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</si>
  <si>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</si>
  <si>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</si>
  <si>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</si>
  <si>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</si>
  <si>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</si>
  <si>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</si>
  <si>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</si>
  <si>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</si>
  <si>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</si>
  <si>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</si>
  <si>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</si>
  <si>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</si>
  <si>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</si>
  <si>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</si>
  <si>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</si>
  <si>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</si>
  <si>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</si>
  <si>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</si>
  <si>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</si>
  <si>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</si>
  <si>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</si>
  <si>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</si>
  <si>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</si>
  <si>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</si>
  <si>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</si>
  <si>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</si>
  <si>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</si>
  <si>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</si>
  <si>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</si>
  <si>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</si>
  <si>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</si>
  <si>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</si>
  <si>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</si>
  <si>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</si>
  <si>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</si>
  <si>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</si>
  <si>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</si>
  <si>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</si>
  <si>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</si>
  <si>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</si>
  <si>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</si>
  <si>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</si>
  <si>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</si>
  <si>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</si>
  <si>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</si>
  <si>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</si>
  <si>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</si>
  <si>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</si>
  <si>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</si>
  <si>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</si>
  <si>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</si>
  <si>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</si>
  <si>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</si>
  <si>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</si>
  <si>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</si>
  <si>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</si>
  <si>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</si>
  <si>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</si>
  <si>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</si>
  <si>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</si>
  <si>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</si>
  <si>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</si>
  <si>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</si>
  <si>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</si>
  <si>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</si>
  <si>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</si>
  <si>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</si>
  <si>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</si>
  <si>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</si>
  <si>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</si>
  <si>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</si>
  <si>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</si>
  <si>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</si>
  <si>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</si>
  <si>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</si>
  <si>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</si>
  <si>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</si>
  <si>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</si>
  <si>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</si>
  <si>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</si>
  <si>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</si>
  <si>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</si>
  <si>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</si>
  <si>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</si>
  <si>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</si>
  <si>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</si>
  <si>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</si>
  <si>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</si>
  <si>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</si>
  <si>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</si>
  <si>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</si>
  <si>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</si>
  <si>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</si>
  <si>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</si>
  <si>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</si>
  <si>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</si>
  <si>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</si>
  <si>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</si>
  <si>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</si>
  <si>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</si>
  <si>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</si>
  <si>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</si>
  <si>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</si>
  <si>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</si>
  <si>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</si>
  <si>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</si>
  <si>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</si>
  <si>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</si>
  <si>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</si>
  <si>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</si>
  <si>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</si>
  <si>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</si>
  <si>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</si>
  <si>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</si>
  <si>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</si>
  <si>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</si>
  <si>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</si>
  <si>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</si>
  <si>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</si>
  <si>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</si>
  <si>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</si>
  <si>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</si>
  <si>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</si>
  <si>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</si>
  <si>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</si>
  <si>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</si>
  <si>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</si>
  <si>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</si>
  <si>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</si>
  <si>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</si>
  <si>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</si>
  <si>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</si>
  <si>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</si>
  <si>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</si>
  <si>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</si>
  <si>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</si>
  <si>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</si>
  <si>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</si>
  <si>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</si>
  <si>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</si>
  <si>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</si>
  <si>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</si>
  <si>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</si>
  <si>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</si>
  <si>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</si>
  <si>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</si>
  <si>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</si>
  <si>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</si>
  <si>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</si>
  <si>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</si>
  <si>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</si>
  <si>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</si>
  <si>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</si>
  <si>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</si>
  <si>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</si>
  <si>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</si>
  <si>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</si>
  <si>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</si>
  <si>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</si>
  <si>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</si>
  <si>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</si>
  <si>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</si>
  <si>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</si>
  <si>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</si>
  <si>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</si>
  <si>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</si>
  <si>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</si>
  <si>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</si>
  <si>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</si>
  <si>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</si>
  <si>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</si>
  <si>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</si>
  <si>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</si>
  <si>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</si>
  <si>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</si>
  <si>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</si>
  <si>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</si>
  <si>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</si>
  <si>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</si>
  <si>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</si>
  <si>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</si>
  <si>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</si>
  <si>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</si>
  <si>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</si>
  <si>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</si>
  <si>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</si>
  <si>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</si>
  <si>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</si>
  <si>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</si>
  <si>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</si>
  <si>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</si>
  <si>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</si>
  <si>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</si>
  <si>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</si>
  <si>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</si>
  <si>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</si>
  <si>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</si>
  <si>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</si>
  <si>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</si>
  <si>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</si>
  <si>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</si>
  <si>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</si>
  <si>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</si>
  <si>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</si>
  <si>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</si>
  <si>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</si>
  <si>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</si>
  <si>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</si>
  <si>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</si>
  <si>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</si>
  <si>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</si>
  <si>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</si>
  <si>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</si>
  <si>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</si>
  <si>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</si>
  <si>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</si>
  <si>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</si>
  <si>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</si>
  <si>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</si>
  <si>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</si>
  <si>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</si>
  <si>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</si>
  <si>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</si>
  <si>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</si>
  <si>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</si>
  <si>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</si>
  <si>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</si>
  <si>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</si>
  <si>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</si>
  <si>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</si>
  <si>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</si>
  <si>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</si>
  <si>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</si>
  <si>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</si>
  <si>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</si>
  <si>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</si>
  <si>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</si>
  <si>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</si>
  <si>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</si>
  <si>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</si>
  <si>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</si>
  <si>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</si>
  <si>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BUREAU</t>
  </si>
  <si>
    <t>506 E DOVER</t>
  </si>
  <si>
    <t xml:space="preserve">PRINCETON   </t>
  </si>
  <si>
    <t>TSMITH@PES115.ORG</t>
  </si>
  <si>
    <t>TIMOTHY SMITH</t>
  </si>
  <si>
    <t>815-875-3162</t>
  </si>
  <si>
    <t>2016 TRANSPORTATION BONDS</t>
  </si>
  <si>
    <t>Transportation Bonds</t>
  </si>
  <si>
    <t>O&amp;M - Sup Services - Business - Fiscal - Purch Svc</t>
  </si>
  <si>
    <t>O&amp;M - Sup Services - Business - O&amp;M Plant Svcs - Purch Svc</t>
  </si>
  <si>
    <t>Power School Group</t>
  </si>
  <si>
    <t>Oberlander Alarm Systems</t>
  </si>
  <si>
    <t>Mike Gibson Farm Drainage</t>
  </si>
  <si>
    <t>Williams Mowing Service</t>
  </si>
  <si>
    <t>AT&amp;T</t>
  </si>
  <si>
    <t>Frontier</t>
  </si>
  <si>
    <t>IV Net LLP</t>
  </si>
  <si>
    <t>City of Princeton</t>
  </si>
  <si>
    <t>Village of Tiskilwa</t>
  </si>
  <si>
    <t>Republic Services</t>
  </si>
  <si>
    <t>20-2520-300</t>
  </si>
  <si>
    <t>20-2540-300</t>
  </si>
  <si>
    <t>BMP Special Ed Coop</t>
  </si>
  <si>
    <t>Princeton High School</t>
  </si>
  <si>
    <t>1993 - Ed Fund - Other Local Fees - PE and Towel Fees</t>
  </si>
  <si>
    <t>1999 - Ed Fund - Other Local Revenue - Claim Refund and Health Insurance Reimb</t>
  </si>
  <si>
    <t>1999 - O&amp;M Fund - Other Local Revenue - Erate Reimb and Insurance Reimb</t>
  </si>
  <si>
    <t>3999 - Ed Fund - Other State Revenue - Per Capita Grant Library</t>
  </si>
  <si>
    <t>10-2190-100 - Ed Fund - Instruction - Supervision Salary</t>
  </si>
  <si>
    <t>10-2190-200 - Ed Fund - Benefits - Supervision Benefits</t>
  </si>
  <si>
    <t>US DEPARTMENT OF AGRICULTURE</t>
  </si>
  <si>
    <t>Passed Through ISBE</t>
  </si>
  <si>
    <t xml:space="preserve">     Commodities - Non-Cash - USDA Foods</t>
  </si>
  <si>
    <t xml:space="preserve">     Commodities - DOD Fresh Fruits &amp; Vegetables</t>
  </si>
  <si>
    <t xml:space="preserve">          Subtotal</t>
  </si>
  <si>
    <t xml:space="preserve">     National School Lunch</t>
  </si>
  <si>
    <t xml:space="preserve">     School Breakfast</t>
  </si>
  <si>
    <t xml:space="preserve">          Subtotal Child Nutrition Cluster &amp; Total USDA (M)</t>
  </si>
  <si>
    <t>US DEPARTMENT OF EDUCATION</t>
  </si>
  <si>
    <t xml:space="preserve">     Title I - Low Income (M)</t>
  </si>
  <si>
    <t xml:space="preserve">          Subtotal 84.010</t>
  </si>
  <si>
    <t>84.010A</t>
  </si>
  <si>
    <t>19-N/A</t>
  </si>
  <si>
    <t>18-N/A</t>
  </si>
  <si>
    <t>19-4210-00</t>
  </si>
  <si>
    <t>18-4210-00</t>
  </si>
  <si>
    <t>17-4210-00</t>
  </si>
  <si>
    <t>19-4220-00</t>
  </si>
  <si>
    <t>18-4220-00</t>
  </si>
  <si>
    <t>17-4220-00</t>
  </si>
  <si>
    <t>19-4300-00</t>
  </si>
  <si>
    <t>18-4300-00</t>
  </si>
  <si>
    <t>17-4300-00</t>
  </si>
  <si>
    <t xml:space="preserve">   Title II - Teacher Quality</t>
  </si>
  <si>
    <t xml:space="preserve">        Subtotal 84.368</t>
  </si>
  <si>
    <t xml:space="preserve">   Special Ed - I.D.E.A. - Discretionary Flow Through</t>
  </si>
  <si>
    <t xml:space="preserve">        Subtotal 84.027A</t>
  </si>
  <si>
    <t xml:space="preserve">        TOTAL USDE PASS THROUGHS</t>
  </si>
  <si>
    <t xml:space="preserve">   Title V - Rural Education Achievement Program</t>
  </si>
  <si>
    <t xml:space="preserve">        Subtoal 84.424</t>
  </si>
  <si>
    <t>US DEPARTEMENT OF HEALTH &amp; HUMAN SERVICES</t>
  </si>
  <si>
    <t>Not Passed Through ISBE or IDHS</t>
  </si>
  <si>
    <t xml:space="preserve">   Medicaid Administrative Outreach</t>
  </si>
  <si>
    <t xml:space="preserve">        TOTAL USDHHS</t>
  </si>
  <si>
    <t>TOTAL FEDERAL AWARDS</t>
  </si>
  <si>
    <t>The accompanying Schedule of Expenditures of Federal Awards includes the federal grant activity of Princeton Elementary School District #115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</si>
  <si>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Princeton Elementary School District #115 provided federal awards to subrecipients as follows:</t>
  </si>
  <si>
    <t>National School Lunch Program/Behavioral Disorder Program</t>
  </si>
  <si>
    <t>School Breakfast Program/Behavioral Disorder Program</t>
  </si>
  <si>
    <t>Unmodified</t>
  </si>
  <si>
    <t>N/A</t>
  </si>
  <si>
    <t>NONE</t>
  </si>
  <si>
    <t>84.367A</t>
  </si>
  <si>
    <t>84.027A</t>
  </si>
  <si>
    <t>84.358A</t>
  </si>
  <si>
    <t>19-4932-00</t>
  </si>
  <si>
    <t>18-4932-00</t>
  </si>
  <si>
    <t>19-4400-00</t>
  </si>
  <si>
    <t>18-4400-00</t>
  </si>
  <si>
    <t>19-4630-00</t>
  </si>
  <si>
    <t>18-4630-00</t>
  </si>
  <si>
    <t>19-4107-00</t>
  </si>
  <si>
    <t>18-4107-00</t>
  </si>
  <si>
    <t>19-4991-00</t>
  </si>
  <si>
    <t>18-4991-00</t>
  </si>
  <si>
    <t xml:space="preserve">   Title IVA - Student Support &amp; Academic Enrich</t>
  </si>
  <si>
    <t>84.424A</t>
  </si>
  <si>
    <t xml:space="preserve">      Subtotal 84.358A</t>
  </si>
  <si>
    <t>Flow-through Federal Revenues - Medicaid Fee-for-Service Program</t>
  </si>
  <si>
    <t>Number</t>
  </si>
  <si>
    <t>or Contract #</t>
  </si>
  <si>
    <t>Expenditure/Disbursements</t>
  </si>
  <si>
    <t>Note 1:  Basis of Presentation</t>
  </si>
  <si>
    <t>Note 2:  Indirect Facilities &amp; Administration costs</t>
  </si>
  <si>
    <r>
      <t xml:space="preserve">The following amounts were expended in the form of non-cash assistance by </t>
    </r>
    <r>
      <rPr>
        <b/>
        <sz val="9"/>
        <rFont val="Calibri"/>
        <family val="2"/>
        <scheme val="minor"/>
      </rPr>
      <t>Princeton Elementary School District #115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</si>
  <si>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CFDA NUMBER(S)</t>
  </si>
  <si>
    <t>IDENTIFICATION OF MAJOR PROGRAMS:</t>
  </si>
  <si>
    <t>NAME OF FEDERAL PROGRAM or CLUSTER</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</si>
  <si>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</si>
  <si>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</si>
  <si>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</si>
  <si>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</si>
  <si>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</si>
  <si>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</si>
  <si>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</si>
  <si>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</si>
  <si>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</si>
  <si>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</si>
  <si>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Princeton ESD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</si>
</sst>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4"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6"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09"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1"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1" fillId="0" borderId="14" xfId="0" applyFont="1" applyBorder="1" applyAlignment="1">
      <alignment vertical="top" wrapText="1"/>
    </xf>
    <xf numFmtId="0" fontId="113"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1"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1"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1"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4" fillId="0" borderId="125" xfId="0" applyFont="1" applyBorder="1" applyAlignment="1"/>
    <xf numFmtId="164" fontId="111"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5"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7" fillId="0" borderId="22" xfId="3" applyFont="1" applyBorder="1" applyAlignment="1" applyProtection="1">
      <alignment horizontal="center"/>
      <protection locked="0"/>
    </xf>
    <xf numFmtId="0" fontId="96"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6"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7" fillId="0" borderId="0" xfId="3" applyFont="1" applyAlignment="1" applyProtection="1">
      <alignment vertical="top"/>
    </xf>
    <xf numFmtId="0" fontId="61" fillId="0" borderId="0" xfId="3" applyFont="1" applyProtection="1"/>
    <xf numFmtId="0" fontId="117"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19"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6" fillId="0" borderId="0" xfId="3" applyFont="1" applyProtection="1"/>
    <xf numFmtId="10" fontId="119"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7"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7" fillId="0" borderId="140" xfId="17" applyFont="1" applyBorder="1" applyAlignment="1">
      <alignment horizontal="left" vertical="top"/>
    </xf>
    <xf numFmtId="0" fontId="122" fillId="0" borderId="141" xfId="17" applyFont="1" applyBorder="1" applyAlignment="1">
      <alignment horizontal="center" vertical="top"/>
    </xf>
    <xf numFmtId="0" fontId="122" fillId="0" borderId="142"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1" fillId="23" borderId="156" xfId="17" applyFont="1" applyFill="1" applyBorder="1" applyAlignment="1">
      <alignment horizontal="center" vertical="center" wrapText="1"/>
    </xf>
    <xf numFmtId="38" fontId="121"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3" fillId="20" borderId="157" xfId="17" applyFont="1" applyFill="1" applyBorder="1" applyAlignment="1" applyProtection="1">
      <alignment horizontal="left" vertical="top" wrapText="1"/>
    </xf>
    <xf numFmtId="49" fontId="123" fillId="20" borderId="157" xfId="17" applyNumberFormat="1" applyFont="1" applyFill="1" applyBorder="1" applyAlignment="1" applyProtection="1">
      <alignment horizontal="center" vertical="top"/>
    </xf>
    <xf numFmtId="0" fontId="123" fillId="20" borderId="157" xfId="17" applyFont="1" applyFill="1" applyBorder="1" applyAlignment="1" applyProtection="1">
      <alignment vertical="top"/>
    </xf>
    <xf numFmtId="38" fontId="123" fillId="20" borderId="157" xfId="17" applyNumberFormat="1" applyFont="1" applyFill="1" applyBorder="1" applyAlignment="1" applyProtection="1">
      <alignment horizontal="right" vertical="top"/>
    </xf>
    <xf numFmtId="38" fontId="123"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28" fillId="0" borderId="162" xfId="18" applyFont="1" applyFill="1" applyBorder="1" applyAlignment="1" applyProtection="1">
      <alignment horizontal="center" vertical="center"/>
      <protection locked="0"/>
    </xf>
    <xf numFmtId="0" fontId="101"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8"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0"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0"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3" borderId="140" xfId="17" applyFont="1" applyFill="1" applyBorder="1" applyAlignment="1">
      <alignment horizontal="center" vertical="center"/>
    </xf>
    <xf numFmtId="0" fontId="122" fillId="23" borderId="141" xfId="17" applyFont="1" applyFill="1" applyBorder="1" applyAlignment="1">
      <alignment horizontal="center" vertical="center"/>
    </xf>
    <xf numFmtId="0" fontId="122" fillId="23" borderId="142" xfId="17" applyFont="1" applyFill="1" applyBorder="1" applyAlignment="1">
      <alignment horizontal="center" vertical="center"/>
    </xf>
    <xf numFmtId="0" fontId="122" fillId="23" borderId="98" xfId="17" applyFont="1" applyFill="1" applyBorder="1" applyAlignment="1">
      <alignment horizontal="center" vertical="center"/>
    </xf>
    <xf numFmtId="0" fontId="122" fillId="23" borderId="78" xfId="17" applyFont="1" applyFill="1" applyBorder="1" applyAlignment="1">
      <alignment horizontal="center" vertical="center"/>
    </xf>
    <xf numFmtId="0" fontId="122" fillId="23"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5"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1"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2015" t="s">
        <v>405</v>
      </c>
      <c r="J1" s="2016"/>
      <c r="K1" s="2016"/>
      <c r="L1" s="2016"/>
      <c r="M1" s="2016"/>
      <c r="N1" s="2016"/>
      <c r="O1" s="2016"/>
      <c r="P1" s="2016"/>
      <c r="Q1" s="2016"/>
      <c r="R1" s="2016"/>
      <c r="S1" s="2016"/>
    </row>
    <row r="2" spans="1:28" ht="12" customHeight="1" x14ac:dyDescent="0.2">
      <c r="A2" s="47" t="s">
        <v>1970</v>
      </c>
      <c r="D2" s="48"/>
      <c r="I2" s="2017" t="s">
        <v>979</v>
      </c>
      <c r="J2" s="2016"/>
      <c r="K2" s="2016"/>
      <c r="L2" s="2016"/>
      <c r="M2" s="2016"/>
      <c r="N2" s="2016"/>
      <c r="O2" s="2016"/>
      <c r="P2" s="2016"/>
      <c r="Q2" s="2016"/>
      <c r="R2" s="2016"/>
      <c r="S2" s="2016"/>
    </row>
    <row r="3" spans="1:28" ht="12" customHeight="1" x14ac:dyDescent="0.2">
      <c r="A3" s="155" t="s">
        <v>1922</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t="s">
        <v>2041</v>
      </c>
      <c r="C5" s="26" t="s">
        <v>910</v>
      </c>
      <c r="D5" s="84"/>
      <c r="E5" s="84"/>
      <c r="H5" s="38"/>
      <c r="I5" s="2024" t="s">
        <v>680</v>
      </c>
      <c r="J5" s="1969"/>
      <c r="K5" s="1969"/>
      <c r="L5" s="1969"/>
      <c r="M5" s="1969"/>
      <c r="N5" s="1969"/>
      <c r="O5" s="1969"/>
      <c r="P5" s="1969"/>
      <c r="Q5" s="1969"/>
      <c r="R5" s="1969"/>
      <c r="S5" s="1969"/>
    </row>
    <row r="6" spans="1:28" ht="14.1" customHeight="1" x14ac:dyDescent="0.2">
      <c r="B6" s="104"/>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2042</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28006115002</v>
      </c>
      <c r="B13" s="1986"/>
      <c r="C13" s="1986"/>
      <c r="D13" s="1986"/>
      <c r="E13" s="1986"/>
      <c r="F13" s="1986"/>
      <c r="G13" s="1986"/>
      <c r="H13" s="1987"/>
      <c r="I13" s="31"/>
      <c r="J13" s="30"/>
      <c r="K13" s="28"/>
      <c r="L13" s="30"/>
      <c r="M13" s="30"/>
      <c r="N13" s="30"/>
      <c r="O13" s="30"/>
      <c r="P13" s="30"/>
      <c r="Q13" s="30"/>
      <c r="R13" s="30"/>
      <c r="S13" s="30"/>
      <c r="T13" s="1990" t="s">
        <v>2043</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2053</v>
      </c>
      <c r="B15" s="1988"/>
      <c r="C15" s="1988"/>
      <c r="D15" s="1988"/>
      <c r="E15" s="1988"/>
      <c r="F15" s="1988"/>
      <c r="G15" s="1988"/>
      <c r="H15" s="1989"/>
      <c r="T15" s="1951" t="s">
        <v>2044</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2161</v>
      </c>
      <c r="B17" s="2013"/>
      <c r="C17" s="2013"/>
      <c r="D17" s="2013"/>
      <c r="E17" s="2013"/>
      <c r="F17" s="2013"/>
      <c r="G17" s="2013"/>
      <c r="H17" s="2014"/>
      <c r="T17" s="2000" t="s">
        <v>2045</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2054</v>
      </c>
      <c r="B19" s="1984"/>
      <c r="C19" s="1984"/>
      <c r="D19" s="1984"/>
      <c r="E19" s="1984"/>
      <c r="F19" s="1984"/>
      <c r="G19" s="1984"/>
      <c r="H19" s="1982"/>
      <c r="I19" s="30"/>
      <c r="J19" s="99"/>
      <c r="K19" s="40"/>
      <c r="L19" s="38"/>
      <c r="M19" s="112" t="s">
        <v>315</v>
      </c>
      <c r="P19" s="27"/>
      <c r="Q19" s="27"/>
      <c r="R19" s="27"/>
      <c r="S19" s="31"/>
      <c r="T19" s="1983" t="s">
        <v>2046</v>
      </c>
      <c r="U19" s="1981"/>
      <c r="V19" s="1981"/>
      <c r="W19" s="1982"/>
      <c r="X19" s="1998" t="s">
        <v>2047</v>
      </c>
      <c r="Y19" s="1999"/>
      <c r="Z19" s="1996">
        <v>61326</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2055</v>
      </c>
      <c r="B21" s="1981"/>
      <c r="C21" s="1981"/>
      <c r="D21" s="1981"/>
      <c r="E21" s="1981"/>
      <c r="F21" s="1981"/>
      <c r="G21" s="1981"/>
      <c r="H21" s="1982"/>
      <c r="I21" s="2006" t="s">
        <v>678</v>
      </c>
      <c r="J21" s="1969"/>
      <c r="K21" s="1969"/>
      <c r="L21" s="1969"/>
      <c r="M21" s="1969"/>
      <c r="N21" s="1969"/>
      <c r="O21" s="1969"/>
      <c r="P21" s="1969"/>
      <c r="Q21" s="1969"/>
      <c r="R21" s="1969"/>
      <c r="S21" s="1970"/>
      <c r="T21" s="1948" t="s">
        <v>2048</v>
      </c>
      <c r="U21" s="1949"/>
      <c r="V21" s="1949"/>
      <c r="W21" s="1949"/>
      <c r="X21" s="1962" t="s">
        <v>2049</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2056</v>
      </c>
      <c r="B23" s="2004"/>
      <c r="C23" s="2004"/>
      <c r="D23" s="2004"/>
      <c r="E23" s="2004"/>
      <c r="F23" s="2004"/>
      <c r="G23" s="2004"/>
      <c r="H23" s="2005"/>
      <c r="T23" s="1943" t="s">
        <v>2052</v>
      </c>
      <c r="U23" s="1944"/>
      <c r="V23" s="1944"/>
      <c r="W23" s="1944"/>
      <c r="X23" s="1959">
        <v>44530</v>
      </c>
      <c r="Y23" s="1960"/>
      <c r="Z23" s="1960"/>
      <c r="AA23" s="1961"/>
    </row>
    <row r="24" spans="1:27" ht="14.1" customHeight="1" x14ac:dyDescent="0.2">
      <c r="A24" s="88" t="s">
        <v>677</v>
      </c>
      <c r="B24" s="49"/>
      <c r="C24" s="49"/>
      <c r="D24" s="49"/>
      <c r="E24" s="49"/>
      <c r="F24" s="49"/>
      <c r="G24" s="49"/>
      <c r="H24" s="61"/>
      <c r="J24" s="2045">
        <f>IF(B5="x",IF(AUDITCHECK!D29="AFR form Incomplete.","",IF(AUDITCHECK!D29="Deficit reduction plan is required.","School District must complete a deficit reduction plan in the 2019-2020 Budget",)),"")</f>
        <v>0</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61356</v>
      </c>
      <c r="B25" s="1981"/>
      <c r="C25" s="1981"/>
      <c r="D25" s="1981"/>
      <c r="E25" s="1981"/>
      <c r="F25" s="1981"/>
      <c r="G25" s="1981"/>
      <c r="H25" s="1982"/>
      <c r="I25" s="113"/>
      <c r="J25" s="2047"/>
      <c r="K25" s="2047"/>
      <c r="L25" s="2047"/>
      <c r="M25" s="2047"/>
      <c r="N25" s="2047"/>
      <c r="O25" s="2047"/>
      <c r="P25" s="2047"/>
      <c r="Q25" s="2047"/>
      <c r="R25" s="2047"/>
      <c r="S25" s="2048"/>
      <c r="T25" s="1940" t="s">
        <v>2050</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2042</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2042</v>
      </c>
      <c r="C30" s="124" t="s">
        <v>1164</v>
      </c>
      <c r="D30" s="28"/>
      <c r="E30" s="28"/>
      <c r="F30" s="140"/>
      <c r="G30" s="114"/>
      <c r="H30" s="114"/>
      <c r="I30" s="54"/>
      <c r="J30" s="148" t="s">
        <v>2042</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2042</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2057</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2056</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2058</v>
      </c>
      <c r="B42" s="2030"/>
      <c r="C42" s="2031"/>
      <c r="D42" s="2044"/>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1921</v>
      </c>
      <c r="D46" s="41"/>
      <c r="E46" s="41"/>
      <c r="F46" s="41"/>
      <c r="G46" s="41"/>
      <c r="Q46" s="29" t="s">
        <v>1420</v>
      </c>
      <c r="R46" s="41"/>
      <c r="S46" s="41"/>
      <c r="T46" s="41"/>
      <c r="U46" s="41"/>
      <c r="V46" s="41"/>
      <c r="W46" s="41"/>
      <c r="X46" s="41"/>
      <c r="Y46" s="41"/>
      <c r="Z46" s="41"/>
      <c r="AA46" s="41"/>
    </row>
    <row r="47" spans="1:27" x14ac:dyDescent="0.2">
      <c r="A47" s="137"/>
      <c r="Q47" s="41" t="s">
        <v>1903</v>
      </c>
      <c r="R47" s="41"/>
      <c r="S47" s="41"/>
      <c r="T47" s="41"/>
      <c r="U47" s="41"/>
      <c r="V47" s="41"/>
      <c r="W47" s="41"/>
      <c r="X47" s="41"/>
      <c r="Y47" s="41"/>
      <c r="Z47" s="41"/>
      <c r="AA47" s="41"/>
    </row>
    <row r="48" spans="1:27" x14ac:dyDescent="0.2">
      <c r="Q48" s="41" t="s">
        <v>1904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1780</v>
      </c>
      <c r="B2" s="1528" t="s">
        <v>1928</v>
      </c>
      <c r="C2" s="714" t="s">
        <v>1929</v>
      </c>
      <c r="D2" s="714" t="s">
        <v>1930</v>
      </c>
      <c r="E2" s="714" t="s">
        <v>1931</v>
      </c>
      <c r="F2" s="714" t="s">
        <v>1932</v>
      </c>
    </row>
    <row r="3" spans="1:6" ht="12" customHeight="1" x14ac:dyDescent="0.2">
      <c r="A3" s="2183"/>
      <c r="B3" s="1525"/>
      <c r="C3" s="1526"/>
      <c r="D3" s="1527" t="s">
        <v>256</v>
      </c>
      <c r="E3" s="1526"/>
      <c r="F3" s="1527" t="s">
        <v>257</v>
      </c>
    </row>
    <row r="4" spans="1:6" ht="13.7" customHeight="1" x14ac:dyDescent="0.2">
      <c r="A4" s="715" t="s">
        <v>1155</v>
      </c>
      <c r="B4" s="1749">
        <f>'Revenues 9-14'!C5</f>
        <v>5051867</v>
      </c>
      <c r="C4" s="1524"/>
      <c r="D4" s="1752">
        <f>B4-C4</f>
        <v>5051867</v>
      </c>
      <c r="E4" s="1524">
        <f>247878311*0.021</f>
        <v>5205444.5310000004</v>
      </c>
      <c r="F4" s="1752">
        <f>E4-C4</f>
        <v>5205444.5310000004</v>
      </c>
    </row>
    <row r="5" spans="1:6" ht="13.7" customHeight="1" x14ac:dyDescent="0.2">
      <c r="A5" s="715" t="s">
        <v>870</v>
      </c>
      <c r="B5" s="1750">
        <f>'Revenues 9-14'!D5</f>
        <v>609098</v>
      </c>
      <c r="C5" s="585"/>
      <c r="D5" s="1753">
        <f t="shared" ref="D5:D18" si="0">B5-C5</f>
        <v>609098</v>
      </c>
      <c r="E5" s="585">
        <f>247878311*0.0025</f>
        <v>619695.77749999997</v>
      </c>
      <c r="F5" s="1753">
        <f>E5-C5</f>
        <v>619695.77749999997</v>
      </c>
    </row>
    <row r="6" spans="1:6" ht="13.7" customHeight="1" x14ac:dyDescent="0.2">
      <c r="A6" s="715" t="s">
        <v>411</v>
      </c>
      <c r="B6" s="1750">
        <f>'Revenues 9-14'!E5</f>
        <v>138951</v>
      </c>
      <c r="C6" s="585"/>
      <c r="D6" s="1753">
        <f t="shared" si="0"/>
        <v>138951</v>
      </c>
      <c r="E6" s="585">
        <v>0</v>
      </c>
      <c r="F6" s="1753">
        <f t="shared" ref="F6:F18" si="1">E6-C6</f>
        <v>0</v>
      </c>
    </row>
    <row r="7" spans="1:6" ht="13.7" customHeight="1" x14ac:dyDescent="0.2">
      <c r="A7" s="715" t="s">
        <v>155</v>
      </c>
      <c r="B7" s="1750">
        <f>'Revenues 9-14'!F5</f>
        <v>292368</v>
      </c>
      <c r="C7" s="585"/>
      <c r="D7" s="1753">
        <f t="shared" si="0"/>
        <v>292368</v>
      </c>
      <c r="E7" s="585">
        <f>247878311*0.0012</f>
        <v>297453.97319999995</v>
      </c>
      <c r="F7" s="1753">
        <f t="shared" si="1"/>
        <v>297453.97319999995</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121819</v>
      </c>
      <c r="C10" s="585"/>
      <c r="D10" s="1753">
        <f t="shared" si="0"/>
        <v>121819</v>
      </c>
      <c r="E10" s="585">
        <f>247878311*0.0005</f>
        <v>123939.15550000001</v>
      </c>
      <c r="F10" s="1753">
        <f t="shared" si="1"/>
        <v>123939.15550000001</v>
      </c>
    </row>
    <row r="11" spans="1:6" x14ac:dyDescent="0.2">
      <c r="A11" s="715" t="s">
        <v>409</v>
      </c>
      <c r="B11" s="1750">
        <f>'Revenues 9-14'!J5</f>
        <v>765731</v>
      </c>
      <c r="C11" s="585"/>
      <c r="D11" s="1753">
        <f t="shared" si="0"/>
        <v>765731</v>
      </c>
      <c r="E11" s="585">
        <f>247878311*0.0032226</f>
        <v>798812.6450286</v>
      </c>
      <c r="F11" s="1753">
        <f t="shared" si="1"/>
        <v>798812.6450286</v>
      </c>
    </row>
    <row r="12" spans="1:6" ht="13.7" customHeight="1" x14ac:dyDescent="0.2">
      <c r="A12" s="715" t="s">
        <v>157</v>
      </c>
      <c r="B12" s="1750">
        <f>'Revenues 9-14'!K5</f>
        <v>121819</v>
      </c>
      <c r="C12" s="585"/>
      <c r="D12" s="1753">
        <f t="shared" si="0"/>
        <v>121819</v>
      </c>
      <c r="E12" s="585">
        <f>247878311*0.0005</f>
        <v>123939.15550000001</v>
      </c>
      <c r="F12" s="1753">
        <f t="shared" si="1"/>
        <v>123939.15550000001</v>
      </c>
    </row>
    <row r="13" spans="1:6" ht="13.7" customHeight="1" x14ac:dyDescent="0.2">
      <c r="A13" s="715" t="s">
        <v>936</v>
      </c>
      <c r="B13" s="1750">
        <f>SUM('Revenues 9-14'!C6:D6)</f>
        <v>121819</v>
      </c>
      <c r="C13" s="585"/>
      <c r="D13" s="1753">
        <f t="shared" si="0"/>
        <v>121819</v>
      </c>
      <c r="E13" s="585">
        <v>123939</v>
      </c>
      <c r="F13" s="1753">
        <f t="shared" si="1"/>
        <v>123939</v>
      </c>
    </row>
    <row r="14" spans="1:6" ht="13.7" customHeight="1" x14ac:dyDescent="0.2">
      <c r="A14" s="715" t="s">
        <v>410</v>
      </c>
      <c r="B14" s="1750">
        <f>SUM('Revenues 9-14'!C7:D7,'Revenues 9-14'!F7:H7)</f>
        <v>48728</v>
      </c>
      <c r="C14" s="585"/>
      <c r="D14" s="1753">
        <f t="shared" si="0"/>
        <v>48728</v>
      </c>
      <c r="E14" s="585">
        <f>247878311*0.0002</f>
        <v>49575.662199999999</v>
      </c>
      <c r="F14" s="1753">
        <f t="shared" si="1"/>
        <v>49575.662199999999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463303</v>
      </c>
      <c r="C16" s="585"/>
      <c r="D16" s="1753">
        <f t="shared" si="0"/>
        <v>463303</v>
      </c>
      <c r="E16" s="585">
        <f>247878311*0.0019232</f>
        <v>476719.56771519996</v>
      </c>
      <c r="F16" s="1753">
        <f t="shared" si="1"/>
        <v>476719.56771519996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7735503</v>
      </c>
      <c r="C19" s="1751">
        <f>SUM(C4:C18)</f>
        <v>0</v>
      </c>
      <c r="D19" s="1751">
        <f>SUM(D4:D18)</f>
        <v>7735503</v>
      </c>
      <c r="E19" s="1751">
        <f>SUM(E4:E18)</f>
        <v>7819519.4676438011</v>
      </c>
      <c r="F19" s="1751">
        <f>SUM(F4:F18)</f>
        <v>7819519.4676438011</v>
      </c>
    </row>
    <row r="20" spans="1:6" ht="13.5" thickTop="1" x14ac:dyDescent="0.2">
      <c r="B20" s="713"/>
      <c r="F20" s="716"/>
    </row>
    <row r="21" spans="1:6" x14ac:dyDescent="0.2">
      <c r="A21" s="717" t="s">
        <v>1786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1780</v>
      </c>
      <c r="B2" s="2198"/>
      <c r="C2" s="1884" t="s">
        <v>1933</v>
      </c>
      <c r="D2" s="723" t="s">
        <v>1934</v>
      </c>
      <c r="E2" s="723" t="s">
        <v>1935</v>
      </c>
      <c r="F2" s="1884" t="s">
        <v>1936</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5">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6" t="s">
        <v>631</v>
      </c>
      <c r="B15" s="2187"/>
      <c r="C15" s="1755">
        <f>SUM(C6:C14)</f>
        <v>0</v>
      </c>
      <c r="D15" s="1755">
        <f>SUM(D6:D14)</f>
        <v>0</v>
      </c>
      <c r="E15" s="1755">
        <f>SUM(E6:E14)</f>
        <v>0</v>
      </c>
      <c r="F15" s="1755">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388</v>
      </c>
      <c r="B19" s="2210"/>
      <c r="C19" s="726"/>
      <c r="D19" s="585"/>
      <c r="E19" s="726"/>
      <c r="F19" s="1755">
        <f>SUM(C19+D19)-E19</f>
        <v>0</v>
      </c>
    </row>
    <row r="20" spans="1:11" ht="12.75" customHeight="1" thickTop="1" thickBot="1" x14ac:dyDescent="0.25">
      <c r="A20" s="2209" t="s">
        <v>448</v>
      </c>
      <c r="B20" s="2210"/>
      <c r="C20" s="726"/>
      <c r="D20" s="585"/>
      <c r="E20" s="726"/>
      <c r="F20" s="1755">
        <f>SUM(C20+D20)-E20</f>
        <v>0</v>
      </c>
    </row>
    <row r="21" spans="1:11" ht="14.25" thickTop="1" thickBot="1" x14ac:dyDescent="0.25">
      <c r="A21" s="2186" t="s">
        <v>632</v>
      </c>
      <c r="B21" s="2187"/>
      <c r="C21" s="1755">
        <f>SUM(C17:C20)</f>
        <v>0</v>
      </c>
      <c r="D21" s="1755">
        <f>SUM(D17:D20)</f>
        <v>0</v>
      </c>
      <c r="E21" s="1755">
        <f>SUM(E17:E20)</f>
        <v>0</v>
      </c>
      <c r="F21" s="1755">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5">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5">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5">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9" t="s">
        <v>1071</v>
      </c>
      <c r="B30" s="730" t="s">
        <v>1124</v>
      </c>
      <c r="C30" s="1885" t="s">
        <v>583</v>
      </c>
      <c r="D30" s="1885" t="s">
        <v>1673</v>
      </c>
      <c r="E30" s="1885" t="s">
        <v>1937</v>
      </c>
      <c r="F30" s="1885" t="s">
        <v>1938</v>
      </c>
      <c r="G30" s="1885" t="s">
        <v>1888</v>
      </c>
      <c r="H30" s="1885" t="s">
        <v>1939</v>
      </c>
      <c r="I30" s="1885" t="s">
        <v>1940</v>
      </c>
      <c r="J30" s="1886" t="s">
        <v>2</v>
      </c>
      <c r="K30" s="731"/>
    </row>
    <row r="31" spans="1:11" ht="12" customHeight="1" x14ac:dyDescent="0.2">
      <c r="A31" s="732" t="s">
        <v>2059</v>
      </c>
      <c r="B31" s="733">
        <v>42339</v>
      </c>
      <c r="C31" s="734">
        <v>270000</v>
      </c>
      <c r="D31" s="735">
        <v>7</v>
      </c>
      <c r="E31" s="734">
        <v>135000</v>
      </c>
      <c r="F31" s="734"/>
      <c r="G31" s="734"/>
      <c r="H31" s="734">
        <v>135000</v>
      </c>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270000</v>
      </c>
      <c r="D49" s="745"/>
      <c r="E49" s="1756">
        <f t="shared" ref="E49:J49" si="2">SUM(E31:E48)</f>
        <v>135000</v>
      </c>
      <c r="F49" s="1756">
        <f t="shared" si="2"/>
        <v>0</v>
      </c>
      <c r="G49" s="1756">
        <f t="shared" si="2"/>
        <v>0</v>
      </c>
      <c r="H49" s="1756">
        <f t="shared" si="2"/>
        <v>135000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1785</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t="s">
        <v>2060</v>
      </c>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30"/>
      <c r="I1" s="760"/>
      <c r="J1" s="433"/>
    </row>
    <row r="2" spans="1:11" ht="26.25" x14ac:dyDescent="0.2">
      <c r="A2" s="2216" t="s">
        <v>1677</v>
      </c>
      <c r="B2" s="2217"/>
      <c r="C2" s="2217"/>
      <c r="D2" s="2217"/>
      <c r="E2" s="2218"/>
      <c r="F2" s="761" t="s">
        <v>904</v>
      </c>
      <c r="G2" s="762" t="s">
        <v>1674</v>
      </c>
      <c r="H2" s="762" t="s">
        <v>410</v>
      </c>
      <c r="I2" s="762" t="s">
        <v>1158</v>
      </c>
      <c r="J2" s="762" t="s">
        <v>1790</v>
      </c>
      <c r="K2" s="762" t="s">
        <v>138</v>
      </c>
    </row>
    <row r="3" spans="1:11" x14ac:dyDescent="0.2">
      <c r="A3" s="2219" t="s">
        <v>1941</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v>48728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1791</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7"/>
      <c r="G12" s="1758">
        <f>SUM(G5:G11)</f>
        <v>0</v>
      </c>
      <c r="H12" s="1758">
        <f>SUM(H5:H11)</f>
        <v>48728</v>
      </c>
      <c r="I12" s="1758">
        <f>SUM(I5:I11)</f>
        <v>0</v>
      </c>
      <c r="J12" s="1758">
        <f>SUM(J5:J11)</f>
        <v>0</v>
      </c>
      <c r="K12" s="1758">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v>48728</v>
      </c>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1787</v>
      </c>
      <c r="B19" s="2248"/>
      <c r="C19" s="2248"/>
      <c r="D19" s="2248"/>
      <c r="E19" s="2249"/>
      <c r="F19" s="789" t="s">
        <v>933</v>
      </c>
      <c r="G19" s="782"/>
      <c r="H19" s="782"/>
      <c r="I19" s="782"/>
      <c r="J19" s="765"/>
      <c r="K19" s="795"/>
    </row>
    <row r="20" spans="1:11" x14ac:dyDescent="0.2">
      <c r="A20" s="2227" t="s">
        <v>1792</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9"/>
      <c r="G21" s="792"/>
      <c r="H21" s="796"/>
      <c r="I21" s="796"/>
      <c r="J21" s="1760">
        <f>SUM(J18:J20)</f>
        <v>0</v>
      </c>
      <c r="K21" s="793"/>
    </row>
    <row r="22" spans="1:11" ht="13.5" thickTop="1" x14ac:dyDescent="0.2">
      <c r="A22" s="2213" t="s">
        <v>1793</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61"/>
      <c r="G23" s="1758">
        <f>SUM(G14:G16,G21,G22)</f>
        <v>0</v>
      </c>
      <c r="H23" s="1758">
        <f>SUM(H14:H16,H21,H22)</f>
        <v>48728</v>
      </c>
      <c r="I23" s="1758">
        <f>SUM(I14:I16,I21,I22)</f>
        <v>0</v>
      </c>
      <c r="J23" s="1758">
        <f>SUM(J14:J16,J21,J22)</f>
        <v>0</v>
      </c>
      <c r="K23" s="1758">
        <f>SUM(K14:K16,K21,K22)</f>
        <v>0</v>
      </c>
    </row>
    <row r="24" spans="1:11" ht="14.25" thickTop="1" thickBot="1" x14ac:dyDescent="0.25">
      <c r="A24" s="2234" t="s">
        <v>1942</v>
      </c>
      <c r="B24" s="2233"/>
      <c r="C24" s="2233"/>
      <c r="D24" s="2233"/>
      <c r="E24" s="223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1887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1794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1788</v>
      </c>
      <c r="B46" s="408" t="s">
        <v>1675</v>
      </c>
    </row>
    <row r="47" spans="1:11" s="823" customFormat="1" ht="12.75" customHeight="1" x14ac:dyDescent="0.2">
      <c r="A47" s="821"/>
      <c r="B47" s="822" t="s">
        <v>1676</v>
      </c>
      <c r="E47" s="822"/>
      <c r="K47" s="824"/>
    </row>
    <row r="48" spans="1:11" ht="12.75" customHeight="1" x14ac:dyDescent="0.2">
      <c r="A48" s="1532" t="s">
        <v>1789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1886</v>
      </c>
      <c r="B1" s="2253"/>
      <c r="C1" s="2254"/>
      <c r="D1" s="826"/>
      <c r="E1" s="827"/>
      <c r="F1" s="827"/>
      <c r="G1" s="828"/>
      <c r="H1" s="829"/>
      <c r="I1" s="830"/>
      <c r="J1" s="2250"/>
      <c r="K1" s="2251"/>
      <c r="L1" s="2251"/>
    </row>
    <row r="2" spans="1:14" ht="69.75" customHeight="1" x14ac:dyDescent="0.2">
      <c r="A2" s="831" t="s">
        <v>1678</v>
      </c>
      <c r="B2" s="832" t="s">
        <v>378</v>
      </c>
      <c r="C2" s="833" t="s">
        <v>1943</v>
      </c>
      <c r="D2" s="833" t="s">
        <v>1944</v>
      </c>
      <c r="E2" s="833" t="s">
        <v>1945</v>
      </c>
      <c r="F2" s="833" t="s">
        <v>1946</v>
      </c>
      <c r="G2" s="833" t="s">
        <v>605</v>
      </c>
      <c r="H2" s="833" t="s">
        <v>1947</v>
      </c>
      <c r="I2" s="833" t="s">
        <v>1948</v>
      </c>
      <c r="J2" s="833" t="s">
        <v>1949</v>
      </c>
      <c r="K2" s="833" t="s">
        <v>1950</v>
      </c>
      <c r="L2" s="833" t="s">
        <v>1951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v>144067</v>
      </c>
      <c r="D6" s="765"/>
      <c r="E6" s="765"/>
      <c r="F6" s="1760">
        <f>(C6+D6)-E6</f>
        <v>144067</v>
      </c>
      <c r="G6" s="837">
        <v>50</v>
      </c>
      <c r="H6" s="765"/>
      <c r="I6" s="765"/>
      <c r="J6" s="765"/>
      <c r="K6" s="1769">
        <f>(H6+I6)-J6</f>
        <v>0</v>
      </c>
      <c r="L6" s="1769">
        <f>F6-K6</f>
        <v>144067</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8825207</v>
      </c>
      <c r="D8" s="844">
        <v>68427</v>
      </c>
      <c r="E8" s="844"/>
      <c r="F8" s="1760">
        <f>(C8+D8)-E8</f>
        <v>8893634</v>
      </c>
      <c r="G8" s="843">
        <v>50</v>
      </c>
      <c r="H8" s="765">
        <v>4544673</v>
      </c>
      <c r="I8" s="765">
        <v>177188</v>
      </c>
      <c r="J8" s="765"/>
      <c r="K8" s="1769">
        <f>(H8+I8)-J8</f>
        <v>4721861</v>
      </c>
      <c r="L8" s="1769">
        <f>F8-K8</f>
        <v>4171773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174406</v>
      </c>
      <c r="D10" s="846"/>
      <c r="E10" s="846"/>
      <c r="F10" s="1764">
        <f>(C10+D10)-E10</f>
        <v>174406</v>
      </c>
      <c r="G10" s="843">
        <v>20</v>
      </c>
      <c r="H10" s="847">
        <v>162440</v>
      </c>
      <c r="I10" s="847">
        <v>3560</v>
      </c>
      <c r="J10" s="847"/>
      <c r="K10" s="1769">
        <f>(H10+I10)-J10</f>
        <v>166000</v>
      </c>
      <c r="L10" s="1769">
        <f>F10-K10</f>
        <v>8406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2370516</v>
      </c>
      <c r="D12" s="844"/>
      <c r="E12" s="844"/>
      <c r="F12" s="1760">
        <f>(C12+D12)-E12</f>
        <v>2370516</v>
      </c>
      <c r="G12" s="843">
        <v>10</v>
      </c>
      <c r="H12" s="765">
        <v>2191457</v>
      </c>
      <c r="I12" s="765">
        <f>76+514+35+894+46+14117+398+396+666+565+565+736-562-125-301-69-76+185+433+186+1194+273+89+662+208</f>
        <v>21105</v>
      </c>
      <c r="J12" s="765"/>
      <c r="K12" s="1769">
        <f>(H12+I12)-J12</f>
        <v>2212562</v>
      </c>
      <c r="L12" s="1769">
        <f>F12-K12</f>
        <v>157954</v>
      </c>
    </row>
    <row r="13" spans="1:14" ht="14.25" thickTop="1" thickBot="1" x14ac:dyDescent="0.25">
      <c r="A13" s="848" t="s">
        <v>1122</v>
      </c>
      <c r="B13" s="840">
        <v>252</v>
      </c>
      <c r="C13" s="844">
        <v>3122925</v>
      </c>
      <c r="D13" s="844">
        <f>70899+12465+18698+2</f>
        <v>102064</v>
      </c>
      <c r="E13" s="844"/>
      <c r="F13" s="1760">
        <f>(C13+D13)-E13</f>
        <v>3224989</v>
      </c>
      <c r="G13" s="843">
        <v>5</v>
      </c>
      <c r="H13" s="765">
        <v>2606004</v>
      </c>
      <c r="I13" s="765">
        <f>467870-205028-1</f>
        <v>262841</v>
      </c>
      <c r="J13" s="765"/>
      <c r="K13" s="1769">
        <f>(H13+I13)-J13</f>
        <v>2868845</v>
      </c>
      <c r="L13" s="1769">
        <f>F13-K13</f>
        <v>356144</v>
      </c>
    </row>
    <row r="14" spans="1:14" ht="14.25" thickTop="1" thickBot="1" x14ac:dyDescent="0.25">
      <c r="A14" s="848" t="s">
        <v>1123</v>
      </c>
      <c r="B14" s="840">
        <v>253</v>
      </c>
      <c r="C14" s="765">
        <v>160019</v>
      </c>
      <c r="D14" s="765"/>
      <c r="E14" s="765"/>
      <c r="F14" s="1760">
        <f>(C14+D14)-E14</f>
        <v>160019</v>
      </c>
      <c r="G14" s="843">
        <v>3</v>
      </c>
      <c r="H14" s="765">
        <v>156844</v>
      </c>
      <c r="I14" s="765">
        <f>160019-156844</f>
        <v>3175</v>
      </c>
      <c r="J14" s="765"/>
      <c r="K14" s="1769">
        <f>(H14+I14)-J14</f>
        <v>160019</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14797140</v>
      </c>
      <c r="D16" s="1760">
        <f>SUM(D3,D5:D6,D8:D10,D12:D15)</f>
        <v>170491</v>
      </c>
      <c r="E16" s="1760">
        <f>SUM(E3,E5:E6,E8:E10,E12:E15)</f>
        <v>0</v>
      </c>
      <c r="F16" s="1760">
        <f>SUM(F3,F5:F6,F8:F10,F12:F15)</f>
        <v>14967631</v>
      </c>
      <c r="G16" s="843"/>
      <c r="H16" s="1760">
        <f>SUM(H3,H6,H8:H10,H12:H14,)</f>
        <v>9661418</v>
      </c>
      <c r="I16" s="1760">
        <f>SUM(I3,I6,I8:I10,I12:I14,)</f>
        <v>467869</v>
      </c>
      <c r="J16" s="1760">
        <f>SUM(J3,J6,J8:J10,J12:J14,)</f>
        <v>0</v>
      </c>
      <c r="K16" s="1760">
        <f>(H16+I16)-J16</f>
        <v>10129287</v>
      </c>
      <c r="L16" s="1760">
        <f>F16-K16</f>
        <v>4838344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467869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4"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1952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8526326</v>
      </c>
      <c r="G8" s="865"/>
    </row>
    <row r="9" spans="1:7" x14ac:dyDescent="0.2">
      <c r="A9" s="869" t="s">
        <v>460</v>
      </c>
      <c r="B9" s="870" t="s">
        <v>1854</v>
      </c>
      <c r="C9" s="871"/>
      <c r="D9" s="869" t="s">
        <v>501</v>
      </c>
      <c r="E9" s="868"/>
      <c r="F9" s="1909">
        <f>'Expenditures 15-22'!K151</f>
        <v>713789</v>
      </c>
      <c r="G9" s="872"/>
    </row>
    <row r="10" spans="1:7" x14ac:dyDescent="0.2">
      <c r="A10" s="869" t="s">
        <v>499</v>
      </c>
      <c r="B10" s="870" t="s">
        <v>1855</v>
      </c>
      <c r="C10" s="871"/>
      <c r="D10" s="869" t="s">
        <v>501</v>
      </c>
      <c r="E10" s="868"/>
      <c r="F10" s="1909">
        <f>'Expenditures 15-22'!K174</f>
        <v>137531</v>
      </c>
      <c r="G10" s="872"/>
    </row>
    <row r="11" spans="1:7" x14ac:dyDescent="0.2">
      <c r="A11" s="869" t="s">
        <v>461</v>
      </c>
      <c r="B11" s="870" t="s">
        <v>1856</v>
      </c>
      <c r="C11" s="871"/>
      <c r="D11" s="869" t="s">
        <v>501</v>
      </c>
      <c r="E11" s="868"/>
      <c r="F11" s="1909">
        <f>'Expenditures 15-22'!K210</f>
        <v>619803</v>
      </c>
      <c r="G11" s="872"/>
    </row>
    <row r="12" spans="1:7" x14ac:dyDescent="0.2">
      <c r="A12" s="869" t="s">
        <v>462</v>
      </c>
      <c r="B12" s="870" t="s">
        <v>1857</v>
      </c>
      <c r="C12" s="871"/>
      <c r="D12" s="869" t="s">
        <v>501</v>
      </c>
      <c r="E12" s="868"/>
      <c r="F12" s="1909">
        <f>'Expenditures 15-22'!K295</f>
        <v>414364</v>
      </c>
      <c r="G12" s="872"/>
    </row>
    <row r="13" spans="1:7" x14ac:dyDescent="0.2">
      <c r="A13" s="869" t="s">
        <v>106</v>
      </c>
      <c r="B13" s="870" t="s">
        <v>1858</v>
      </c>
      <c r="C13" s="871"/>
      <c r="D13" s="869" t="s">
        <v>501</v>
      </c>
      <c r="E13" s="868"/>
      <c r="F13" s="1909">
        <f>'Expenditures 15-22'!K342</f>
        <v>773180</v>
      </c>
      <c r="G13" s="873"/>
    </row>
    <row r="14" spans="1:7" ht="12" customHeight="1" thickBot="1" x14ac:dyDescent="0.25">
      <c r="A14" s="1770"/>
      <c r="B14" s="1771"/>
      <c r="C14" s="1772"/>
      <c r="D14" s="1773" t="s">
        <v>501</v>
      </c>
      <c r="E14" s="1774" t="s">
        <v>958</v>
      </c>
      <c r="F14" s="1775">
        <f>SUM(F8:F13)</f>
        <v>11184993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4656</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137073</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1976</v>
      </c>
      <c r="C30" s="880">
        <f>'Revenues 9-14'!B150</f>
        <v>3499</v>
      </c>
      <c r="D30" s="881" t="str">
        <f>'Revenues 9-14'!A150</f>
        <v>Adult Ed - Other (Describe &amp; Itemize)</v>
      </c>
      <c r="E30" s="868"/>
      <c r="F30" s="1914">
        <f>('Revenues 9-14'!D150+'Revenues 9-14'!F150)</f>
        <v>0</v>
      </c>
      <c r="G30" s="865"/>
    </row>
    <row r="31" spans="1:7" x14ac:dyDescent="0.2">
      <c r="A31" s="869" t="s">
        <v>1097</v>
      </c>
      <c r="B31" s="870" t="s">
        <v>1977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1978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1979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638754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60973</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4128</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112572</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352966</v>
      </c>
      <c r="G53" s="865"/>
    </row>
    <row r="54" spans="1:7" x14ac:dyDescent="0.2">
      <c r="A54" s="869" t="s">
        <v>459</v>
      </c>
      <c r="B54" s="869" t="s">
        <v>1476</v>
      </c>
      <c r="C54" s="889" t="s">
        <v>982</v>
      </c>
      <c r="D54" s="885" t="s">
        <v>1095</v>
      </c>
      <c r="E54" s="868"/>
      <c r="F54" s="1913">
        <f>'Expenditures 15-22'!G114</f>
        <v>70899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1859</v>
      </c>
      <c r="C57" s="889">
        <f>'Expenditures 15-22'!B139</f>
        <v>4000</v>
      </c>
      <c r="D57" s="887" t="str">
        <f>'Expenditures 15-22'!A139</f>
        <v>Total Payments to Other Govt Units</v>
      </c>
      <c r="E57" s="868"/>
      <c r="F57" s="1913">
        <f>'Expenditures 15-22'!K139</f>
        <v>0</v>
      </c>
      <c r="G57" s="865"/>
    </row>
    <row r="58" spans="1:7" x14ac:dyDescent="0.2">
      <c r="A58" s="869" t="s">
        <v>460</v>
      </c>
      <c r="B58" s="869" t="s">
        <v>1860</v>
      </c>
      <c r="C58" s="886" t="s">
        <v>982</v>
      </c>
      <c r="D58" s="885" t="s">
        <v>1095</v>
      </c>
      <c r="E58" s="868"/>
      <c r="F58" s="1915">
        <f>'Expenditures 15-22'!G151</f>
        <v>12463</v>
      </c>
      <c r="G58" s="865"/>
    </row>
    <row r="59" spans="1:7" x14ac:dyDescent="0.2">
      <c r="A59" s="893" t="s">
        <v>460</v>
      </c>
      <c r="B59" s="856" t="s">
        <v>1861</v>
      </c>
      <c r="C59" s="894" t="s">
        <v>982</v>
      </c>
      <c r="D59" s="856" t="s">
        <v>291</v>
      </c>
      <c r="F59" s="1916">
        <f>'Expenditures 15-22'!I151</f>
        <v>0</v>
      </c>
      <c r="G59" s="865"/>
    </row>
    <row r="60" spans="1:7" x14ac:dyDescent="0.2">
      <c r="A60" s="893" t="s">
        <v>499</v>
      </c>
      <c r="B60" s="856" t="s">
        <v>1862</v>
      </c>
      <c r="C60" s="894">
        <v>4000</v>
      </c>
      <c r="D60" s="856" t="s">
        <v>312</v>
      </c>
      <c r="F60" s="1914">
        <f>'Expenditures 15-22'!K160</f>
        <v>0</v>
      </c>
      <c r="G60" s="865"/>
    </row>
    <row r="61" spans="1:7" x14ac:dyDescent="0.2">
      <c r="A61" s="895" t="s">
        <v>499</v>
      </c>
      <c r="B61" s="895" t="s">
        <v>1863</v>
      </c>
      <c r="C61" s="896" t="str">
        <f>'Expenditures 15-22'!B170</f>
        <v>5300</v>
      </c>
      <c r="D61" s="897" t="s">
        <v>311</v>
      </c>
      <c r="E61" s="879"/>
      <c r="F61" s="1913">
        <f>'Expenditures 15-22'!K170</f>
        <v>135000</v>
      </c>
      <c r="G61" s="865"/>
    </row>
    <row r="62" spans="1:7" x14ac:dyDescent="0.2">
      <c r="A62" s="869" t="s">
        <v>461</v>
      </c>
      <c r="B62" s="869" t="s">
        <v>1864</v>
      </c>
      <c r="C62" s="886">
        <f>'Expenditures 15-22'!B185</f>
        <v>3000</v>
      </c>
      <c r="D62" s="876" t="s">
        <v>449</v>
      </c>
      <c r="E62" s="868"/>
      <c r="F62" s="1913">
        <f>'Expenditures 15-22'!K185-SUM('Expenditures 15-22'!G185,'Expenditures 15-22'!I185)</f>
        <v>0</v>
      </c>
      <c r="G62" s="865"/>
    </row>
    <row r="63" spans="1:7" x14ac:dyDescent="0.2">
      <c r="A63" s="869" t="s">
        <v>461</v>
      </c>
      <c r="B63" s="869" t="s">
        <v>1865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1866</v>
      </c>
      <c r="C64" s="896" t="str">
        <f>'Expenditures 15-22'!B206</f>
        <v>5300</v>
      </c>
      <c r="D64" s="892" t="s">
        <v>311</v>
      </c>
      <c r="E64" s="868"/>
      <c r="F64" s="1913">
        <f>'Expenditures 15-22'!K206</f>
        <v>0</v>
      </c>
      <c r="G64" s="865"/>
    </row>
    <row r="65" spans="1:8" x14ac:dyDescent="0.2">
      <c r="A65" s="869" t="s">
        <v>461</v>
      </c>
      <c r="B65" s="869" t="s">
        <v>1867</v>
      </c>
      <c r="C65" s="886" t="s">
        <v>982</v>
      </c>
      <c r="D65" s="885" t="s">
        <v>1095</v>
      </c>
      <c r="E65" s="868"/>
      <c r="F65" s="1913">
        <f>'Expenditures 15-22'!G210</f>
        <v>18698</v>
      </c>
      <c r="G65" s="865"/>
    </row>
    <row r="66" spans="1:8" x14ac:dyDescent="0.2">
      <c r="A66" s="869" t="s">
        <v>461</v>
      </c>
      <c r="B66" s="869" t="s">
        <v>1868</v>
      </c>
      <c r="C66" s="886" t="s">
        <v>982</v>
      </c>
      <c r="D66" s="885" t="s">
        <v>291</v>
      </c>
      <c r="E66" s="868"/>
      <c r="F66" s="1913">
        <f>'Expenditures 15-22'!I210</f>
        <v>0</v>
      </c>
      <c r="G66" s="865"/>
    </row>
    <row r="67" spans="1:8" x14ac:dyDescent="0.2">
      <c r="A67" s="869" t="s">
        <v>462</v>
      </c>
      <c r="B67" s="869" t="s">
        <v>1869</v>
      </c>
      <c r="C67" s="886" t="str">
        <f>'Expenditures 15-22'!B216</f>
        <v>1125</v>
      </c>
      <c r="D67" s="892" t="str">
        <f>'Expenditures 15-22'!A216</f>
        <v>Pre-K Programs</v>
      </c>
      <c r="E67" s="868"/>
      <c r="F67" s="1913">
        <f>'Expenditures 15-22'!K216</f>
        <v>53113</v>
      </c>
      <c r="G67" s="865"/>
    </row>
    <row r="68" spans="1:8" x14ac:dyDescent="0.2">
      <c r="A68" s="869" t="s">
        <v>462</v>
      </c>
      <c r="B68" s="869" t="s">
        <v>1479</v>
      </c>
      <c r="C68" s="886" t="str">
        <f>'Expenditures 15-22'!B218</f>
        <v>1225</v>
      </c>
      <c r="D68" s="892" t="str">
        <f>'Expenditures 15-22'!A218</f>
        <v>Special Education Programs - Pre-K</v>
      </c>
      <c r="E68" s="868"/>
      <c r="F68" s="1913">
        <f>'Expenditures 15-22'!K218</f>
        <v>3987</v>
      </c>
      <c r="G68" s="865"/>
    </row>
    <row r="69" spans="1:8" x14ac:dyDescent="0.2">
      <c r="A69" s="869" t="s">
        <v>462</v>
      </c>
      <c r="B69" s="869" t="s">
        <v>1870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1871</v>
      </c>
      <c r="C70" s="886">
        <f>'Expenditures 15-22'!B221</f>
        <v>1300</v>
      </c>
      <c r="D70" s="887" t="str">
        <f>'Expenditures 15-22'!A221</f>
        <v>Adult/Continuing Education Programs</v>
      </c>
      <c r="E70" s="868"/>
      <c r="F70" s="1913">
        <f>'Expenditures 15-22'!K221</f>
        <v>0</v>
      </c>
      <c r="G70" s="865"/>
    </row>
    <row r="71" spans="1:8" x14ac:dyDescent="0.2">
      <c r="A71" s="869" t="s">
        <v>462</v>
      </c>
      <c r="B71" s="869" t="s">
        <v>1872</v>
      </c>
      <c r="C71" s="886">
        <f>'Expenditures 15-22'!B224</f>
        <v>1600</v>
      </c>
      <c r="D71" s="887" t="str">
        <f>'Expenditures 15-22'!A224</f>
        <v>Summer School Programs</v>
      </c>
      <c r="E71" s="868"/>
      <c r="F71" s="1913">
        <f>'Expenditures 15-22'!K224</f>
        <v>124</v>
      </c>
      <c r="G71" s="865"/>
    </row>
    <row r="72" spans="1:8" x14ac:dyDescent="0.2">
      <c r="A72" s="869" t="s">
        <v>462</v>
      </c>
      <c r="B72" s="869" t="s">
        <v>1873</v>
      </c>
      <c r="C72" s="886">
        <f>'Expenditures 15-22'!B280</f>
        <v>3000</v>
      </c>
      <c r="D72" s="876" t="s">
        <v>449</v>
      </c>
      <c r="E72" s="868"/>
      <c r="F72" s="1913">
        <f>'Expenditures 15-22'!K280</f>
        <v>0</v>
      </c>
      <c r="G72" s="865"/>
    </row>
    <row r="73" spans="1:8" x14ac:dyDescent="0.2">
      <c r="A73" s="869" t="s">
        <v>462</v>
      </c>
      <c r="B73" s="869" t="s">
        <v>1874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1875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1876</v>
      </c>
      <c r="E76" s="1774" t="s">
        <v>958</v>
      </c>
      <c r="F76" s="1778">
        <f>SUM(F18:F74)</f>
        <v>1605406</v>
      </c>
      <c r="G76" s="865"/>
    </row>
    <row r="77" spans="1:8" s="893" customFormat="1" ht="12" customHeight="1" thickTop="1" thickBot="1" x14ac:dyDescent="0.25">
      <c r="A77" s="1779"/>
      <c r="B77" s="1776"/>
      <c r="C77" s="1772"/>
      <c r="D77" s="1777" t="s">
        <v>1877</v>
      </c>
      <c r="E77" s="1774"/>
      <c r="F77" s="1780">
        <f>(F14-F76)</f>
        <v>9579587</v>
      </c>
      <c r="G77" s="869"/>
    </row>
    <row r="78" spans="1:8" s="893" customFormat="1" ht="12" customHeight="1" thickTop="1" x14ac:dyDescent="0.2">
      <c r="A78" s="1781"/>
      <c r="B78" s="1776"/>
      <c r="C78" s="1772"/>
      <c r="D78" s="1777" t="s">
        <v>2039</v>
      </c>
      <c r="E78" s="1774"/>
      <c r="F78" s="898">
        <v>991.51199999999994</v>
      </c>
      <c r="G78" s="899"/>
      <c r="H78" s="869"/>
    </row>
    <row r="79" spans="1:8" s="893" customFormat="1" ht="12" customHeight="1" thickBot="1" x14ac:dyDescent="0.25">
      <c r="A79" s="1782"/>
      <c r="B79" s="1776"/>
      <c r="C79" s="1772"/>
      <c r="D79" s="1777" t="s">
        <v>1878</v>
      </c>
      <c r="E79" s="1774" t="s">
        <v>958</v>
      </c>
      <c r="F79" s="1783">
        <f>IF(F78&gt;0,F77/F78," Complete Line 78")</f>
        <v>9661.5946150929085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240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209155</v>
      </c>
      <c r="G94" s="912"/>
    </row>
    <row r="95" spans="1:7" x14ac:dyDescent="0.2">
      <c r="A95" s="908" t="s">
        <v>140</v>
      </c>
      <c r="B95" s="908" t="s">
        <v>175</v>
      </c>
      <c r="C95" s="910">
        <v>1700</v>
      </c>
      <c r="D95" s="918" t="str">
        <f>'Revenues 9-14'!A82</f>
        <v>Total District/School Activity Income</v>
      </c>
      <c r="E95" s="906"/>
      <c r="F95" s="1789">
        <f>SUM('Revenues 9-14'!C82,'Revenues 9-14'!D82)</f>
        <v>29084</v>
      </c>
      <c r="G95" s="912"/>
    </row>
    <row r="96" spans="1:7" x14ac:dyDescent="0.2">
      <c r="A96" s="908" t="s">
        <v>459</v>
      </c>
      <c r="B96" s="908" t="s">
        <v>176</v>
      </c>
      <c r="C96" s="910">
        <f>'Revenues 9-14'!B84</f>
        <v>1811</v>
      </c>
      <c r="D96" s="911" t="str">
        <f>'Revenues 9-14'!A84</f>
        <v>Rentals - Regular Textbooks</v>
      </c>
      <c r="E96" s="906"/>
      <c r="F96" s="1789">
        <f>'Revenues 9-14'!C84</f>
        <v>19635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82577</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8643</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3499</v>
      </c>
      <c r="G104" s="912"/>
    </row>
    <row r="105" spans="1:7" x14ac:dyDescent="0.2">
      <c r="A105" s="908" t="s">
        <v>503</v>
      </c>
      <c r="B105" s="908" t="s">
        <v>1980</v>
      </c>
      <c r="C105" s="913">
        <v>3100</v>
      </c>
      <c r="D105" s="919" t="str">
        <f>'Revenues 9-14'!A132</f>
        <v>Total Special Education</v>
      </c>
      <c r="E105" s="906"/>
      <c r="F105" s="1789">
        <f>SUM('Revenues 9-14'!C132:D132,'Revenues 9-14'!F132)</f>
        <v>74816</v>
      </c>
      <c r="G105" s="912"/>
    </row>
    <row r="106" spans="1:7" x14ac:dyDescent="0.2">
      <c r="A106" s="908" t="s">
        <v>673</v>
      </c>
      <c r="B106" s="908" t="s">
        <v>1981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1982</v>
      </c>
      <c r="C107" s="920">
        <v>3300</v>
      </c>
      <c r="D107" s="911" t="str">
        <f>'Revenues 9-14'!A145</f>
        <v>Total Bilingual Ed</v>
      </c>
      <c r="E107" s="906"/>
      <c r="F107" s="1789">
        <f>SUM('Revenues 9-14'!C145,'Revenues 9-14'!G145)</f>
        <v>0</v>
      </c>
      <c r="G107" s="912"/>
    </row>
    <row r="108" spans="1:7" x14ac:dyDescent="0.2">
      <c r="A108" s="908" t="s">
        <v>459</v>
      </c>
      <c r="B108" s="908" t="s">
        <v>1983</v>
      </c>
      <c r="C108" s="920">
        <f>'Revenues 9-14'!B146</f>
        <v>3360</v>
      </c>
      <c r="D108" s="911" t="str">
        <f>'Revenues 9-14'!A146</f>
        <v>State Free Lunch &amp; Breakfast</v>
      </c>
      <c r="E108" s="906"/>
      <c r="F108" s="1789">
        <f>'Revenues 9-14'!C146</f>
        <v>4258</v>
      </c>
      <c r="G108" s="912"/>
    </row>
    <row r="109" spans="1:7" x14ac:dyDescent="0.2">
      <c r="A109" s="908" t="s">
        <v>673</v>
      </c>
      <c r="B109" s="908" t="s">
        <v>1984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89">
        <f>SUM('Revenues 9-14'!C148,'Revenues 9-14'!D148)</f>
        <v>0</v>
      </c>
      <c r="G110" s="912"/>
    </row>
    <row r="111" spans="1:7" x14ac:dyDescent="0.2">
      <c r="A111" s="908" t="s">
        <v>668</v>
      </c>
      <c r="B111" s="908" t="s">
        <v>1986</v>
      </c>
      <c r="C111" s="922">
        <v>3500</v>
      </c>
      <c r="D111" s="911" t="str">
        <f>'Revenues 9-14'!A155</f>
        <v>Total Transportation</v>
      </c>
      <c r="E111" s="906"/>
      <c r="F111" s="1789">
        <f>SUM('Revenues 9-14'!C155,'Revenues 9-14'!D155,'Revenues 9-14'!F155,'Revenues 9-14'!G155)</f>
        <v>274233</v>
      </c>
      <c r="G111" s="912"/>
    </row>
    <row r="112" spans="1:7" x14ac:dyDescent="0.2">
      <c r="A112" s="908" t="s">
        <v>459</v>
      </c>
      <c r="B112" s="908" t="s">
        <v>1987</v>
      </c>
      <c r="C112" s="920">
        <f>'Revenues 9-14'!B156</f>
        <v>3610</v>
      </c>
      <c r="D112" s="911" t="str">
        <f>'Revenues 9-14'!A156</f>
        <v>Learning Improvement - Change Grants</v>
      </c>
      <c r="E112" s="906"/>
      <c r="F112" s="1789">
        <f>'Revenues 9-14'!C156</f>
        <v>0</v>
      </c>
      <c r="G112" s="912"/>
    </row>
    <row r="113" spans="1:7" x14ac:dyDescent="0.2">
      <c r="A113" s="908" t="s">
        <v>668</v>
      </c>
      <c r="B113" s="908" t="s">
        <v>1988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1990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1991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1992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1993</v>
      </c>
      <c r="C118" s="924">
        <f>'Revenues 9-14'!B163</f>
        <v>3780</v>
      </c>
      <c r="D118" s="925" t="str">
        <f>'Revenues 9-14'!A163</f>
        <v>Technology - Technology for Success</v>
      </c>
      <c r="E118" s="906"/>
      <c r="F118" s="1907">
        <f>SUM('Revenues 9-14'!C163:G163)</f>
        <v>0</v>
      </c>
      <c r="G118" s="912"/>
    </row>
    <row r="119" spans="1:7" x14ac:dyDescent="0.2">
      <c r="A119" s="923" t="s">
        <v>504</v>
      </c>
      <c r="B119" s="923" t="s">
        <v>1994</v>
      </c>
      <c r="C119" s="924">
        <f>'Revenues 9-14'!B164</f>
        <v>3815</v>
      </c>
      <c r="D119" s="925" t="str">
        <f>'Revenues 9-14'!A164</f>
        <v>State Charter Schools</v>
      </c>
      <c r="E119" s="906"/>
      <c r="F119" s="1907">
        <f>SUM('Revenues 9-14'!C164,'Revenues 9-14'!F164)</f>
        <v>0</v>
      </c>
      <c r="G119" s="912"/>
    </row>
    <row r="120" spans="1:7" x14ac:dyDescent="0.2">
      <c r="A120" s="927" t="s">
        <v>460</v>
      </c>
      <c r="B120" s="927" t="s">
        <v>1995</v>
      </c>
      <c r="C120" s="928">
        <f>'Revenues 9-14'!B167</f>
        <v>3925</v>
      </c>
      <c r="D120" s="929" t="str">
        <f>'Revenues 9-14'!A167</f>
        <v>School Infrastructure - Maintenance Projects</v>
      </c>
      <c r="E120" s="906"/>
      <c r="F120" s="1789">
        <f>'Revenues 9-14'!D167</f>
        <v>0</v>
      </c>
      <c r="G120" s="930"/>
    </row>
    <row r="121" spans="1:7" x14ac:dyDescent="0.2">
      <c r="A121" s="927" t="s">
        <v>500</v>
      </c>
      <c r="B121" s="927" t="s">
        <v>1996</v>
      </c>
      <c r="C121" s="928">
        <f>'Revenues 9-14'!B168</f>
        <v>3999</v>
      </c>
      <c r="D121" s="929" t="s">
        <v>543</v>
      </c>
      <c r="E121" s="931"/>
      <c r="F121" s="1789">
        <f>SUM('Revenues 9-14'!C168:G168,'Revenues 9-14'!J168)</f>
        <v>750</v>
      </c>
      <c r="G121" s="930"/>
    </row>
    <row r="122" spans="1:7" x14ac:dyDescent="0.2">
      <c r="A122" s="927" t="s">
        <v>459</v>
      </c>
      <c r="B122" s="927" t="s">
        <v>1997</v>
      </c>
      <c r="C122" s="932">
        <f>'Revenues 9-14'!B177</f>
        <v>4045</v>
      </c>
      <c r="D122" s="929" t="str">
        <f>'Revenues 9-14'!A177 &amp; " (Subtract)"</f>
        <v>Head Start (Subtract)</v>
      </c>
      <c r="E122" s="906"/>
      <c r="F122" s="1789">
        <f>SUM(-'Revenues 9-14'!C177)</f>
        <v>0</v>
      </c>
      <c r="G122" s="930"/>
    </row>
    <row r="123" spans="1:7" x14ac:dyDescent="0.2">
      <c r="A123" s="927" t="s">
        <v>668</v>
      </c>
      <c r="B123" s="927" t="s">
        <v>1998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1999</v>
      </c>
      <c r="C124" s="932">
        <v>4100</v>
      </c>
      <c r="D124" s="933" t="str">
        <f>'Revenues 9-14'!A188</f>
        <v>Total Title V</v>
      </c>
      <c r="E124" s="906"/>
      <c r="F124" s="1789">
        <f>SUM('Revenues 9-14'!C188,'Revenues 9-14'!D188,'Revenues 9-14'!F188,'Revenues 9-14'!G188)</f>
        <v>15875</v>
      </c>
      <c r="G124" s="930"/>
    </row>
    <row r="125" spans="1:7" x14ac:dyDescent="0.2">
      <c r="A125" s="927" t="s">
        <v>664</v>
      </c>
      <c r="B125" s="927" t="s">
        <v>2000</v>
      </c>
      <c r="C125" s="932">
        <v>4200</v>
      </c>
      <c r="D125" s="929" t="str">
        <f>'Revenues 9-14'!A198</f>
        <v>Total Food Service</v>
      </c>
      <c r="E125" s="906"/>
      <c r="F125" s="1789">
        <f>SUM('Revenues 9-14'!C198,'Revenues 9-14'!G198)</f>
        <v>242608</v>
      </c>
      <c r="G125" s="930"/>
    </row>
    <row r="126" spans="1:7" x14ac:dyDescent="0.2">
      <c r="A126" s="927" t="s">
        <v>668</v>
      </c>
      <c r="B126" s="927" t="s">
        <v>2001</v>
      </c>
      <c r="C126" s="932">
        <v>4300</v>
      </c>
      <c r="D126" s="933" t="str">
        <f>'Revenues 9-14'!A204</f>
        <v>Total Title I</v>
      </c>
      <c r="E126" s="906"/>
      <c r="F126" s="1789">
        <f>SUM('Revenues 9-14'!C204,'Revenues 9-14'!D204,'Revenues 9-14'!F204,'Revenues 9-14'!G204)</f>
        <v>457114</v>
      </c>
      <c r="G126" s="930"/>
    </row>
    <row r="127" spans="1:7" x14ac:dyDescent="0.2">
      <c r="A127" s="927" t="s">
        <v>668</v>
      </c>
      <c r="B127" s="927" t="s">
        <v>2002</v>
      </c>
      <c r="C127" s="932">
        <v>4400</v>
      </c>
      <c r="D127" s="933" t="str">
        <f>'Revenues 9-14'!A209</f>
        <v>Total Title IV</v>
      </c>
      <c r="E127" s="906"/>
      <c r="F127" s="1789">
        <f>SUM('Revenues 9-14'!C209,'Revenues 9-14'!D209,'Revenues 9-14'!F209,'Revenues 9-14'!G209)</f>
        <v>32960</v>
      </c>
      <c r="G127" s="930"/>
    </row>
    <row r="128" spans="1:7" x14ac:dyDescent="0.2">
      <c r="A128" s="927" t="s">
        <v>668</v>
      </c>
      <c r="B128" s="927" t="s">
        <v>2003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2004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2005</v>
      </c>
      <c r="C130" s="932">
        <f>'Revenues 9-14'!B215</f>
        <v>4630</v>
      </c>
      <c r="D130" s="933" t="str">
        <f>'Revenues 9-14'!A215</f>
        <v>Fed - Spec Education - IDEA - Discretionary</v>
      </c>
      <c r="E130" s="906"/>
      <c r="F130" s="1789">
        <f>SUM('Revenues 9-14'!C215:D215,'Revenues 9-14'!F215:G215)</f>
        <v>2596</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2006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89">
        <v>0</v>
      </c>
      <c r="G138" s="905"/>
    </row>
    <row r="139" spans="1:7" s="867" customFormat="1" hidden="1" x14ac:dyDescent="0.2">
      <c r="A139" s="934" t="s">
        <v>206</v>
      </c>
      <c r="B139" s="934" t="s">
        <v>2013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2016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2021</v>
      </c>
      <c r="C157" s="940" t="s">
        <v>841</v>
      </c>
      <c r="D157" s="941" t="s">
        <v>777</v>
      </c>
      <c r="E157" s="942"/>
      <c r="F157" s="1789">
        <f>SUM(F133:F156)</f>
        <v>0</v>
      </c>
      <c r="G157" s="905"/>
    </row>
    <row r="158" spans="1:7" s="867" customFormat="1" x14ac:dyDescent="0.2">
      <c r="A158" s="938" t="s">
        <v>459</v>
      </c>
      <c r="B158" s="939" t="s">
        <v>2022</v>
      </c>
      <c r="C158" s="940" t="s">
        <v>1427</v>
      </c>
      <c r="D158" s="941" t="s">
        <v>1428</v>
      </c>
      <c r="E158" s="942"/>
      <c r="F158" s="1789">
        <f>SUM('Revenues 9-14'!C253)</f>
        <v>0</v>
      </c>
      <c r="G158" s="905"/>
    </row>
    <row r="159" spans="1:7" s="867" customFormat="1" x14ac:dyDescent="0.2">
      <c r="A159" s="938" t="s">
        <v>500</v>
      </c>
      <c r="B159" s="939" t="s">
        <v>2023</v>
      </c>
      <c r="C159" s="940" t="s">
        <v>1466</v>
      </c>
      <c r="D159" s="941" t="s">
        <v>1467</v>
      </c>
      <c r="E159" s="942"/>
      <c r="F159" s="1789">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2025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2026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2027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2028</v>
      </c>
      <c r="C164" s="932">
        <f>'Revenues 9-14'!B259</f>
        <v>4932</v>
      </c>
      <c r="D164" s="933" t="str">
        <f>'Revenues 9-14'!A259</f>
        <v>Title II - Teacher Quality</v>
      </c>
      <c r="E164" s="906"/>
      <c r="F164" s="1907">
        <f>SUM('Revenues 9-14'!C259,'Revenues 9-14'!D259,'Revenues 9-14'!F259,'Revenues 9-14'!G259)</f>
        <v>59611</v>
      </c>
      <c r="G164" s="930"/>
    </row>
    <row r="165" spans="1:7" x14ac:dyDescent="0.2">
      <c r="A165" s="927" t="s">
        <v>668</v>
      </c>
      <c r="B165" s="927" t="s">
        <v>2029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1974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1975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2030</v>
      </c>
      <c r="C168" s="932">
        <f>'Revenues 9-14'!B263</f>
        <v>4991</v>
      </c>
      <c r="D168" s="933" t="str">
        <f>'Revenues 9-14'!A263</f>
        <v>Medicaid Matching Funds - Administrative Outreach</v>
      </c>
      <c r="E168" s="906"/>
      <c r="F168" s="1789">
        <f>SUM('Revenues 9-14'!C263:D263,'Revenues 9-14'!F263:G263)</f>
        <v>5884</v>
      </c>
      <c r="G168" s="947">
        <v>6320</v>
      </c>
    </row>
    <row r="169" spans="1:7" x14ac:dyDescent="0.2">
      <c r="A169" s="927" t="s">
        <v>668</v>
      </c>
      <c r="B169" s="927" t="s">
        <v>2031</v>
      </c>
      <c r="C169" s="932">
        <f>'Revenues 9-14'!B264</f>
        <v>4992</v>
      </c>
      <c r="D169" s="933" t="str">
        <f>'Revenues 9-14'!A264</f>
        <v>Medicaid Matching Funds - Fee-for-Service Program</v>
      </c>
      <c r="E169" s="906"/>
      <c r="F169" s="1789">
        <f>SUM('Revenues 9-14'!C264:D264,'Revenues 9-14'!F264:G264)</f>
        <v>84047</v>
      </c>
      <c r="G169" s="947"/>
    </row>
    <row r="170" spans="1:7" x14ac:dyDescent="0.2">
      <c r="A170" s="948" t="s">
        <v>668</v>
      </c>
      <c r="B170" s="944" t="s">
        <v>2032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1897</v>
      </c>
      <c r="C171" s="1920">
        <v>3100</v>
      </c>
      <c r="D171" s="1921" t="s">
        <v>1899</v>
      </c>
      <c r="E171" s="906"/>
      <c r="F171" s="1906">
        <v>510162</v>
      </c>
      <c r="G171" s="927"/>
    </row>
    <row r="172" spans="1:7" x14ac:dyDescent="0.2">
      <c r="A172" s="1918" t="s">
        <v>664</v>
      </c>
      <c r="B172" s="1919" t="s">
        <v>1897</v>
      </c>
      <c r="C172" s="1920">
        <v>3300</v>
      </c>
      <c r="D172" s="1921" t="s">
        <v>1900</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2033</v>
      </c>
      <c r="E174" s="1787" t="s">
        <v>958</v>
      </c>
      <c r="F174" s="1788">
        <f>SUM(F84:F132,F157:F172)</f>
        <v>2117747</v>
      </c>
    </row>
    <row r="175" spans="1:7" ht="12" customHeight="1" x14ac:dyDescent="0.2">
      <c r="A175" s="1770"/>
      <c r="B175" s="1784"/>
      <c r="C175" s="1785"/>
      <c r="D175" s="1786" t="s">
        <v>2034</v>
      </c>
      <c r="E175" s="1787"/>
      <c r="F175" s="1789">
        <f>'PCTC-OEPP 27-28'!F77-F174</f>
        <v>7461840</v>
      </c>
    </row>
    <row r="176" spans="1:7" ht="12" customHeight="1" x14ac:dyDescent="0.2">
      <c r="A176" s="1770"/>
      <c r="B176" s="1784"/>
      <c r="C176" s="1785"/>
      <c r="D176" s="1786" t="s">
        <v>1795</v>
      </c>
      <c r="E176" s="1787"/>
      <c r="F176" s="1789">
        <f>'Cap Outlay Deprec 26'!I18</f>
        <v>467869</v>
      </c>
    </row>
    <row r="177" spans="1:7" ht="12" customHeight="1" x14ac:dyDescent="0.2">
      <c r="A177" s="1770"/>
      <c r="B177" s="1784"/>
      <c r="C177" s="1785"/>
      <c r="D177" s="1786" t="s">
        <v>2035</v>
      </c>
      <c r="E177" s="1787"/>
      <c r="F177" s="1789">
        <f>F175+F176</f>
        <v>7929709</v>
      </c>
    </row>
    <row r="178" spans="1:7" ht="12" customHeight="1" x14ac:dyDescent="0.2">
      <c r="A178" s="1770"/>
      <c r="B178" s="1790"/>
      <c r="C178" s="1785"/>
      <c r="D178" s="1786" t="str">
        <f>D78</f>
        <v>9 Month ADA from District Average Daily Attendance/Prior General State Aid Inquiry 2018-2019</v>
      </c>
      <c r="E178" s="1787"/>
      <c r="F178" s="1791">
        <f>'PCTC-OEPP 27-28'!F78</f>
        <v>991.51199999999994</v>
      </c>
      <c r="G178" s="930"/>
    </row>
    <row r="179" spans="1:7" ht="12" customHeight="1" thickBot="1" x14ac:dyDescent="0.25">
      <c r="A179" s="1770"/>
      <c r="B179" s="1790"/>
      <c r="C179" s="1785"/>
      <c r="D179" s="1786" t="s">
        <v>2036</v>
      </c>
      <c r="E179" s="1787" t="s">
        <v>1545</v>
      </c>
      <c r="F179" s="1792">
        <f>F177/F178</f>
        <v>7997.5925656976424</v>
      </c>
      <c r="G179" s="856">
        <v>6323</v>
      </c>
    </row>
    <row r="180" spans="1:7" ht="12" thickTop="1" x14ac:dyDescent="0.2">
      <c r="B180" s="930"/>
      <c r="C180" s="949"/>
      <c r="D180" s="930"/>
      <c r="E180" s="949"/>
      <c r="F180" s="930"/>
      <c r="G180" s="951">
        <v>6326</v>
      </c>
    </row>
    <row r="181" spans="1:7" ht="12.2" customHeight="1" x14ac:dyDescent="0.2">
      <c r="A181" s="930" t="s">
        <v>1898</v>
      </c>
      <c r="B181" s="930"/>
      <c r="C181" s="949"/>
      <c r="D181" s="930"/>
      <c r="E181" s="949"/>
      <c r="F181" s="930"/>
      <c r="G181" s="930"/>
    </row>
    <row r="182" spans="1:7" s="1922" customFormat="1" ht="12.2" customHeight="1" x14ac:dyDescent="0.2">
      <c r="A182" s="1922" t="s">
        <v>1971</v>
      </c>
      <c r="B182" s="1923"/>
      <c r="C182" s="1924"/>
      <c r="D182" s="1923"/>
      <c r="E182" s="1924"/>
      <c r="F182" s="1923"/>
      <c r="G182" s="1923"/>
    </row>
    <row r="183" spans="1:7" s="1922" customFormat="1" ht="12.2" customHeight="1" x14ac:dyDescent="0.2">
      <c r="A183" s="1925" t="s">
        <v>1973</v>
      </c>
      <c r="C183" s="1924"/>
      <c r="D183" s="1923"/>
      <c r="E183" s="1924"/>
      <c r="F183" s="1923"/>
      <c r="G183" s="1923"/>
    </row>
    <row r="184" spans="1:7" ht="12" customHeight="1" x14ac:dyDescent="0.2">
      <c r="C184" s="949"/>
      <c r="D184" s="930"/>
      <c r="E184" s="949"/>
      <c r="F184" s="930"/>
      <c r="G184" s="930"/>
    </row>
    <row r="185" spans="1:7" x14ac:dyDescent="0.2">
      <c r="A185" s="1926" t="s">
        <v>1902</v>
      </c>
      <c r="B185" s="1927" t="s">
        <v>1901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0"/>
  <sheetViews>
    <sheetView showGridLines="0" zoomScaleNormal="100" workbookViewId="0">
      <selection activeCell="D25" sqref="D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1810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1796</v>
      </c>
      <c r="B4" s="2270"/>
      <c r="C4" s="2270"/>
      <c r="D4" s="2270"/>
      <c r="E4" s="2270"/>
      <c r="F4" s="2270"/>
      <c r="G4" s="2271"/>
    </row>
    <row r="5" spans="1:7" x14ac:dyDescent="0.25">
      <c r="A5" s="2272"/>
      <c r="B5" s="2273"/>
      <c r="C5" s="2273"/>
      <c r="D5" s="2273"/>
      <c r="E5" s="2273"/>
      <c r="F5" s="2273"/>
      <c r="G5" s="2274"/>
    </row>
    <row r="6" spans="1:7" ht="18.75" x14ac:dyDescent="0.25">
      <c r="A6" s="1534" t="s">
        <v>1797</v>
      </c>
      <c r="B6" s="1535"/>
      <c r="C6" s="1535"/>
      <c r="D6" s="1535"/>
      <c r="E6" s="1535"/>
      <c r="F6" s="1535"/>
      <c r="G6" s="1536"/>
    </row>
    <row r="7" spans="1:7" ht="30.75" customHeight="1" x14ac:dyDescent="0.25">
      <c r="A7" s="2275" t="s">
        <v>1909</v>
      </c>
      <c r="B7" s="2276"/>
      <c r="C7" s="2276"/>
      <c r="D7" s="2276"/>
      <c r="E7" s="2276"/>
      <c r="F7" s="2276"/>
      <c r="G7" s="2277"/>
    </row>
    <row r="8" spans="1:7" ht="15.75" customHeight="1" x14ac:dyDescent="0.25">
      <c r="A8" s="2278" t="s">
        <v>1884</v>
      </c>
      <c r="B8" s="2279"/>
      <c r="C8" s="2279"/>
      <c r="D8" s="2279"/>
      <c r="E8" s="2279"/>
      <c r="F8" s="2279"/>
      <c r="G8" s="2280"/>
    </row>
    <row r="9" spans="1:7" ht="35.25" customHeight="1" x14ac:dyDescent="0.25">
      <c r="A9" s="2275" t="s">
        <v>1912</v>
      </c>
      <c r="B9" s="2276"/>
      <c r="C9" s="2276"/>
      <c r="D9" s="2276"/>
      <c r="E9" s="2276"/>
      <c r="F9" s="2276"/>
      <c r="G9" s="2277"/>
    </row>
    <row r="10" spans="1:7" ht="15" customHeight="1" x14ac:dyDescent="0.25">
      <c r="A10" s="1537" t="s">
        <v>1798</v>
      </c>
      <c r="B10" s="1538"/>
      <c r="C10" s="1538"/>
      <c r="D10" s="1538"/>
      <c r="E10" s="1538"/>
      <c r="F10" s="1538"/>
      <c r="G10" s="1539"/>
    </row>
    <row r="11" spans="1:7" ht="17.25" customHeight="1" x14ac:dyDescent="0.25">
      <c r="A11" s="2275" t="s">
        <v>1911</v>
      </c>
      <c r="B11" s="2276"/>
      <c r="C11" s="2276"/>
      <c r="D11" s="2276"/>
      <c r="E11" s="2276"/>
      <c r="F11" s="2276"/>
      <c r="G11" s="2277"/>
    </row>
    <row r="12" spans="1:7" ht="15" customHeight="1" x14ac:dyDescent="0.25">
      <c r="A12" s="1537" t="s">
        <v>1803</v>
      </c>
      <c r="B12" s="1538"/>
      <c r="C12" s="1538"/>
      <c r="D12" s="1538"/>
      <c r="E12" s="1538"/>
      <c r="F12" s="1538"/>
      <c r="G12" s="1539"/>
    </row>
    <row r="13" spans="1:7" ht="32.25" customHeight="1" x14ac:dyDescent="0.25">
      <c r="A13" s="2266" t="s">
        <v>1953</v>
      </c>
      <c r="B13" s="2267"/>
      <c r="C13" s="2267"/>
      <c r="D13" s="2267"/>
      <c r="E13" s="2267"/>
      <c r="F13" s="2267"/>
      <c r="G13" s="2268"/>
    </row>
    <row r="14" spans="1:7" x14ac:dyDescent="0.25">
      <c r="A14" s="1661" t="s">
        <v>1811</v>
      </c>
      <c r="B14" s="1662"/>
      <c r="C14" s="1662"/>
      <c r="D14" s="1662"/>
      <c r="E14" s="1662"/>
      <c r="F14" s="1662"/>
      <c r="G14" s="1663"/>
    </row>
    <row r="15" spans="1:7" ht="61.5" customHeight="1" x14ac:dyDescent="0.25">
      <c r="A15" s="1546" t="s">
        <v>1804</v>
      </c>
      <c r="B15" s="1546" t="s">
        <v>1805</v>
      </c>
      <c r="C15" s="1546" t="s">
        <v>1806</v>
      </c>
      <c r="D15" s="1547" t="s">
        <v>1807</v>
      </c>
      <c r="E15" s="1547" t="s">
        <v>1799</v>
      </c>
      <c r="F15" s="1547" t="s">
        <v>1808</v>
      </c>
      <c r="G15" s="1547" t="s">
        <v>1809</v>
      </c>
    </row>
    <row r="16" spans="1:7" x14ac:dyDescent="0.25">
      <c r="A16" s="1648" t="s">
        <v>1812</v>
      </c>
      <c r="B16" s="1649" t="s">
        <v>1802</v>
      </c>
      <c r="C16" s="1650" t="s">
        <v>1800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2061</v>
      </c>
      <c r="B17" s="1938" t="s">
        <v>2073</v>
      </c>
      <c r="C17" s="1939" t="s">
        <v>2063</v>
      </c>
      <c r="D17" s="1844">
        <v>2034</v>
      </c>
      <c r="E17" s="1540">
        <f t="shared" ref="E17:E140" si="0">IF(D17&lt;=25000,D17,IF(D17&gt;25000,25000,0))</f>
        <v>2034</v>
      </c>
      <c r="F17" s="193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ht="30" x14ac:dyDescent="0.25">
      <c r="A18" s="1937" t="s">
        <v>2062</v>
      </c>
      <c r="B18" s="1938" t="s">
        <v>2074</v>
      </c>
      <c r="C18" s="1939" t="s">
        <v>2064</v>
      </c>
      <c r="D18" s="1844">
        <v>1454</v>
      </c>
      <c r="E18" s="1540">
        <f t="shared" ref="E18:E139" si="2">IF(D18&lt;=25000,D18,IF(D18&gt;25000,25000,0))</f>
        <v>1454</v>
      </c>
      <c r="F18" s="1932">
        <f t="shared" si="1"/>
        <v>1454</v>
      </c>
      <c r="G18" s="1793">
        <f t="shared" ref="G18:G139" si="3">IF(F18=0,0,D18-F18)</f>
        <v>0</v>
      </c>
    </row>
    <row r="19" spans="1:8" ht="30" x14ac:dyDescent="0.25">
      <c r="A19" s="1937" t="s">
        <v>2062</v>
      </c>
      <c r="B19" s="1938" t="s">
        <v>2074</v>
      </c>
      <c r="C19" s="1939" t="s">
        <v>2065</v>
      </c>
      <c r="D19" s="1844">
        <v>9030</v>
      </c>
      <c r="E19" s="1540">
        <f t="shared" si="2"/>
        <v>9030</v>
      </c>
      <c r="F19" s="1932">
        <f t="shared" si="1"/>
        <v>9030</v>
      </c>
      <c r="G19" s="1793">
        <f t="shared" si="3"/>
        <v>0</v>
      </c>
    </row>
    <row r="20" spans="1:8" ht="30" x14ac:dyDescent="0.25">
      <c r="A20" s="1937" t="s">
        <v>2062</v>
      </c>
      <c r="B20" s="1938" t="s">
        <v>2074</v>
      </c>
      <c r="C20" s="1939" t="s">
        <v>2066</v>
      </c>
      <c r="D20" s="1844">
        <f>375+500+625+375+460+125+625</f>
        <v>3085</v>
      </c>
      <c r="E20" s="1540">
        <f t="shared" si="2"/>
        <v>3085</v>
      </c>
      <c r="F20" s="1932">
        <f t="shared" si="1"/>
        <v>3085</v>
      </c>
      <c r="G20" s="1793">
        <f t="shared" si="3"/>
        <v>0</v>
      </c>
    </row>
    <row r="21" spans="1:8" ht="30" x14ac:dyDescent="0.25">
      <c r="A21" s="1937" t="s">
        <v>2062</v>
      </c>
      <c r="B21" s="1938" t="s">
        <v>2074</v>
      </c>
      <c r="C21" s="1939" t="s">
        <v>2067</v>
      </c>
      <c r="D21" s="1844">
        <v>1877</v>
      </c>
      <c r="E21" s="1540">
        <f t="shared" si="2"/>
        <v>1877</v>
      </c>
      <c r="F21" s="1932">
        <f t="shared" si="1"/>
        <v>1877</v>
      </c>
      <c r="G21" s="1793">
        <f t="shared" si="3"/>
        <v>0</v>
      </c>
    </row>
    <row r="22" spans="1:8" ht="30" x14ac:dyDescent="0.25">
      <c r="A22" s="1937" t="s">
        <v>2062</v>
      </c>
      <c r="B22" s="1938" t="s">
        <v>2074</v>
      </c>
      <c r="C22" s="1939" t="s">
        <v>2068</v>
      </c>
      <c r="D22" s="1844">
        <v>18184</v>
      </c>
      <c r="E22" s="1540">
        <f t="shared" si="2"/>
        <v>18184</v>
      </c>
      <c r="F22" s="1932">
        <f t="shared" si="1"/>
        <v>18184</v>
      </c>
      <c r="G22" s="1793">
        <f t="shared" si="3"/>
        <v>0</v>
      </c>
    </row>
    <row r="23" spans="1:8" ht="30" x14ac:dyDescent="0.25">
      <c r="A23" s="1937" t="s">
        <v>2062</v>
      </c>
      <c r="B23" s="1938" t="s">
        <v>2074</v>
      </c>
      <c r="C23" s="1939" t="s">
        <v>2069</v>
      </c>
      <c r="D23" s="1844">
        <v>9100</v>
      </c>
      <c r="E23" s="1540">
        <f t="shared" si="2"/>
        <v>9100</v>
      </c>
      <c r="F23" s="1932">
        <f t="shared" si="1"/>
        <v>9100</v>
      </c>
      <c r="G23" s="1793">
        <f t="shared" si="3"/>
        <v>0</v>
      </c>
    </row>
    <row r="24" spans="1:8" ht="30" x14ac:dyDescent="0.25">
      <c r="A24" s="1937" t="s">
        <v>2062</v>
      </c>
      <c r="B24" s="1938" t="s">
        <v>2074</v>
      </c>
      <c r="C24" s="1939" t="s">
        <v>2070</v>
      </c>
      <c r="D24" s="1844">
        <v>15944</v>
      </c>
      <c r="E24" s="1540">
        <f t="shared" si="2"/>
        <v>15944</v>
      </c>
      <c r="F24" s="1932">
        <f t="shared" si="1"/>
        <v>15944</v>
      </c>
      <c r="G24" s="1793">
        <f t="shared" si="3"/>
        <v>0</v>
      </c>
    </row>
    <row r="25" spans="1:8" ht="30" x14ac:dyDescent="0.25">
      <c r="A25" s="1937" t="s">
        <v>2062</v>
      </c>
      <c r="B25" s="1938" t="s">
        <v>2074</v>
      </c>
      <c r="C25" s="1939" t="s">
        <v>2071</v>
      </c>
      <c r="D25" s="1844">
        <v>946</v>
      </c>
      <c r="E25" s="1540">
        <f t="shared" si="2"/>
        <v>946</v>
      </c>
      <c r="F25" s="1932">
        <f t="shared" si="1"/>
        <v>946</v>
      </c>
      <c r="G25" s="1793">
        <f t="shared" si="3"/>
        <v>0</v>
      </c>
    </row>
    <row r="26" spans="1:8" ht="30" x14ac:dyDescent="0.25">
      <c r="A26" s="1937" t="s">
        <v>2062</v>
      </c>
      <c r="B26" s="1938" t="s">
        <v>2074</v>
      </c>
      <c r="C26" s="1939" t="s">
        <v>2072</v>
      </c>
      <c r="D26" s="1844">
        <v>21130</v>
      </c>
      <c r="E26" s="1540">
        <f t="shared" si="2"/>
        <v>21130</v>
      </c>
      <c r="F26" s="1932">
        <f t="shared" si="1"/>
        <v>21130</v>
      </c>
      <c r="G26" s="1793">
        <f t="shared" si="3"/>
        <v>0</v>
      </c>
    </row>
    <row r="27" spans="1:8" x14ac:dyDescent="0.25">
      <c r="A27" s="1937"/>
      <c r="B27" s="1938"/>
      <c r="C27" s="1654"/>
      <c r="D27" s="1844"/>
      <c r="E27" s="1540">
        <f t="shared" si="2"/>
        <v>0</v>
      </c>
      <c r="F27" s="1932">
        <f t="shared" si="1"/>
        <v>0</v>
      </c>
      <c r="G27" s="1793">
        <f t="shared" si="3"/>
        <v>0</v>
      </c>
    </row>
    <row r="28" spans="1:8" x14ac:dyDescent="0.25">
      <c r="A28" s="1653"/>
      <c r="B28" s="1938"/>
      <c r="C28" s="1654"/>
      <c r="D28" s="1844"/>
      <c r="E28" s="1540">
        <f t="shared" si="2"/>
        <v>0</v>
      </c>
      <c r="F28" s="1932">
        <f t="shared" si="1"/>
        <v>0</v>
      </c>
      <c r="G28" s="1793">
        <f t="shared" si="3"/>
        <v>0</v>
      </c>
    </row>
    <row r="29" spans="1:8" x14ac:dyDescent="0.25">
      <c r="A29" s="1653"/>
      <c r="B29" s="1938"/>
      <c r="C29" s="1654"/>
      <c r="D29" s="1844"/>
      <c r="E29" s="1540">
        <f t="shared" si="2"/>
        <v>0</v>
      </c>
      <c r="F29" s="1932">
        <f t="shared" si="1"/>
        <v>0</v>
      </c>
      <c r="G29" s="1793">
        <f t="shared" si="3"/>
        <v>0</v>
      </c>
    </row>
    <row r="30" spans="1:8" x14ac:dyDescent="0.25">
      <c r="A30" s="1653"/>
      <c r="B30" s="1938"/>
      <c r="C30" s="1654"/>
      <c r="D30" s="1844"/>
      <c r="E30" s="1540">
        <f t="shared" si="2"/>
        <v>0</v>
      </c>
      <c r="F30" s="1932">
        <f t="shared" si="1"/>
        <v>0</v>
      </c>
      <c r="G30" s="1793">
        <f t="shared" si="3"/>
        <v>0</v>
      </c>
    </row>
    <row r="31" spans="1:8" x14ac:dyDescent="0.25">
      <c r="A31" s="1653"/>
      <c r="B31" s="1938"/>
      <c r="C31" s="1654"/>
      <c r="D31" s="1844"/>
      <c r="E31" s="1540">
        <f t="shared" si="2"/>
        <v>0</v>
      </c>
      <c r="F31" s="1932">
        <f t="shared" si="1"/>
        <v>0</v>
      </c>
      <c r="G31" s="1793">
        <f t="shared" si="3"/>
        <v>0</v>
      </c>
    </row>
    <row r="32" spans="1:8" x14ac:dyDescent="0.25">
      <c r="A32" s="1653"/>
      <c r="B32" s="1938"/>
      <c r="C32" s="1654"/>
      <c r="D32" s="1844"/>
      <c r="E32" s="1540">
        <f t="shared" si="2"/>
        <v>0</v>
      </c>
      <c r="F32" s="1932">
        <f t="shared" si="1"/>
        <v>0</v>
      </c>
      <c r="G32" s="1793">
        <f t="shared" si="3"/>
        <v>0</v>
      </c>
    </row>
    <row r="33" spans="1:7" x14ac:dyDescent="0.25">
      <c r="A33" s="1653"/>
      <c r="B33" s="1938"/>
      <c r="C33" s="1654"/>
      <c r="D33" s="1844"/>
      <c r="E33" s="1540">
        <f t="shared" si="2"/>
        <v>0</v>
      </c>
      <c r="F33" s="1932">
        <f t="shared" si="1"/>
        <v>0</v>
      </c>
      <c r="G33" s="1793">
        <f t="shared" si="3"/>
        <v>0</v>
      </c>
    </row>
    <row r="34" spans="1:7" hidden="1"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5"/>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667"/>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5"/>
      <c r="B63" s="1667"/>
      <c r="C63" s="1656"/>
      <c r="D63" s="1844"/>
      <c r="E63" s="1540">
        <f t="shared" si="2"/>
        <v>0</v>
      </c>
      <c r="F63" s="1932">
        <f t="shared" si="1"/>
        <v>0</v>
      </c>
      <c r="G63" s="1793">
        <f t="shared" si="3"/>
        <v>0</v>
      </c>
    </row>
    <row r="64" spans="1:7" hidden="1" x14ac:dyDescent="0.25">
      <c r="A64" s="1653"/>
      <c r="B64" s="1667"/>
      <c r="C64" s="1654"/>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ref="E72:E83" si="4">IF(D72&lt;=25000,D72,IF(D72&gt;25000,25000,0))</f>
        <v>0</v>
      </c>
      <c r="F72" s="1932">
        <f t="shared" si="1"/>
        <v>0</v>
      </c>
      <c r="G72" s="1793">
        <f t="shared" ref="G72:G83" si="5">IF(F72=0,0,D72-F72)</f>
        <v>0</v>
      </c>
    </row>
    <row r="73" spans="1:7" hidden="1" x14ac:dyDescent="0.25">
      <c r="A73" s="1653"/>
      <c r="B73" s="1667"/>
      <c r="C73" s="1654"/>
      <c r="D73" s="1844"/>
      <c r="E73" s="1540">
        <f t="shared" si="4"/>
        <v>0</v>
      </c>
      <c r="F73" s="1932">
        <f t="shared" si="1"/>
        <v>0</v>
      </c>
      <c r="G73" s="1793">
        <f t="shared" si="5"/>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793">
        <f t="shared" si="5"/>
        <v>0</v>
      </c>
    </row>
    <row r="81" spans="1:7" hidden="1" x14ac:dyDescent="0.25">
      <c r="A81" s="1653"/>
      <c r="B81" s="1667"/>
      <c r="C81" s="1654"/>
      <c r="D81" s="1844"/>
      <c r="E81" s="1540">
        <f t="shared" si="4"/>
        <v>0</v>
      </c>
      <c r="F81" s="1932">
        <f t="shared" si="6"/>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2"/>
        <v>0</v>
      </c>
      <c r="F84" s="1932">
        <f t="shared" si="6"/>
        <v>0</v>
      </c>
      <c r="G84" s="1793">
        <f t="shared" si="3"/>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ref="E92" si="7">IF(D92&lt;=25000,D92,IF(D92&gt;25000,25000,0))</f>
        <v>0</v>
      </c>
      <c r="F92" s="1932">
        <f t="shared" si="6"/>
        <v>0</v>
      </c>
      <c r="G92" s="1793">
        <f t="shared" ref="G92" si="8">IF(F92=0,0,D92-F92)</f>
        <v>0</v>
      </c>
    </row>
    <row r="93" spans="1:7" hidden="1" x14ac:dyDescent="0.25">
      <c r="A93" s="1653"/>
      <c r="B93" s="1667"/>
      <c r="C93" s="1654"/>
      <c r="D93" s="1844"/>
      <c r="E93" s="1540">
        <f t="shared" si="2"/>
        <v>0</v>
      </c>
      <c r="F93" s="1932">
        <f t="shared" si="6"/>
        <v>0</v>
      </c>
      <c r="G93" s="1793">
        <f t="shared" si="3"/>
        <v>0</v>
      </c>
    </row>
    <row r="94" spans="1:7" hidden="1" x14ac:dyDescent="0.25">
      <c r="A94" s="1653"/>
      <c r="B94" s="1667"/>
      <c r="C94" s="1654"/>
      <c r="D94" s="1844"/>
      <c r="E94" s="1540">
        <f t="shared" ref="E94:E97" si="9">IF(D94&lt;=25000,D94,IF(D94&gt;25000,25000,0))</f>
        <v>0</v>
      </c>
      <c r="F94" s="1932">
        <f t="shared" si="6"/>
        <v>0</v>
      </c>
      <c r="G94" s="1793">
        <f t="shared" ref="G94:G97" si="10">IF(F94=0,0,D94-F94)</f>
        <v>0</v>
      </c>
    </row>
    <row r="95" spans="1:7" hidden="1" x14ac:dyDescent="0.25">
      <c r="A95" s="1653"/>
      <c r="B95" s="1667"/>
      <c r="C95" s="1654"/>
      <c r="D95" s="1844"/>
      <c r="E95" s="1540">
        <f t="shared" si="9"/>
        <v>0</v>
      </c>
      <c r="F95" s="1932">
        <f t="shared" si="6"/>
        <v>0</v>
      </c>
      <c r="G95" s="1793">
        <f t="shared" si="10"/>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ref="E98" si="11">IF(D98&lt;=25000,D98,IF(D98&gt;25000,25000,0))</f>
        <v>0</v>
      </c>
      <c r="F98" s="1932">
        <f t="shared" si="6"/>
        <v>0</v>
      </c>
      <c r="G98" s="1793">
        <f t="shared" ref="G98" si="12">IF(F98=0,0,D98-F98)</f>
        <v>0</v>
      </c>
    </row>
    <row r="99" spans="1:7" hidden="1" x14ac:dyDescent="0.25">
      <c r="A99" s="1653"/>
      <c r="B99" s="1667"/>
      <c r="C99" s="1654"/>
      <c r="D99" s="1844"/>
      <c r="E99" s="1540">
        <f t="shared" ref="E99:E111" si="13">IF(D99&lt;=25000,D99,IF(D99&gt;25000,25000,0))</f>
        <v>0</v>
      </c>
      <c r="F99" s="1932">
        <f t="shared" si="6"/>
        <v>0</v>
      </c>
      <c r="G99" s="1793">
        <f t="shared" ref="G99:G111" si="14">IF(F99=0,0,D99-F99)</f>
        <v>0</v>
      </c>
    </row>
    <row r="100" spans="1:7" hidden="1" x14ac:dyDescent="0.25">
      <c r="A100" s="1653"/>
      <c r="B100" s="1667"/>
      <c r="C100" s="1654"/>
      <c r="D100" s="1844"/>
      <c r="E100" s="1540">
        <f t="shared" si="13"/>
        <v>0</v>
      </c>
      <c r="F100" s="1932">
        <f t="shared" si="6"/>
        <v>0</v>
      </c>
      <c r="G100" s="1793">
        <f t="shared" si="14"/>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ref="E112:E124" si="15">IF(D112&lt;=25000,D112,IF(D112&gt;25000,25000,0))</f>
        <v>0</v>
      </c>
      <c r="F112" s="1932">
        <f t="shared" si="6"/>
        <v>0</v>
      </c>
      <c r="G112" s="1793">
        <f t="shared" ref="G112:G124" si="16">IF(F112=0,0,D112-F112)</f>
        <v>0</v>
      </c>
    </row>
    <row r="113" spans="1:7" hidden="1" x14ac:dyDescent="0.25">
      <c r="A113" s="1653"/>
      <c r="B113" s="1667"/>
      <c r="C113" s="1654"/>
      <c r="D113" s="1844"/>
      <c r="E113" s="1540">
        <f t="shared" si="15"/>
        <v>0</v>
      </c>
      <c r="F113" s="1932">
        <f t="shared" si="6"/>
        <v>0</v>
      </c>
      <c r="G113" s="1793">
        <f t="shared" si="16"/>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ref="E125:E133" si="17">IF(D125&lt;=25000,D125,IF(D125&gt;25000,25000,0))</f>
        <v>0</v>
      </c>
      <c r="F125" s="1932">
        <f t="shared" si="6"/>
        <v>0</v>
      </c>
      <c r="G125" s="1793">
        <f t="shared" ref="G125:G133" si="18">IF(F125=0,0,D125-F125)</f>
        <v>0</v>
      </c>
    </row>
    <row r="126" spans="1:7" hidden="1" x14ac:dyDescent="0.25">
      <c r="A126" s="1653"/>
      <c r="B126" s="1667"/>
      <c r="C126" s="1654"/>
      <c r="D126" s="1844"/>
      <c r="E126" s="1540">
        <f t="shared" si="17"/>
        <v>0</v>
      </c>
      <c r="F126" s="1932">
        <f t="shared" si="6"/>
        <v>0</v>
      </c>
      <c r="G126" s="1793">
        <f t="shared" si="18"/>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83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66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ref="E134:E138" si="19">IF(D134&lt;=25000,D134,IF(D134&gt;25000,25000,0))</f>
        <v>0</v>
      </c>
      <c r="F134" s="1932">
        <f t="shared" si="6"/>
        <v>0</v>
      </c>
      <c r="G134" s="1793">
        <f t="shared" ref="G134:G138" si="20">IF(F134=0,0,D134-F134)</f>
        <v>0</v>
      </c>
    </row>
    <row r="135" spans="1:7" hidden="1" x14ac:dyDescent="0.25">
      <c r="A135" s="1653"/>
      <c r="B135" s="1667"/>
      <c r="C135" s="1654"/>
      <c r="D135" s="1844"/>
      <c r="E135" s="1540">
        <f t="shared" si="19"/>
        <v>0</v>
      </c>
      <c r="F135" s="1932">
        <f t="shared" si="6"/>
        <v>0</v>
      </c>
      <c r="G135" s="1793">
        <f t="shared" si="20"/>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6"/>
      <c r="C139" s="1654"/>
      <c r="D139" s="1844"/>
      <c r="E139" s="1540">
        <f t="shared" si="2"/>
        <v>0</v>
      </c>
      <c r="F139" s="1932">
        <f t="shared" si="6"/>
        <v>0</v>
      </c>
      <c r="G139" s="1793">
        <f t="shared" si="3"/>
        <v>0</v>
      </c>
    </row>
    <row r="140" spans="1:7" x14ac:dyDescent="0.25">
      <c r="A140" s="1796" t="s">
        <v>156</v>
      </c>
      <c r="B140" s="1797"/>
      <c r="C140" s="1798"/>
      <c r="D140" s="1794">
        <f>SUM(D17:D139)</f>
        <v>82784</v>
      </c>
      <c r="E140" s="1541">
        <f t="shared" si="0"/>
        <v>25000</v>
      </c>
      <c r="F140" s="1933">
        <f>SUM(F17:F139)</f>
        <v>80750</v>
      </c>
      <c r="G140" s="1795">
        <f>SUM(G17:G139)</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1910</v>
      </c>
      <c r="B10" s="971"/>
      <c r="C10" s="976"/>
      <c r="D10" s="972"/>
      <c r="E10" s="973"/>
      <c r="F10" s="974"/>
      <c r="G10" s="975"/>
      <c r="H10" s="162"/>
      <c r="I10" s="162"/>
    </row>
    <row r="11" spans="1:9" s="668" customFormat="1" ht="22.5" customHeight="1" x14ac:dyDescent="0.2">
      <c r="A11" s="2286" t="s">
        <v>1954</v>
      </c>
      <c r="B11" s="2287"/>
      <c r="C11" s="2287"/>
      <c r="D11" s="2288"/>
      <c r="E11" s="977">
        <v>32734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6358063</v>
      </c>
      <c r="F19" s="1799"/>
      <c r="G19" s="1801">
        <f>'Expenditures 15-22'!K33-SUM('Expenditures 15-22'!G33,'Expenditures 15-22'!I33)+'Expenditures 15-22'!D229</f>
        <v>6358063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415044</v>
      </c>
      <c r="F21" s="1802"/>
      <c r="G21" s="1805">
        <f>'Expenditures 15-22'!K42-SUM('Expenditures 15-22'!G42,'Expenditures 15-22'!I42)+'Expenditures 15-22'!K120-SUM('Expenditures 15-22'!G120,'Expenditures 15-22'!I120)+'Expenditures 15-22'!K180-SUM('Expenditures 15-22'!G180,'Expenditures 15-22'!I180)+'Expenditures 15-22'!D238</f>
        <v>415044</v>
      </c>
      <c r="H21" s="987"/>
      <c r="I21" s="162"/>
    </row>
    <row r="22" spans="1:9" s="668" customFormat="1" ht="12" customHeight="1" x14ac:dyDescent="0.2">
      <c r="A22" s="994" t="s">
        <v>564</v>
      </c>
      <c r="B22" s="995"/>
      <c r="C22" s="993">
        <v>2200</v>
      </c>
      <c r="D22" s="1802"/>
      <c r="E22" s="1804">
        <f>'Expenditures 15-22'!K47-SUM('Expenditures 15-22'!G47,'Expenditures 15-22'!I47)+'Expenditures 15-22'!D243</f>
        <v>278128</v>
      </c>
      <c r="F22" s="1802"/>
      <c r="G22" s="1805">
        <f>'Expenditures 15-22'!K47-SUM('Expenditures 15-22'!G47,'Expenditures 15-22'!I47)+'Expenditures 15-22'!D243</f>
        <v>278128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1112690</v>
      </c>
      <c r="F23" s="1802"/>
      <c r="G23" s="1804">
        <f>'Expenditures 15-22'!K53-SUM('Expenditures 15-22'!G53,'Expenditures 15-22'!I53)+'Expenditures 15-22'!D257+'Expenditures 15-22'!K330-SUM('Expenditures 15-22'!G330,'Expenditures 15-22'!I330)</f>
        <v>1112690</v>
      </c>
      <c r="H23" s="987"/>
      <c r="I23" s="162"/>
    </row>
    <row r="24" spans="1:9" s="668" customFormat="1" ht="12" customHeight="1" x14ac:dyDescent="0.2">
      <c r="A24" s="994" t="s">
        <v>566</v>
      </c>
      <c r="B24" s="995"/>
      <c r="C24" s="993">
        <v>2400</v>
      </c>
      <c r="D24" s="1802"/>
      <c r="E24" s="1804">
        <f>'Expenditures 15-22'!K57-SUM('Expenditures 15-22'!G57,'Expenditures 15-22'!I57)+'Expenditures 15-22'!D261</f>
        <v>515150</v>
      </c>
      <c r="F24" s="1802"/>
      <c r="G24" s="1805">
        <f>'Expenditures 15-22'!K57-SUM('Expenditures 15-22'!G57,'Expenditures 15-22'!I57)+'Expenditures 15-22'!D261</f>
        <v>515150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114485</v>
      </c>
      <c r="E27" s="1804">
        <f>E8</f>
        <v>0</v>
      </c>
      <c r="F27" s="1804">
        <f>'Expenditures 15-22'!K60-SUM('Expenditures 15-22'!G60,'Expenditures 15-22'!I60)+'Expenditures 15-22'!D264-E8</f>
        <v>114485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743762</v>
      </c>
      <c r="F28" s="1806">
        <f>'Expenditures 15-22'!K61-SUM('Expenditures 15-22'!G61,'Expenditures 15-22'!I61)+'Expenditures 15-22'!K124-SUM('Expenditures 15-22'!G124,'Expenditures 15-22'!I124)+'Expenditures 15-22'!D266-E9</f>
        <v>743762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654821</v>
      </c>
      <c r="F29" s="1802"/>
      <c r="G29" s="1805">
        <f>'Expenditures 15-22'!K62-SUM('Expenditures 15-22'!G62,'Expenditures 15-22'!I62)+'Expenditures 15-22'!K125-SUM('Expenditures 15-22'!G125,'Expenditures 15-22'!I125)+'Expenditures 15-22'!K182-SUM('Expenditures 15-22'!G182,'Expenditures 15-22'!I182)+'Expenditures 15-22'!D267</f>
        <v>654821</v>
      </c>
      <c r="H29" s="985"/>
    </row>
    <row r="30" spans="1:9" ht="12" customHeight="1" x14ac:dyDescent="0.2">
      <c r="A30" s="994" t="s">
        <v>100</v>
      </c>
      <c r="B30" s="997"/>
      <c r="C30" s="993">
        <v>2560</v>
      </c>
      <c r="D30" s="1802"/>
      <c r="E30" s="1804">
        <f>'Expenditures 15-22'!K63-SUM('Expenditures 15-22'!G63,'Expenditures 15-22'!I63)+'Expenditures 15-22'!D268-E10</f>
        <v>400293</v>
      </c>
      <c r="F30" s="1802"/>
      <c r="G30" s="1804">
        <f>'Expenditures 15-22'!K63-SUM('Expenditures 15-22'!G63,'Expenditures 15-22'!I63)+'Expenditures 15-22'!D268-E10</f>
        <v>400293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1801</v>
      </c>
      <c r="B40" s="991"/>
      <c r="C40" s="993"/>
      <c r="D40" s="1802"/>
      <c r="E40" s="1806">
        <f>-'Contracts Paid in CY 29'!G140</f>
        <v>0</v>
      </c>
      <c r="F40" s="1802"/>
      <c r="G40" s="1806">
        <f>-'Contracts Paid in CY 29'!G140</f>
        <v>0</v>
      </c>
    </row>
    <row r="41" spans="1:7" ht="12" customHeight="1" x14ac:dyDescent="0.2">
      <c r="A41" s="998" t="s">
        <v>156</v>
      </c>
      <c r="B41" s="999"/>
      <c r="C41" s="1000"/>
      <c r="D41" s="1806">
        <f>SUM(D19:D39)</f>
        <v>114485</v>
      </c>
      <c r="E41" s="1806">
        <f>SUM(E19:E40)</f>
        <v>10477951</v>
      </c>
      <c r="F41" s="1806">
        <f>SUM(F19:F39)</f>
        <v>858247</v>
      </c>
      <c r="G41" s="1806">
        <f>SUM(G19:G40)</f>
        <v>9734189</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114485</v>
      </c>
      <c r="F43" s="1807" t="s">
        <v>473</v>
      </c>
      <c r="G43" s="1808">
        <f>F41</f>
        <v>858247</v>
      </c>
    </row>
    <row r="44" spans="1:7" ht="12" customHeight="1" x14ac:dyDescent="0.2">
      <c r="A44" s="987"/>
      <c r="B44" s="162"/>
      <c r="C44" s="1001"/>
      <c r="D44" s="1807" t="s">
        <v>474</v>
      </c>
      <c r="E44" s="1808">
        <f>E41</f>
        <v>10477951</v>
      </c>
      <c r="F44" s="1807" t="s">
        <v>474</v>
      </c>
      <c r="G44" s="1808">
        <f>G41</f>
        <v>9734189</v>
      </c>
    </row>
    <row r="45" spans="1:7" ht="12" customHeight="1" x14ac:dyDescent="0.2">
      <c r="A45" s="987"/>
      <c r="B45" s="162"/>
      <c r="C45" s="162"/>
      <c r="D45" s="1809" t="s">
        <v>1006</v>
      </c>
      <c r="E45" s="1810">
        <f>(E43/E44)</f>
        <v>1.092627747543389E-2</v>
      </c>
      <c r="F45" s="1809" t="s">
        <v>1006</v>
      </c>
      <c r="G45" s="1810">
        <f>(G43/G44)</f>
        <v>8.8168310683098508E-2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1379</v>
      </c>
      <c r="B1" s="2292"/>
      <c r="C1" s="2292"/>
      <c r="D1" s="2292"/>
      <c r="E1" s="2292"/>
      <c r="F1" s="2292"/>
    </row>
    <row r="2" spans="1:10" x14ac:dyDescent="0.2">
      <c r="A2" s="1887" t="s">
        <v>1889</v>
      </c>
      <c r="B2" s="1848"/>
      <c r="C2" s="1887"/>
      <c r="D2" s="1848"/>
      <c r="E2" s="1848"/>
      <c r="F2" s="1849"/>
    </row>
    <row r="3" spans="1:10" x14ac:dyDescent="0.2">
      <c r="A3" s="1887" t="s">
        <v>1955</v>
      </c>
      <c r="B3" s="1848"/>
      <c r="C3" s="1887"/>
      <c r="D3" s="1848"/>
      <c r="E3" s="1848"/>
      <c r="F3" s="1849"/>
    </row>
    <row r="4" spans="1:10" ht="3.75" customHeight="1" x14ac:dyDescent="0.2">
      <c r="A4" s="1848"/>
      <c r="B4" s="1848"/>
      <c r="C4" s="1848"/>
      <c r="D4" s="1848"/>
      <c r="E4" s="1848"/>
      <c r="F4" s="1849"/>
    </row>
    <row r="5" spans="1:10" ht="15" x14ac:dyDescent="0.25">
      <c r="A5" s="2293" t="s">
        <v>1546</v>
      </c>
      <c r="B5" s="2294"/>
      <c r="C5" s="2295"/>
      <c r="D5" s="2295"/>
      <c r="E5" s="2295"/>
      <c r="F5" s="2295"/>
    </row>
    <row r="6" spans="1:10" ht="12" customHeight="1" x14ac:dyDescent="0.25">
      <c r="A6" s="1850"/>
      <c r="B6" s="1851"/>
      <c r="C6" s="2296" t="str">
        <f>COVER!A17</f>
        <v>Princeton ESD 115</v>
      </c>
      <c r="D6" s="2296"/>
      <c r="E6" s="2296"/>
      <c r="F6" s="1852"/>
    </row>
    <row r="7" spans="1:10" ht="11.25" customHeight="1" thickBot="1" x14ac:dyDescent="0.3">
      <c r="A7" s="1850"/>
      <c r="B7" s="1851"/>
      <c r="C7" s="2297">
        <f>COVER!A13</f>
        <v>28006115002</v>
      </c>
      <c r="D7" s="2297"/>
      <c r="E7" s="2297"/>
      <c r="F7" s="1852"/>
    </row>
    <row r="8" spans="1:10" ht="25.5" customHeight="1" thickBot="1" x14ac:dyDescent="0.25">
      <c r="A8" s="1893" t="s">
        <v>1885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2042</v>
      </c>
      <c r="D26" s="1865" t="s">
        <v>2042</v>
      </c>
      <c r="E26" s="1868"/>
      <c r="F26" s="1867" t="s">
        <v>2075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2042</v>
      </c>
      <c r="D31" s="1865" t="s">
        <v>2042</v>
      </c>
      <c r="E31" s="1868"/>
      <c r="F31" s="1867" t="s">
        <v>2076</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1391</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Princeton ESD 115</v>
      </c>
      <c r="J6" s="2317"/>
      <c r="Q6" s="1664"/>
    </row>
    <row r="7" spans="1:17" x14ac:dyDescent="0.2">
      <c r="A7" s="2318" t="s">
        <v>869</v>
      </c>
      <c r="B7" s="2319"/>
      <c r="C7" s="2319"/>
      <c r="D7" s="2319"/>
      <c r="E7" s="2320"/>
      <c r="F7" s="1017"/>
      <c r="G7" s="1009"/>
      <c r="H7" s="1016" t="s">
        <v>372</v>
      </c>
      <c r="I7" s="2321">
        <f>COVER!A13</f>
        <v>28006115002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1956</v>
      </c>
      <c r="F9" s="1023"/>
      <c r="G9" s="1023"/>
      <c r="H9" s="1896" t="s">
        <v>1957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196349</v>
      </c>
      <c r="F12" s="1039"/>
      <c r="G12" s="1811">
        <f t="shared" ref="G12:G18" si="0">SUM(E12:F12)</f>
        <v>196349</v>
      </c>
      <c r="H12" s="1040">
        <v>206052</v>
      </c>
      <c r="I12" s="1039"/>
      <c r="J12" s="1811">
        <f t="shared" ref="J12:J18" si="1">SUM(H12:I12)</f>
        <v>206052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196349</v>
      </c>
      <c r="F19" s="1813">
        <f t="shared" si="2"/>
        <v>0</v>
      </c>
      <c r="G19" s="1813">
        <f t="shared" si="2"/>
        <v>196349</v>
      </c>
      <c r="H19" s="1813">
        <f t="shared" si="2"/>
        <v>206052</v>
      </c>
      <c r="I19" s="1813">
        <f t="shared" si="2"/>
        <v>0</v>
      </c>
      <c r="J19" s="1813">
        <f t="shared" si="2"/>
        <v>206052</v>
      </c>
    </row>
    <row r="20" spans="1:10" ht="13.5" thickTop="1" x14ac:dyDescent="0.2">
      <c r="A20" s="1035">
        <v>9</v>
      </c>
      <c r="B20" s="2328" t="s">
        <v>1958</v>
      </c>
      <c r="C20" s="2328"/>
      <c r="D20" s="2329"/>
      <c r="E20" s="1046"/>
      <c r="F20" s="1046"/>
      <c r="G20" s="1046"/>
      <c r="H20" s="1046"/>
      <c r="I20" s="1046"/>
      <c r="J20" s="1814">
        <f>IF(AND(G19&gt;0,J19&gt;0),(((J19-G19)/G19)),"Enter Budget Data")</f>
        <v>4.9417109330834381E-2</v>
      </c>
    </row>
    <row r="21" spans="1:10" ht="9" customHeight="1" x14ac:dyDescent="0.2">
      <c r="B21" s="1047"/>
    </row>
    <row r="22" spans="1:10" x14ac:dyDescent="0.2">
      <c r="A22" s="1048" t="s">
        <v>133</v>
      </c>
      <c r="B22" s="1047"/>
    </row>
    <row r="23" spans="1:10" x14ac:dyDescent="0.2">
      <c r="A23" s="1011" t="s">
        <v>1959</v>
      </c>
      <c r="B23" s="1047"/>
    </row>
    <row r="24" spans="1:10" x14ac:dyDescent="0.2">
      <c r="A24" s="1011" t="s">
        <v>1972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1960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1" sqref="A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2077</v>
      </c>
    </row>
    <row r="6" spans="1:2" x14ac:dyDescent="0.2">
      <c r="A6" s="1068">
        <v>2</v>
      </c>
      <c r="B6" s="329" t="s">
        <v>2078</v>
      </c>
    </row>
    <row r="7" spans="1:2" x14ac:dyDescent="0.2">
      <c r="A7" s="1068">
        <v>3</v>
      </c>
      <c r="B7" s="329" t="s">
        <v>2079</v>
      </c>
    </row>
    <row r="8" spans="1:2" x14ac:dyDescent="0.2">
      <c r="A8" s="1068">
        <v>4</v>
      </c>
      <c r="B8" s="329" t="s">
        <v>2080</v>
      </c>
    </row>
    <row r="9" spans="1:2" x14ac:dyDescent="0.2">
      <c r="A9" s="1069">
        <v>5</v>
      </c>
      <c r="B9" s="329" t="s">
        <v>2081</v>
      </c>
    </row>
    <row r="10" spans="1:2" x14ac:dyDescent="0.2">
      <c r="A10" s="1069"/>
      <c r="B10" s="329" t="s">
        <v>2082</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Princeton ESD 115</v>
      </c>
    </row>
    <row r="65" spans="2:2" x14ac:dyDescent="0.2">
      <c r="B65" s="1070">
        <f>COVER!A13</f>
        <v>28006115002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1836</v>
      </c>
      <c r="C4" s="162" t="s">
        <v>1169</v>
      </c>
      <c r="D4" s="169" t="s">
        <v>10</v>
      </c>
      <c r="E4" s="170" t="s">
        <v>22</v>
      </c>
    </row>
    <row r="5" spans="1:5" x14ac:dyDescent="0.2">
      <c r="A5" s="168" t="s">
        <v>1838</v>
      </c>
      <c r="C5" s="162" t="s">
        <v>1169</v>
      </c>
      <c r="D5" s="169" t="s">
        <v>10</v>
      </c>
      <c r="E5" s="170" t="s">
        <v>22</v>
      </c>
    </row>
    <row r="6" spans="1:5" x14ac:dyDescent="0.2">
      <c r="A6" s="168" t="s">
        <v>1837</v>
      </c>
      <c r="C6" s="162" t="s">
        <v>1169</v>
      </c>
      <c r="D6" s="167" t="s">
        <v>11</v>
      </c>
      <c r="E6" s="170" t="s">
        <v>941</v>
      </c>
    </row>
    <row r="7" spans="1:5" x14ac:dyDescent="0.2">
      <c r="A7" s="168" t="s">
        <v>1839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1840</v>
      </c>
      <c r="C11" s="162" t="s">
        <v>1169</v>
      </c>
      <c r="D11" s="169" t="s">
        <v>14</v>
      </c>
      <c r="E11" s="170" t="s">
        <v>1156</v>
      </c>
    </row>
    <row r="12" spans="1:5" x14ac:dyDescent="0.2">
      <c r="B12" s="169" t="s">
        <v>1841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1842</v>
      </c>
      <c r="C15" s="162" t="s">
        <v>1169</v>
      </c>
      <c r="D15" s="169" t="s">
        <v>17</v>
      </c>
      <c r="E15" s="170" t="s">
        <v>636</v>
      </c>
    </row>
    <row r="16" spans="1:5" x14ac:dyDescent="0.2">
      <c r="A16" s="172"/>
      <c r="B16" s="162" t="s">
        <v>1843</v>
      </c>
      <c r="C16" s="162" t="s">
        <v>1169</v>
      </c>
      <c r="D16" s="169" t="s">
        <v>681</v>
      </c>
      <c r="E16" s="170" t="s">
        <v>1040</v>
      </c>
    </row>
    <row r="17" spans="1:5" x14ac:dyDescent="0.2">
      <c r="B17" s="167" t="s">
        <v>988</v>
      </c>
      <c r="C17" s="162" t="s">
        <v>1169</v>
      </c>
    </row>
    <row r="18" spans="1:5" x14ac:dyDescent="0.2">
      <c r="B18" s="167" t="s">
        <v>1849</v>
      </c>
      <c r="D18" s="169" t="s">
        <v>18</v>
      </c>
      <c r="E18" s="170" t="s">
        <v>1041</v>
      </c>
    </row>
    <row r="19" spans="1:5" x14ac:dyDescent="0.2">
      <c r="A19" s="168" t="s">
        <v>1099</v>
      </c>
      <c r="C19" s="162" t="s">
        <v>1169</v>
      </c>
      <c r="D19" s="169"/>
      <c r="E19" s="171"/>
    </row>
    <row r="20" spans="1:5" x14ac:dyDescent="0.2">
      <c r="B20" s="167" t="s">
        <v>1844</v>
      </c>
      <c r="C20" s="162" t="s">
        <v>1169</v>
      </c>
      <c r="D20" s="169" t="s">
        <v>19</v>
      </c>
      <c r="E20" s="170" t="s">
        <v>51</v>
      </c>
    </row>
    <row r="21" spans="1:5" x14ac:dyDescent="0.2">
      <c r="B21" s="167" t="s">
        <v>1845</v>
      </c>
      <c r="C21" s="162" t="s">
        <v>1169</v>
      </c>
      <c r="D21" s="169" t="s">
        <v>20</v>
      </c>
      <c r="E21" s="170" t="s">
        <v>1610</v>
      </c>
    </row>
    <row r="22" spans="1:5" x14ac:dyDescent="0.2">
      <c r="A22" s="168"/>
      <c r="B22" s="162" t="s">
        <v>1833</v>
      </c>
      <c r="C22" s="162" t="s">
        <v>1169</v>
      </c>
      <c r="D22" s="167" t="s">
        <v>1835</v>
      </c>
      <c r="E22" s="1836" t="s">
        <v>1611</v>
      </c>
    </row>
    <row r="23" spans="1:5" x14ac:dyDescent="0.2">
      <c r="A23" s="168"/>
      <c r="B23" s="162" t="s">
        <v>1834</v>
      </c>
      <c r="D23" s="167" t="s">
        <v>637</v>
      </c>
      <c r="E23" s="1836" t="s">
        <v>959</v>
      </c>
    </row>
    <row r="24" spans="1:5" x14ac:dyDescent="0.2">
      <c r="A24" s="168" t="s">
        <v>1609</v>
      </c>
      <c r="C24" s="162" t="s">
        <v>1169</v>
      </c>
      <c r="D24" s="167" t="s">
        <v>1393</v>
      </c>
      <c r="E24" s="170" t="s">
        <v>960</v>
      </c>
    </row>
    <row r="25" spans="1:5" x14ac:dyDescent="0.2">
      <c r="A25" s="168" t="s">
        <v>1846</v>
      </c>
      <c r="C25" s="162" t="s">
        <v>1169</v>
      </c>
      <c r="D25" s="169" t="s">
        <v>21</v>
      </c>
      <c r="E25" s="170" t="s">
        <v>1042</v>
      </c>
    </row>
    <row r="26" spans="1:5" x14ac:dyDescent="0.2">
      <c r="A26" s="168" t="s">
        <v>1847</v>
      </c>
      <c r="C26" s="162" t="s">
        <v>1169</v>
      </c>
      <c r="D26" s="169" t="s">
        <v>563</v>
      </c>
      <c r="E26" s="170" t="s">
        <v>1043</v>
      </c>
    </row>
    <row r="27" spans="1:5" x14ac:dyDescent="0.2">
      <c r="A27" s="168" t="s">
        <v>1848</v>
      </c>
      <c r="C27" s="162" t="s">
        <v>1169</v>
      </c>
      <c r="D27" s="169" t="s">
        <v>557</v>
      </c>
      <c r="E27" s="170" t="s">
        <v>683</v>
      </c>
    </row>
    <row r="28" spans="1:5" x14ac:dyDescent="0.2">
      <c r="A28" s="168" t="s">
        <v>1850</v>
      </c>
      <c r="D28" s="169" t="s">
        <v>684</v>
      </c>
      <c r="E28" s="170" t="s">
        <v>1366</v>
      </c>
    </row>
    <row r="29" spans="1:5" x14ac:dyDescent="0.2">
      <c r="A29" s="168" t="s">
        <v>1851</v>
      </c>
      <c r="D29" s="169" t="s">
        <v>1394</v>
      </c>
      <c r="E29" s="170" t="s">
        <v>1375</v>
      </c>
    </row>
    <row r="30" spans="1:5" x14ac:dyDescent="0.2">
      <c r="A30" s="173" t="s">
        <v>1852</v>
      </c>
      <c r="C30" s="162" t="s">
        <v>1169</v>
      </c>
      <c r="D30" s="169" t="s">
        <v>40</v>
      </c>
      <c r="E30" s="170" t="s">
        <v>982</v>
      </c>
    </row>
    <row r="31" spans="1:5" x14ac:dyDescent="0.2">
      <c r="A31" s="168" t="s">
        <v>1521</v>
      </c>
      <c r="C31" s="162" t="s">
        <v>1169</v>
      </c>
      <c r="D31" s="167"/>
      <c r="E31" s="171"/>
    </row>
    <row r="32" spans="1:5" x14ac:dyDescent="0.2">
      <c r="B32" s="167" t="s">
        <v>1853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1879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1749</v>
      </c>
    </row>
    <row r="52" spans="1:3" x14ac:dyDescent="0.2">
      <c r="A52" s="190"/>
      <c r="B52" s="188" t="s">
        <v>1769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1750</v>
      </c>
    </row>
    <row r="57" spans="1:3" x14ac:dyDescent="0.2">
      <c r="A57" s="193"/>
      <c r="B57" s="190" t="s">
        <v>1752</v>
      </c>
    </row>
    <row r="58" spans="1:3" x14ac:dyDescent="0.2">
      <c r="A58" s="194"/>
      <c r="B58" s="190" t="s">
        <v>1753</v>
      </c>
    </row>
    <row r="59" spans="1:3" x14ac:dyDescent="0.2">
      <c r="A59" s="195"/>
      <c r="B59" s="1485" t="s">
        <v>1754</v>
      </c>
    </row>
    <row r="60" spans="1:3" x14ac:dyDescent="0.2">
      <c r="A60" s="196"/>
      <c r="B60" s="1485" t="s">
        <v>1755</v>
      </c>
    </row>
    <row r="61" spans="1:3" ht="6" customHeight="1" x14ac:dyDescent="0.2">
      <c r="A61" s="197"/>
      <c r="B61" s="189"/>
    </row>
    <row r="62" spans="1:3" x14ac:dyDescent="0.2">
      <c r="A62" s="169" t="s">
        <v>1616</v>
      </c>
      <c r="B62" s="198" t="s">
        <v>1751</v>
      </c>
    </row>
    <row r="63" spans="1:3" x14ac:dyDescent="0.2">
      <c r="A63" s="188"/>
      <c r="B63" s="169" t="s">
        <v>1766</v>
      </c>
    </row>
    <row r="64" spans="1:3" x14ac:dyDescent="0.2">
      <c r="A64" s="195"/>
      <c r="B64" s="1487" t="s">
        <v>1756</v>
      </c>
    </row>
    <row r="65" spans="1:9" x14ac:dyDescent="0.2">
      <c r="A65" s="188"/>
      <c r="B65" s="169" t="s">
        <v>1767</v>
      </c>
    </row>
    <row r="66" spans="1:9" x14ac:dyDescent="0.2">
      <c r="A66" s="190"/>
      <c r="B66" s="190" t="s">
        <v>1757</v>
      </c>
    </row>
    <row r="67" spans="1:9" ht="12" customHeight="1" x14ac:dyDescent="0.2">
      <c r="A67" s="188"/>
      <c r="B67" s="169" t="s">
        <v>1768</v>
      </c>
    </row>
    <row r="68" spans="1:9" x14ac:dyDescent="0.2">
      <c r="A68" s="189"/>
      <c r="B68" s="190" t="s">
        <v>1758</v>
      </c>
    </row>
    <row r="69" spans="1:9" x14ac:dyDescent="0.2">
      <c r="A69" s="190"/>
      <c r="B69" s="188" t="s">
        <v>1759</v>
      </c>
    </row>
    <row r="70" spans="1:9" ht="13.5" customHeight="1" x14ac:dyDescent="0.2">
      <c r="A70" s="190"/>
      <c r="B70" s="188" t="s">
        <v>1760</v>
      </c>
    </row>
    <row r="71" spans="1:9" ht="12" customHeight="1" x14ac:dyDescent="0.2">
      <c r="A71" s="192"/>
      <c r="B71" s="1486" t="s">
        <v>1619</v>
      </c>
    </row>
    <row r="72" spans="1:9" ht="9" customHeight="1" x14ac:dyDescent="0.2">
      <c r="A72" s="192"/>
      <c r="B72" s="199"/>
    </row>
    <row r="73" spans="1:9" x14ac:dyDescent="0.2">
      <c r="A73" s="189" t="s">
        <v>1620</v>
      </c>
      <c r="B73" s="169" t="s">
        <v>1762</v>
      </c>
    </row>
    <row r="74" spans="1:9" x14ac:dyDescent="0.2">
      <c r="A74" s="189"/>
      <c r="B74" s="169" t="s">
        <v>1761</v>
      </c>
    </row>
    <row r="75" spans="1:9" ht="8.25" customHeight="1" x14ac:dyDescent="0.2">
      <c r="A75" s="189"/>
      <c r="B75" s="189"/>
    </row>
    <row r="76" spans="1:9" ht="12.2" customHeight="1" x14ac:dyDescent="0.2">
      <c r="A76" s="189" t="s">
        <v>1621</v>
      </c>
      <c r="B76" s="198" t="s">
        <v>1763</v>
      </c>
    </row>
    <row r="77" spans="1:9" ht="12.2" customHeight="1" x14ac:dyDescent="0.2">
      <c r="A77" s="190"/>
      <c r="B77" s="169" t="s">
        <v>1622</v>
      </c>
      <c r="C77" s="179"/>
      <c r="D77" s="180"/>
      <c r="E77" s="181"/>
      <c r="F77" s="181"/>
      <c r="G77" s="181"/>
      <c r="H77" s="181"/>
      <c r="I77" s="181"/>
    </row>
    <row r="78" spans="1:9" ht="11.25" customHeight="1" x14ac:dyDescent="0.2">
      <c r="A78" s="190"/>
      <c r="B78" s="190" t="s">
        <v>1765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1764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1964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1965</v>
      </c>
      <c r="B4" s="2356"/>
      <c r="C4" s="2356"/>
      <c r="D4" s="2356"/>
      <c r="E4" s="2356"/>
      <c r="F4" s="2357"/>
      <c r="G4" s="1074"/>
      <c r="H4" s="1074"/>
    </row>
    <row r="5" spans="1:8" ht="14.25" customHeight="1" x14ac:dyDescent="0.2">
      <c r="A5" s="2358" t="s">
        <v>1961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9548664</v>
      </c>
      <c r="C8" s="1815">
        <f>'Acct Summary 7-8'!D8</f>
        <v>702501</v>
      </c>
      <c r="D8" s="1815">
        <f>'Acct Summary 7-8'!F8</f>
        <v>714943</v>
      </c>
      <c r="E8" s="1815">
        <f>'Acct Summary 7-8'!I8</f>
        <v>125071</v>
      </c>
      <c r="F8" s="1815">
        <f>SUM(B8:E8)</f>
        <v>11091179</v>
      </c>
    </row>
    <row r="9" spans="1:8" s="1079" customFormat="1" ht="14.25" customHeight="1" thickBot="1" x14ac:dyDescent="0.25">
      <c r="A9" s="1078" t="s">
        <v>1369</v>
      </c>
      <c r="B9" s="1816">
        <f>'Acct Summary 7-8'!C17</f>
        <v>8526326</v>
      </c>
      <c r="C9" s="1816">
        <f>'Acct Summary 7-8'!D17</f>
        <v>713789</v>
      </c>
      <c r="D9" s="1816">
        <f>'Acct Summary 7-8'!F17</f>
        <v>619803</v>
      </c>
      <c r="E9" s="1815"/>
      <c r="F9" s="1815">
        <f>SUM(B9:E9)</f>
        <v>9859918</v>
      </c>
    </row>
    <row r="10" spans="1:8" s="1079" customFormat="1" ht="14.25" thickTop="1" thickBot="1" x14ac:dyDescent="0.25">
      <c r="A10" s="1080" t="s">
        <v>1370</v>
      </c>
      <c r="B10" s="1817">
        <f>(B8-B9)</f>
        <v>1022338</v>
      </c>
      <c r="C10" s="1817">
        <f>(C8-C9)</f>
        <v>-11288</v>
      </c>
      <c r="D10" s="1817">
        <f>(D8-D9)</f>
        <v>95140</v>
      </c>
      <c r="E10" s="1816">
        <f>(E8-E9)</f>
        <v>125071</v>
      </c>
      <c r="F10" s="1818">
        <f>SUM(F8-F9)</f>
        <v>1231261</v>
      </c>
    </row>
    <row r="11" spans="1:8" s="1079" customFormat="1" ht="14.25" thickTop="1" thickBot="1" x14ac:dyDescent="0.25">
      <c r="A11" s="1081" t="s">
        <v>1962</v>
      </c>
      <c r="B11" s="1819">
        <f>'Acct Summary 7-8'!C81</f>
        <v>1672541</v>
      </c>
      <c r="C11" s="1819">
        <f>'Acct Summary 7-8'!D81</f>
        <v>98784</v>
      </c>
      <c r="D11" s="1819">
        <f>'Acct Summary 7-8'!F81</f>
        <v>446106</v>
      </c>
      <c r="E11" s="1819">
        <f>'Acct Summary 7-8'!I81</f>
        <v>281527</v>
      </c>
      <c r="F11" s="1820">
        <f>SUM(B11:E11)</f>
        <v>2498958</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1813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1890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1891</v>
      </c>
      <c r="D66" s="1125"/>
    </row>
    <row r="67" spans="1:4" x14ac:dyDescent="0.2">
      <c r="A67" s="1119"/>
      <c r="B67" s="1140"/>
      <c r="C67" s="1147" t="s">
        <v>1021</v>
      </c>
      <c r="D67" s="1125"/>
    </row>
    <row r="68" spans="1:4" x14ac:dyDescent="0.2">
      <c r="A68" s="1100"/>
      <c r="B68" s="1110"/>
      <c r="C68" s="1102" t="s">
        <v>1892</v>
      </c>
      <c r="D68" s="1124" t="str">
        <f>IF('Short-Term Long-Term Debt 24'!F49=SUM(,'Acct Summary 7-8'!C33:K33),"OK","ERROR!")</f>
        <v>OK</v>
      </c>
    </row>
    <row r="69" spans="1:4" x14ac:dyDescent="0.2">
      <c r="A69" s="1100"/>
      <c r="B69" s="1110"/>
      <c r="C69" s="1102" t="s">
        <v>1893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1894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1895</v>
      </c>
      <c r="D78" s="1124" t="str">
        <f>IF(ISNUMBER('Acct Summary 7-8'!C9),"OK","ENTRY IS REQUIRED!")</f>
        <v>OK</v>
      </c>
    </row>
    <row r="79" spans="1:4" x14ac:dyDescent="0.2">
      <c r="A79" s="1119"/>
      <c r="B79" s="1120">
        <f>B74+1+1</f>
        <v>12</v>
      </c>
      <c r="C79" s="1130" t="s">
        <v>1880</v>
      </c>
      <c r="D79" s="1131" t="str">
        <f>IF(OR(COVER!$B$6="X",'PCTC-OEPP 27-28'!F78&gt;0),"OK","PLEASE ENTER 9 MO ADA.")</f>
        <v>OK</v>
      </c>
    </row>
    <row r="80" spans="1:4" x14ac:dyDescent="0.2">
      <c r="A80" s="1098"/>
      <c r="B80" s="1120">
        <v>13</v>
      </c>
      <c r="C80" s="1130" t="s">
        <v>1896</v>
      </c>
      <c r="D80" s="1131" t="str">
        <f>IF('Contracts Paid in CY 29'!D140&gt;0,"OK","PLEASE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28006115002</v>
      </c>
    </row>
    <row r="3" spans="1:2" x14ac:dyDescent="0.2">
      <c r="A3" t="s">
        <v>956</v>
      </c>
      <c r="B3" s="138" t="str">
        <f>COVER!A15</f>
        <v>BUREAU</v>
      </c>
    </row>
    <row r="4" spans="1:2" x14ac:dyDescent="0.2">
      <c r="A4" t="s">
        <v>1007</v>
      </c>
      <c r="B4" s="138" t="str">
        <f>COVER!A17</f>
        <v>Princeton ESD 115</v>
      </c>
    </row>
    <row r="5" spans="1:2" x14ac:dyDescent="0.2">
      <c r="A5" t="s">
        <v>704</v>
      </c>
      <c r="B5" s="138" t="str">
        <f>COVER!A38</f>
        <v>TIMOTHY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1672541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1631001</v>
      </c>
      <c r="D92" s="2" t="str">
        <f t="shared" si="0"/>
        <v>Error?</v>
      </c>
    </row>
    <row r="93" spans="1:4" x14ac:dyDescent="0.2">
      <c r="A93" s="5">
        <v>32</v>
      </c>
      <c r="B93" s="138">
        <f>'Assets-Liab 5-6'!C41</f>
        <v>1672541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98784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98784</v>
      </c>
      <c r="D123" s="2" t="str">
        <f t="shared" si="0"/>
        <v>Error?</v>
      </c>
    </row>
    <row r="124" spans="1:4" x14ac:dyDescent="0.2">
      <c r="A124" s="5">
        <v>63</v>
      </c>
      <c r="B124" s="138">
        <f>'Assets-Liab 5-6'!D41</f>
        <v>98784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65779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65779</v>
      </c>
      <c r="D140" s="2" t="str">
        <f t="shared" si="1"/>
        <v>Error?</v>
      </c>
    </row>
    <row r="141" spans="1:4" x14ac:dyDescent="0.2">
      <c r="A141" s="5">
        <v>80</v>
      </c>
      <c r="B141" s="138">
        <f>'Assets-Liab 5-6'!E41</f>
        <v>65779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446106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446106</v>
      </c>
      <c r="D170" s="2" t="str">
        <f t="shared" si="1"/>
        <v>Error?</v>
      </c>
    </row>
    <row r="171" spans="1:4" x14ac:dyDescent="0.2">
      <c r="A171" s="5">
        <v>110</v>
      </c>
      <c r="B171" s="138">
        <f>'Assets-Liab 5-6'!F41</f>
        <v>446106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251996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251996</v>
      </c>
      <c r="D189" s="2" t="str">
        <f t="shared" si="1"/>
        <v>Error?</v>
      </c>
    </row>
    <row r="190" spans="1:4" x14ac:dyDescent="0.2">
      <c r="A190" s="5">
        <v>129</v>
      </c>
      <c r="B190" s="138">
        <f>'Assets-Liab 5-6'!G41</f>
        <v>251996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144067</v>
      </c>
      <c r="D273" s="2" t="str">
        <f t="shared" si="3"/>
        <v>Error?</v>
      </c>
    </row>
    <row r="274" spans="1:4" x14ac:dyDescent="0.2">
      <c r="A274" s="5">
        <v>213</v>
      </c>
      <c r="B274" s="138">
        <f>'Assets-Liab 5-6'!M17</f>
        <v>8893634</v>
      </c>
      <c r="D274" s="2" t="str">
        <f t="shared" si="3"/>
        <v>Error?</v>
      </c>
    </row>
    <row r="275" spans="1:4" x14ac:dyDescent="0.2">
      <c r="A275" s="5">
        <v>214</v>
      </c>
      <c r="B275" s="138">
        <f>'Assets-Liab 5-6'!M18</f>
        <v>174406</v>
      </c>
      <c r="D275" s="2" t="str">
        <f t="shared" si="3"/>
        <v>Error?</v>
      </c>
    </row>
    <row r="276" spans="1:4" x14ac:dyDescent="0.2">
      <c r="A276" s="5">
        <v>215</v>
      </c>
      <c r="B276" s="138">
        <f>'Assets-Liab 5-6'!M19</f>
        <v>5755524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14967631</v>
      </c>
      <c r="C279" s="2" t="s">
        <v>573</v>
      </c>
      <c r="D279" s="2" t="str">
        <f t="shared" si="3"/>
        <v>Error?</v>
      </c>
    </row>
    <row r="280" spans="1:4" x14ac:dyDescent="0.2">
      <c r="A280" s="5">
        <v>219</v>
      </c>
      <c r="B280" s="138">
        <f>'Assets-Liab 5-6'!M40</f>
        <v>14967631</v>
      </c>
      <c r="D280" s="2" t="str">
        <f t="shared" si="3"/>
        <v>Error?</v>
      </c>
    </row>
    <row r="281" spans="1:4" x14ac:dyDescent="0.2">
      <c r="A281" s="5">
        <v>220</v>
      </c>
      <c r="B281" s="138">
        <f>'Assets-Liab 5-6'!M41</f>
        <v>14967631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2434050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244224</v>
      </c>
      <c r="D718" s="2" t="str">
        <f t="shared" si="10"/>
        <v>Error?</v>
      </c>
    </row>
    <row r="719" spans="1:4" x14ac:dyDescent="0.2">
      <c r="A719" s="5">
        <v>658</v>
      </c>
      <c r="B719" s="138">
        <f>'Expenditures 15-22'!C15</f>
        <v>3704</v>
      </c>
      <c r="D719" s="2" t="str">
        <f t="shared" si="10"/>
        <v>Error?</v>
      </c>
    </row>
    <row r="720" spans="1:4" x14ac:dyDescent="0.2">
      <c r="A720" s="5">
        <v>659</v>
      </c>
      <c r="B720" s="138">
        <f>'Expenditures 15-22'!C33</f>
        <v>4409973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113410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132286</v>
      </c>
      <c r="D725" s="2" t="str">
        <f t="shared" si="10"/>
        <v>Error?</v>
      </c>
    </row>
    <row r="726" spans="1:4" x14ac:dyDescent="0.2">
      <c r="A726" s="5">
        <v>665</v>
      </c>
      <c r="B726" s="138">
        <f>'Expenditures 15-22'!C41</f>
        <v>16368</v>
      </c>
      <c r="D726" s="2" t="str">
        <f t="shared" si="10"/>
        <v>Error?</v>
      </c>
    </row>
    <row r="727" spans="1:4" x14ac:dyDescent="0.2">
      <c r="A727" s="5">
        <v>666</v>
      </c>
      <c r="B727" s="138">
        <f>'Expenditures 15-22'!C42</f>
        <v>262064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171219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171219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150438</v>
      </c>
      <c r="D733" s="2" t="str">
        <f t="shared" si="10"/>
        <v>Error?</v>
      </c>
    </row>
    <row r="734" spans="1:4" x14ac:dyDescent="0.2">
      <c r="A734" s="5">
        <v>673</v>
      </c>
      <c r="B734" s="138">
        <f>'Expenditures 15-22'!C53</f>
        <v>150438</v>
      </c>
      <c r="C734" s="2" t="s">
        <v>573</v>
      </c>
      <c r="D734" s="2" t="str">
        <f t="shared" si="10"/>
        <v>Error?</v>
      </c>
    </row>
    <row r="735" spans="1:4" x14ac:dyDescent="0.2">
      <c r="A735" s="5">
        <v>674</v>
      </c>
      <c r="B735" s="138">
        <f>'Expenditures 15-22'!C55</f>
        <v>408154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408154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75115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143719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218834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1210709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5620682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821009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58828</v>
      </c>
      <c r="D776" s="2" t="str">
        <f t="shared" si="11"/>
        <v>Error?</v>
      </c>
    </row>
    <row r="777" spans="1:4" x14ac:dyDescent="0.2">
      <c r="A777" s="5">
        <v>716</v>
      </c>
      <c r="B777" s="138">
        <f>'Expenditures 15-22'!D15</f>
        <v>424</v>
      </c>
      <c r="D777" s="2" t="str">
        <f t="shared" si="11"/>
        <v>Error?</v>
      </c>
    </row>
    <row r="778" spans="1:4" x14ac:dyDescent="0.2">
      <c r="A778" s="5">
        <v>717</v>
      </c>
      <c r="B778" s="138">
        <f>'Expenditures 15-22'!D33</f>
        <v>1299519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24761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48254</v>
      </c>
      <c r="D783" s="2" t="str">
        <f t="shared" si="11"/>
        <v>Error?</v>
      </c>
    </row>
    <row r="784" spans="1:4" x14ac:dyDescent="0.2">
      <c r="A784" s="5">
        <v>723</v>
      </c>
      <c r="B784" s="138">
        <f>'Expenditures 15-22'!D41</f>
        <v>962</v>
      </c>
      <c r="D784" s="2" t="str">
        <f t="shared" si="11"/>
        <v>Error?</v>
      </c>
    </row>
    <row r="785" spans="1:4" x14ac:dyDescent="0.2">
      <c r="A785" s="5">
        <v>724</v>
      </c>
      <c r="B785" s="138">
        <f>'Expenditures 15-22'!D42</f>
        <v>73977</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30537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30537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40008</v>
      </c>
      <c r="D791" s="2" t="str">
        <f t="shared" si="11"/>
        <v>Error?</v>
      </c>
    </row>
    <row r="792" spans="1:4" x14ac:dyDescent="0.2">
      <c r="A792" s="5">
        <v>731</v>
      </c>
      <c r="B792" s="138">
        <f>'Expenditures 15-22'!D53</f>
        <v>40008</v>
      </c>
      <c r="C792" s="2" t="s">
        <v>573</v>
      </c>
      <c r="D792" s="2" t="str">
        <f t="shared" si="11"/>
        <v>Error?</v>
      </c>
    </row>
    <row r="793" spans="1:4" x14ac:dyDescent="0.2">
      <c r="A793" s="5">
        <v>732</v>
      </c>
      <c r="B793" s="138">
        <f>'Expenditures 15-22'!D55</f>
        <v>75105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75105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19158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19586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239213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1538732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33380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5917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108955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40294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32078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72372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16339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16339</v>
      </c>
      <c r="C847" s="2" t="s">
        <v>573</v>
      </c>
      <c r="D847" s="2" t="str">
        <f t="shared" si="12"/>
        <v>Error?</v>
      </c>
    </row>
    <row r="848" spans="1:4" x14ac:dyDescent="0.2">
      <c r="A848" s="5">
        <v>787</v>
      </c>
      <c r="B848" s="138">
        <f>'Expenditures 15-22'!E49</f>
        <v>62672</v>
      </c>
      <c r="D848" s="2" t="str">
        <f t="shared" si="12"/>
        <v>Error?</v>
      </c>
    </row>
    <row r="849" spans="1:4" x14ac:dyDescent="0.2">
      <c r="A849" s="5">
        <v>788</v>
      </c>
      <c r="B849" s="138">
        <f>'Expenditures 15-22'!E50</f>
        <v>1736</v>
      </c>
      <c r="D849" s="2" t="str">
        <f t="shared" si="12"/>
        <v>Error?</v>
      </c>
    </row>
    <row r="850" spans="1:4" x14ac:dyDescent="0.2">
      <c r="A850" s="5">
        <v>789</v>
      </c>
      <c r="B850" s="138">
        <f>'Expenditures 15-22'!E53</f>
        <v>94408</v>
      </c>
      <c r="C850" s="2" t="s">
        <v>573</v>
      </c>
      <c r="D850" s="2" t="str">
        <f t="shared" si="12"/>
        <v>Error?</v>
      </c>
    </row>
    <row r="851" spans="1:4" x14ac:dyDescent="0.2">
      <c r="A851" s="5">
        <v>790</v>
      </c>
      <c r="B851" s="138">
        <f>'Expenditures 15-22'!E55</f>
        <v>2819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2819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5539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198877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322627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165652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12701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234556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987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594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1581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38890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38890</v>
      </c>
      <c r="C905" s="2" t="s">
        <v>573</v>
      </c>
      <c r="D905" s="2" t="str">
        <f t="shared" si="13"/>
        <v>Error?</v>
      </c>
    </row>
    <row r="906" spans="1:4" x14ac:dyDescent="0.2">
      <c r="A906" s="5">
        <v>845</v>
      </c>
      <c r="B906" s="138">
        <f>'Expenditures 15-22'!F49</f>
        <v>1128</v>
      </c>
      <c r="D906" s="2" t="str">
        <f t="shared" si="13"/>
        <v>Error?</v>
      </c>
    </row>
    <row r="907" spans="1:4" x14ac:dyDescent="0.2">
      <c r="A907" s="5">
        <v>846</v>
      </c>
      <c r="B907" s="138">
        <f>'Expenditures 15-22'!F50</f>
        <v>2719</v>
      </c>
      <c r="D907" s="2" t="str">
        <f t="shared" si="13"/>
        <v>Error?</v>
      </c>
    </row>
    <row r="908" spans="1:4" x14ac:dyDescent="0.2">
      <c r="A908" s="5">
        <v>847</v>
      </c>
      <c r="B908" s="138">
        <f>'Expenditures 15-22'!F53</f>
        <v>3847</v>
      </c>
      <c r="C908" s="2" t="s">
        <v>573</v>
      </c>
      <c r="D908" s="2" t="str">
        <f t="shared" si="13"/>
        <v>Error?</v>
      </c>
    </row>
    <row r="909" spans="1:4" x14ac:dyDescent="0.2">
      <c r="A909" s="5">
        <v>848</v>
      </c>
      <c r="B909" s="138">
        <f>'Expenditures 15-22'!F55</f>
        <v>4340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4340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1270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225863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227133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275791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510347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70899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70899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70899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70899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2472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115044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4057</v>
      </c>
      <c r="D1022" s="2" t="str">
        <f t="shared" si="14"/>
        <v>Error?</v>
      </c>
    </row>
    <row r="1023" spans="1:4" x14ac:dyDescent="0.2">
      <c r="A1023" s="5">
        <v>962</v>
      </c>
      <c r="B1023" s="138">
        <f>'Expenditures 15-22'!H50</f>
        <v>1448</v>
      </c>
      <c r="D1023" s="2" t="str">
        <f t="shared" ref="D1023:D1086" si="15">IF(ISBLANK(B1023),"OK",IF(A1023-B1023=0,"OK","Error?"))</f>
        <v>Error?</v>
      </c>
    </row>
    <row r="1024" spans="1:4" x14ac:dyDescent="0.2">
      <c r="A1024" s="5">
        <v>963</v>
      </c>
      <c r="B1024" s="138">
        <f>'Expenditures 15-22'!H53</f>
        <v>5505</v>
      </c>
      <c r="C1024" s="2" t="s">
        <v>573</v>
      </c>
      <c r="D1024" s="2" t="str">
        <f t="shared" si="15"/>
        <v>Error?</v>
      </c>
    </row>
    <row r="1025" spans="1:4" x14ac:dyDescent="0.2">
      <c r="A1025" s="5">
        <v>964</v>
      </c>
      <c r="B1025" s="138">
        <f>'Expenditures 15-22'!H55</f>
        <v>2065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2065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2254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2254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9824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338171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463039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3454091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324142</v>
      </c>
      <c r="C1106" s="2" t="s">
        <v>573</v>
      </c>
      <c r="D1106" s="2" t="str">
        <f t="shared" si="16"/>
        <v>Error?</v>
      </c>
    </row>
    <row r="1107" spans="1:4" x14ac:dyDescent="0.2">
      <c r="A1107" s="5">
        <v>1046</v>
      </c>
      <c r="B1107" s="138">
        <f>'Expenditures 15-22'!K15</f>
        <v>4128</v>
      </c>
      <c r="C1107" s="2" t="s">
        <v>573</v>
      </c>
      <c r="D1107" s="2" t="str">
        <f t="shared" si="16"/>
        <v>Error?</v>
      </c>
    </row>
    <row r="1108" spans="1:4" x14ac:dyDescent="0.2">
      <c r="A1108" s="5">
        <v>1047</v>
      </c>
      <c r="B1108" s="138">
        <f>'Expenditures 15-22'!K33</f>
        <v>6168047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139158</v>
      </c>
      <c r="C1110" s="2" t="s">
        <v>573</v>
      </c>
      <c r="D1110" s="2" t="str">
        <f t="shared" si="16"/>
        <v>Error?</v>
      </c>
    </row>
    <row r="1111" spans="1:4" x14ac:dyDescent="0.2">
      <c r="A1111" s="5">
        <v>1050</v>
      </c>
      <c r="B1111" s="138">
        <f>'Expenditures 15-22'!K38</f>
        <v>40294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213212</v>
      </c>
      <c r="C1113" s="2" t="s">
        <v>573</v>
      </c>
      <c r="D1113" s="2" t="str">
        <f t="shared" si="16"/>
        <v>Error?</v>
      </c>
    </row>
    <row r="1114" spans="1:4" x14ac:dyDescent="0.2">
      <c r="A1114" s="5">
        <v>1053</v>
      </c>
      <c r="B1114" s="138">
        <f>'Expenditures 15-22'!K41</f>
        <v>17330</v>
      </c>
      <c r="C1114" s="2" t="s">
        <v>573</v>
      </c>
      <c r="D1114" s="2" t="str">
        <f t="shared" si="16"/>
        <v>Error?</v>
      </c>
    </row>
    <row r="1115" spans="1:4" x14ac:dyDescent="0.2">
      <c r="A1115" s="5">
        <v>1054</v>
      </c>
      <c r="B1115" s="138">
        <f>'Expenditures 15-22'!K42</f>
        <v>409994</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327884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327884</v>
      </c>
      <c r="C1119" s="2" t="s">
        <v>573</v>
      </c>
      <c r="D1119" s="2" t="str">
        <f t="shared" si="16"/>
        <v>Error?</v>
      </c>
    </row>
    <row r="1120" spans="1:4" x14ac:dyDescent="0.2">
      <c r="A1120" s="5">
        <v>1059</v>
      </c>
      <c r="B1120" s="138">
        <f>'Expenditures 15-22'!K49</f>
        <v>67857</v>
      </c>
      <c r="C1120" s="2" t="s">
        <v>573</v>
      </c>
      <c r="D1120" s="2" t="str">
        <f t="shared" si="16"/>
        <v>Error?</v>
      </c>
    </row>
    <row r="1121" spans="1:4" x14ac:dyDescent="0.2">
      <c r="A1121" s="5">
        <v>1060</v>
      </c>
      <c r="B1121" s="138">
        <f>'Expenditures 15-22'!K50</f>
        <v>196349</v>
      </c>
      <c r="C1121" s="2" t="s">
        <v>573</v>
      </c>
      <c r="D1121" s="2" t="str">
        <f t="shared" si="16"/>
        <v>Error?</v>
      </c>
    </row>
    <row r="1122" spans="1:4" x14ac:dyDescent="0.2">
      <c r="A1122" s="5">
        <v>1061</v>
      </c>
      <c r="B1122" s="138">
        <f>'Expenditures 15-22'!K53</f>
        <v>294206</v>
      </c>
      <c r="C1122" s="2" t="s">
        <v>573</v>
      </c>
      <c r="D1122" s="2" t="str">
        <f t="shared" si="16"/>
        <v>Error?</v>
      </c>
    </row>
    <row r="1123" spans="1:4" x14ac:dyDescent="0.2">
      <c r="A1123" s="5">
        <v>1062</v>
      </c>
      <c r="B1123" s="138">
        <f>'Expenditures 15-22'!K55</f>
        <v>492483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492483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101082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379664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480746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2005313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352966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8526326</v>
      </c>
      <c r="C1152" s="2" t="s">
        <v>573</v>
      </c>
      <c r="D1152" s="2" t="str">
        <f t="shared" si="17"/>
        <v>Error?</v>
      </c>
    </row>
    <row r="1153" spans="1:4" x14ac:dyDescent="0.2">
      <c r="A1153" s="5">
        <v>1092</v>
      </c>
      <c r="B1153" s="138">
        <f>'Expenditures 15-22'!K115</f>
        <v>1022338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261991</v>
      </c>
      <c r="D1221" s="2" t="str">
        <f t="shared" si="18"/>
        <v>Error?</v>
      </c>
    </row>
    <row r="1222" spans="1:4" x14ac:dyDescent="0.2">
      <c r="A1222" s="10">
        <v>1161</v>
      </c>
      <c r="D1222" s="2" t="str">
        <f t="shared" si="18"/>
        <v>OK</v>
      </c>
    </row>
    <row r="1223" spans="1:4" x14ac:dyDescent="0.2">
      <c r="A1223" s="5">
        <v>1162</v>
      </c>
      <c r="B1223" s="138">
        <f>'Expenditures 15-22'!C127</f>
        <v>261991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261991</v>
      </c>
      <c r="C1225" s="2" t="s">
        <v>573</v>
      </c>
      <c r="D1225" s="2" t="str">
        <f t="shared" si="18"/>
        <v>Error?</v>
      </c>
    </row>
    <row r="1226" spans="1:4" x14ac:dyDescent="0.2">
      <c r="A1226" s="5">
        <v>1165</v>
      </c>
      <c r="B1226" s="138">
        <f>'Expenditures 15-22'!C151</f>
        <v>261991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58846</v>
      </c>
      <c r="D1229" s="2" t="str">
        <f t="shared" si="18"/>
        <v>Error?</v>
      </c>
    </row>
    <row r="1230" spans="1:4" x14ac:dyDescent="0.2">
      <c r="A1230" s="10">
        <v>1169</v>
      </c>
      <c r="D1230" s="2" t="str">
        <f t="shared" si="18"/>
        <v>OK</v>
      </c>
    </row>
    <row r="1231" spans="1:4" x14ac:dyDescent="0.2">
      <c r="A1231" s="5">
        <v>1170</v>
      </c>
      <c r="B1231" s="138">
        <f>'Expenditures 15-22'!D127</f>
        <v>58846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58846</v>
      </c>
      <c r="C1233" s="2" t="s">
        <v>573</v>
      </c>
      <c r="D1233" s="2" t="str">
        <f t="shared" si="18"/>
        <v>Error?</v>
      </c>
    </row>
    <row r="1234" spans="1:4" x14ac:dyDescent="0.2">
      <c r="A1234" s="5">
        <v>1173</v>
      </c>
      <c r="B1234" s="138">
        <f>'Expenditures 15-22'!D151</f>
        <v>58846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156389</v>
      </c>
      <c r="D1237" s="2" t="str">
        <f t="shared" si="18"/>
        <v>Error?</v>
      </c>
    </row>
    <row r="1238" spans="1:4" x14ac:dyDescent="0.2">
      <c r="A1238" s="10">
        <v>1177</v>
      </c>
      <c r="D1238" s="2" t="str">
        <f t="shared" si="18"/>
        <v>OK</v>
      </c>
    </row>
    <row r="1239" spans="1:4" x14ac:dyDescent="0.2">
      <c r="A1239" s="5">
        <v>1178</v>
      </c>
      <c r="B1239" s="138">
        <f>'Expenditures 15-22'!E127</f>
        <v>156389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156389</v>
      </c>
      <c r="C1241" s="2" t="s">
        <v>573</v>
      </c>
      <c r="D1241" s="2" t="str">
        <f t="shared" si="18"/>
        <v>Error?</v>
      </c>
    </row>
    <row r="1242" spans="1:4" x14ac:dyDescent="0.2">
      <c r="A1242" s="5">
        <v>1181</v>
      </c>
      <c r="B1242" s="138">
        <f>'Expenditures 15-22'!E151</f>
        <v>156389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224100</v>
      </c>
      <c r="D1245" s="2" t="str">
        <f t="shared" si="18"/>
        <v>Error?</v>
      </c>
    </row>
    <row r="1246" spans="1:4" x14ac:dyDescent="0.2">
      <c r="A1246" s="10">
        <v>1185</v>
      </c>
      <c r="D1246" s="2" t="str">
        <f t="shared" si="18"/>
        <v>OK</v>
      </c>
    </row>
    <row r="1247" spans="1:4" x14ac:dyDescent="0.2">
      <c r="A1247" s="5">
        <v>1186</v>
      </c>
      <c r="B1247" s="138">
        <f>'Expenditures 15-22'!F127</f>
        <v>224100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224100</v>
      </c>
      <c r="C1249" s="2" t="s">
        <v>573</v>
      </c>
      <c r="D1249" s="2" t="str">
        <f t="shared" si="18"/>
        <v>Error?</v>
      </c>
    </row>
    <row r="1250" spans="1:4" x14ac:dyDescent="0.2">
      <c r="A1250" s="5">
        <v>1189</v>
      </c>
      <c r="B1250" s="138">
        <f>'Expenditures 15-22'!F151</f>
        <v>224100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12463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12463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12463</v>
      </c>
      <c r="C1258" s="2" t="s">
        <v>573</v>
      </c>
      <c r="D1258" s="2" t="str">
        <f t="shared" si="18"/>
        <v>Error?</v>
      </c>
    </row>
    <row r="1259" spans="1:4" x14ac:dyDescent="0.2">
      <c r="A1259" s="5">
        <v>1198</v>
      </c>
      <c r="B1259" s="138">
        <f>'Expenditures 15-22'!G151</f>
        <v>12463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713789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713789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713789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713789</v>
      </c>
      <c r="C1288" s="2" t="s">
        <v>573</v>
      </c>
      <c r="D1288" s="2" t="str">
        <f t="shared" si="19"/>
        <v>Error?</v>
      </c>
    </row>
    <row r="1289" spans="1:4" x14ac:dyDescent="0.2">
      <c r="A1289" s="5">
        <v>1228</v>
      </c>
      <c r="B1289" s="138">
        <f>'Expenditures 15-22'!K152</f>
        <v>-11288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2531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137531</v>
      </c>
      <c r="C1317" s="2" t="s">
        <v>573</v>
      </c>
      <c r="D1317" s="2" t="str">
        <f t="shared" si="19"/>
        <v>Error?</v>
      </c>
    </row>
    <row r="1318" spans="1:4" x14ac:dyDescent="0.2">
      <c r="A1318" s="5">
        <v>1257</v>
      </c>
      <c r="B1318" s="138">
        <f>'Expenditures 15-22'!H174</f>
        <v>137531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2531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137531</v>
      </c>
      <c r="C1331" s="2" t="s">
        <v>573</v>
      </c>
      <c r="D1331" s="2" t="str">
        <f t="shared" si="19"/>
        <v>Error?</v>
      </c>
    </row>
    <row r="1332" spans="1:4" x14ac:dyDescent="0.2">
      <c r="A1332" s="5">
        <v>1271</v>
      </c>
      <c r="B1332" s="138">
        <f>'Expenditures 15-22'!K174</f>
        <v>137531</v>
      </c>
      <c r="C1332" s="2" t="s">
        <v>573</v>
      </c>
      <c r="D1332" s="2" t="str">
        <f t="shared" si="19"/>
        <v>Error?</v>
      </c>
    </row>
    <row r="1333" spans="1:4" x14ac:dyDescent="0.2">
      <c r="A1333" s="5">
        <v>1272</v>
      </c>
      <c r="B1333" s="138">
        <f>'Expenditures 15-22'!K175</f>
        <v>3083</v>
      </c>
      <c r="C1333" s="2" t="s">
        <v>573</v>
      </c>
      <c r="D1333" s="2" t="str">
        <f t="shared" si="19"/>
        <v>Error?</v>
      </c>
    </row>
    <row r="1334" spans="1:4" x14ac:dyDescent="0.2">
      <c r="A1334" s="10">
        <v>1273</v>
      </c>
      <c r="D1334" s="2" t="str">
        <f t="shared" si="19"/>
        <v>OK</v>
      </c>
    </row>
    <row r="1335" spans="1:4" x14ac:dyDescent="0.2">
      <c r="A1335" s="5">
        <v>1274</v>
      </c>
      <c r="B1335" s="138">
        <f>'Expenditures 15-22'!C182</f>
        <v>393149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393149</v>
      </c>
      <c r="C1339" s="2" t="s">
        <v>573</v>
      </c>
      <c r="D1339" s="2" t="str">
        <f t="shared" si="19"/>
        <v>Error?</v>
      </c>
    </row>
    <row r="1340" spans="1:4" x14ac:dyDescent="0.2">
      <c r="A1340" s="5">
        <v>1279</v>
      </c>
      <c r="B1340" s="138">
        <f>'Expenditures 15-22'!C210</f>
        <v>393149</v>
      </c>
      <c r="C1340" s="2" t="s">
        <v>573</v>
      </c>
      <c r="D1340" s="2" t="str">
        <f t="shared" si="19"/>
        <v>Error?</v>
      </c>
    </row>
    <row r="1341" spans="1:4" x14ac:dyDescent="0.2">
      <c r="A1341" s="5">
        <v>1280</v>
      </c>
      <c r="B1341" s="138">
        <f>'Expenditures 15-22'!D182</f>
        <v>25352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25352</v>
      </c>
      <c r="C1345" s="2" t="s">
        <v>573</v>
      </c>
      <c r="D1345" s="2" t="str">
        <f t="shared" si="20"/>
        <v>Error?</v>
      </c>
    </row>
    <row r="1346" spans="1:4" x14ac:dyDescent="0.2">
      <c r="A1346" s="5">
        <v>1285</v>
      </c>
      <c r="B1346" s="138">
        <f>'Expenditures 15-22'!D210</f>
        <v>25352</v>
      </c>
      <c r="C1346" s="2" t="s">
        <v>573</v>
      </c>
      <c r="D1346" s="2" t="str">
        <f t="shared" si="20"/>
        <v>Error?</v>
      </c>
    </row>
    <row r="1347" spans="1:4" x14ac:dyDescent="0.2">
      <c r="A1347" s="5">
        <v>1286</v>
      </c>
      <c r="B1347" s="138">
        <f>'Expenditures 15-22'!E182</f>
        <v>100443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100443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100443</v>
      </c>
      <c r="C1353" s="2" t="s">
        <v>573</v>
      </c>
      <c r="D1353" s="2" t="str">
        <f t="shared" si="20"/>
        <v>Error?</v>
      </c>
    </row>
    <row r="1354" spans="1:4" x14ac:dyDescent="0.2">
      <c r="A1354" s="5">
        <v>1293</v>
      </c>
      <c r="B1354" s="138">
        <f>'Expenditures 15-22'!F182</f>
        <v>81171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81171</v>
      </c>
      <c r="C1358" s="2" t="s">
        <v>573</v>
      </c>
      <c r="D1358" s="2" t="str">
        <f t="shared" si="20"/>
        <v>Error?</v>
      </c>
    </row>
    <row r="1359" spans="1:4" x14ac:dyDescent="0.2">
      <c r="A1359" s="5">
        <v>1298</v>
      </c>
      <c r="B1359" s="138">
        <f>'Expenditures 15-22'!F210</f>
        <v>81171</v>
      </c>
      <c r="C1359" s="2" t="s">
        <v>573</v>
      </c>
      <c r="D1359" s="2" t="str">
        <f t="shared" si="20"/>
        <v>Error?</v>
      </c>
    </row>
    <row r="1360" spans="1:4" x14ac:dyDescent="0.2">
      <c r="A1360" s="5">
        <v>1299</v>
      </c>
      <c r="B1360" s="138">
        <f>'Expenditures 15-22'!G182</f>
        <v>18698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18698</v>
      </c>
      <c r="C1364" s="2" t="s">
        <v>573</v>
      </c>
      <c r="D1364" s="2" t="str">
        <f t="shared" si="20"/>
        <v>Error?</v>
      </c>
    </row>
    <row r="1365" spans="1:4" x14ac:dyDescent="0.2">
      <c r="A1365" s="5">
        <v>1304</v>
      </c>
      <c r="B1365" s="138">
        <f>'Expenditures 15-22'!G210</f>
        <v>18698</v>
      </c>
      <c r="C1365" s="2" t="s">
        <v>573</v>
      </c>
      <c r="D1365" s="2" t="str">
        <f t="shared" si="20"/>
        <v>Error?</v>
      </c>
    </row>
    <row r="1366" spans="1:4" x14ac:dyDescent="0.2">
      <c r="A1366" s="5">
        <v>1305</v>
      </c>
      <c r="B1366" s="138">
        <f>'Expenditures 15-22'!H182</f>
        <v>990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990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990</v>
      </c>
      <c r="C1376" s="2" t="s">
        <v>573</v>
      </c>
      <c r="D1376" s="2" t="str">
        <f t="shared" si="20"/>
        <v>Error?</v>
      </c>
    </row>
    <row r="1377" spans="1:4" x14ac:dyDescent="0.2">
      <c r="A1377" s="5">
        <v>1316</v>
      </c>
      <c r="B1377" s="138">
        <f>'Expenditures 15-22'!K182</f>
        <v>619803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619803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619803</v>
      </c>
      <c r="C1388" s="2" t="s">
        <v>573</v>
      </c>
      <c r="D1388" s="2" t="str">
        <f t="shared" si="20"/>
        <v>Error?</v>
      </c>
    </row>
    <row r="1389" spans="1:4" x14ac:dyDescent="0.2">
      <c r="A1389" s="5">
        <v>1328</v>
      </c>
      <c r="B1389" s="138">
        <f>'Expenditures 15-22'!K211</f>
        <v>95140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5254</v>
      </c>
      <c r="D1408" s="2" t="str">
        <f t="shared" si="21"/>
        <v>Error?</v>
      </c>
    </row>
    <row r="1409" spans="1:4" x14ac:dyDescent="0.2">
      <c r="A1409" s="5">
        <v>1348</v>
      </c>
      <c r="B1409" s="138">
        <f>'Expenditures 15-22'!D224</f>
        <v>124</v>
      </c>
      <c r="D1409" s="2" t="str">
        <f t="shared" si="21"/>
        <v>Error?</v>
      </c>
    </row>
    <row r="1410" spans="1:4" x14ac:dyDescent="0.2">
      <c r="A1410" s="5">
        <v>1349</v>
      </c>
      <c r="B1410" s="138">
        <f>'Expenditures 15-22'!D229</f>
        <v>190016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3524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1526</v>
      </c>
      <c r="D1416" s="2" t="str">
        <f t="shared" si="21"/>
        <v>Error?</v>
      </c>
    </row>
    <row r="1417" spans="1:4" x14ac:dyDescent="0.2">
      <c r="A1417" s="5">
        <v>1356</v>
      </c>
      <c r="B1417" s="138">
        <f>'Expenditures 15-22'!D238</f>
        <v>5050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21143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21143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6523</v>
      </c>
      <c r="D1423" s="2" t="str">
        <f t="shared" si="21"/>
        <v>Error?</v>
      </c>
    </row>
    <row r="1424" spans="1:4" x14ac:dyDescent="0.2">
      <c r="A1424" s="5">
        <v>1363</v>
      </c>
      <c r="B1424" s="138">
        <f>'Expenditures 15-22'!D257</f>
        <v>45304</v>
      </c>
      <c r="C1424" s="2" t="s">
        <v>573</v>
      </c>
      <c r="D1424" s="2" t="str">
        <f t="shared" si="21"/>
        <v>Error?</v>
      </c>
    </row>
    <row r="1425" spans="1:4" x14ac:dyDescent="0.2">
      <c r="A1425" s="5">
        <v>1364</v>
      </c>
      <c r="B1425" s="138">
        <f>'Expenditures 15-22'!D259</f>
        <v>22667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22667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13403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42436</v>
      </c>
      <c r="D1431" s="2" t="str">
        <f t="shared" si="21"/>
        <v>Error?</v>
      </c>
    </row>
    <row r="1432" spans="1:4" x14ac:dyDescent="0.2">
      <c r="A1432" s="5">
        <v>1371</v>
      </c>
      <c r="B1432" s="138">
        <f>'Expenditures 15-22'!D267</f>
        <v>53716</v>
      </c>
      <c r="D1432" s="2" t="str">
        <f t="shared" si="21"/>
        <v>Error?</v>
      </c>
    </row>
    <row r="1433" spans="1:4" x14ac:dyDescent="0.2">
      <c r="A1433" s="5">
        <v>1372</v>
      </c>
      <c r="B1433" s="138">
        <f>'Expenditures 15-22'!D268</f>
        <v>20629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130184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224348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414364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5254</v>
      </c>
      <c r="C1472" s="2" t="s">
        <v>573</v>
      </c>
      <c r="D1472" s="2" t="str">
        <f t="shared" si="22"/>
        <v>Error?</v>
      </c>
    </row>
    <row r="1473" spans="1:4" x14ac:dyDescent="0.2">
      <c r="A1473" s="5">
        <v>1412</v>
      </c>
      <c r="B1473" s="138">
        <f>'Expenditures 15-22'!K224</f>
        <v>124</v>
      </c>
      <c r="C1473" s="2" t="s">
        <v>573</v>
      </c>
      <c r="D1473" s="2" t="str">
        <f t="shared" si="22"/>
        <v>Error?</v>
      </c>
    </row>
    <row r="1474" spans="1:4" x14ac:dyDescent="0.2">
      <c r="A1474" s="5">
        <v>1413</v>
      </c>
      <c r="B1474" s="138">
        <f>'Expenditures 15-22'!K229</f>
        <v>190016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3524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1526</v>
      </c>
      <c r="C1480" s="2" t="s">
        <v>573</v>
      </c>
      <c r="D1480" s="2" t="str">
        <f t="shared" si="22"/>
        <v>Error?</v>
      </c>
    </row>
    <row r="1481" spans="1:4" x14ac:dyDescent="0.2">
      <c r="A1481" s="5">
        <v>1420</v>
      </c>
      <c r="B1481" s="138">
        <f>'Expenditures 15-22'!K238</f>
        <v>5050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21143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21143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6523</v>
      </c>
      <c r="C1487" s="2" t="s">
        <v>573</v>
      </c>
      <c r="D1487" s="2" t="str">
        <f t="shared" si="22"/>
        <v>Error?</v>
      </c>
    </row>
    <row r="1488" spans="1:4" x14ac:dyDescent="0.2">
      <c r="A1488" s="5">
        <v>1427</v>
      </c>
      <c r="B1488" s="138">
        <f>'Expenditures 15-22'!K257</f>
        <v>45304</v>
      </c>
      <c r="C1488" s="2" t="s">
        <v>573</v>
      </c>
      <c r="D1488" s="2" t="str">
        <f t="shared" si="22"/>
        <v>Error?</v>
      </c>
    </row>
    <row r="1489" spans="1:4" x14ac:dyDescent="0.2">
      <c r="A1489" s="5">
        <v>1428</v>
      </c>
      <c r="B1489" s="138">
        <f>'Expenditures 15-22'!K259</f>
        <v>22667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22667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13403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42436</v>
      </c>
      <c r="C1495" s="2" t="s">
        <v>573</v>
      </c>
      <c r="D1495" s="2" t="str">
        <f t="shared" si="22"/>
        <v>Error?</v>
      </c>
    </row>
    <row r="1496" spans="1:4" x14ac:dyDescent="0.2">
      <c r="A1496" s="5">
        <v>1435</v>
      </c>
      <c r="B1496" s="138">
        <f>'Expenditures 15-22'!K267</f>
        <v>53716</v>
      </c>
      <c r="C1496" s="2" t="s">
        <v>573</v>
      </c>
      <c r="D1496" s="2" t="str">
        <f t="shared" si="22"/>
        <v>Error?</v>
      </c>
    </row>
    <row r="1497" spans="1:4" x14ac:dyDescent="0.2">
      <c r="A1497" s="5">
        <v>1436</v>
      </c>
      <c r="B1497" s="138">
        <f>'Expenditures 15-22'!K268</f>
        <v>20629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130184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224348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414364</v>
      </c>
      <c r="C1517" s="2" t="s">
        <v>573</v>
      </c>
      <c r="D1517" s="2" t="str">
        <f t="shared" si="22"/>
        <v>Error?</v>
      </c>
    </row>
    <row r="1518" spans="1:4" x14ac:dyDescent="0.2">
      <c r="A1518" s="5">
        <v>1457</v>
      </c>
      <c r="B1518" s="138">
        <f>'Expenditures 15-22'!K296</f>
        <v>65448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650203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1672541</v>
      </c>
      <c r="C1630" s="2" t="s">
        <v>573</v>
      </c>
      <c r="D1630" s="2" t="str">
        <f t="shared" si="24"/>
        <v>Error?</v>
      </c>
    </row>
    <row r="1631" spans="1:4" x14ac:dyDescent="0.2">
      <c r="A1631" s="5">
        <v>1570</v>
      </c>
      <c r="B1631" s="138">
        <f>'Acct Summary 7-8'!D79</f>
        <v>110072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98784</v>
      </c>
      <c r="C1644" s="2" t="s">
        <v>573</v>
      </c>
      <c r="D1644" s="2" t="str">
        <f t="shared" si="24"/>
        <v>Error?</v>
      </c>
    </row>
    <row r="1645" spans="1:4" x14ac:dyDescent="0.2">
      <c r="A1645" s="5">
        <v>1584</v>
      </c>
      <c r="B1645" s="138">
        <f>'Acct Summary 7-8'!E79</f>
        <v>62696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65779</v>
      </c>
      <c r="C1658" s="2" t="s">
        <v>573</v>
      </c>
      <c r="D1658" s="2" t="str">
        <f t="shared" si="24"/>
        <v>Error?</v>
      </c>
    </row>
    <row r="1659" spans="1:4" x14ac:dyDescent="0.2">
      <c r="A1659" s="5">
        <v>1598</v>
      </c>
      <c r="B1659" s="138">
        <f>'Acct Summary 7-8'!F79</f>
        <v>350966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446106</v>
      </c>
      <c r="C1672" s="2" t="s">
        <v>573</v>
      </c>
      <c r="D1672" s="2" t="str">
        <f t="shared" si="25"/>
        <v>Error?</v>
      </c>
    </row>
    <row r="1673" spans="1:4" x14ac:dyDescent="0.2">
      <c r="A1673" s="5">
        <v>1612</v>
      </c>
      <c r="B1673" s="138">
        <f>'Acct Summary 7-8'!G79</f>
        <v>186548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251996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5051867</v>
      </c>
      <c r="C1744" s="2" t="s">
        <v>573</v>
      </c>
      <c r="D1744" s="2" t="str">
        <f t="shared" si="26"/>
        <v>Error?</v>
      </c>
    </row>
    <row r="1745" spans="1:5" x14ac:dyDescent="0.2">
      <c r="A1745" s="5">
        <v>1684</v>
      </c>
      <c r="B1745" s="138">
        <f>'Tax Sched 23'!B5</f>
        <v>609098</v>
      </c>
      <c r="C1745" s="2" t="s">
        <v>573</v>
      </c>
      <c r="D1745" s="2" t="str">
        <f t="shared" si="26"/>
        <v>Error?</v>
      </c>
    </row>
    <row r="1746" spans="1:5" x14ac:dyDescent="0.2">
      <c r="A1746" s="5">
        <v>1685</v>
      </c>
      <c r="B1746" s="138">
        <f>'Tax Sched 23'!B6</f>
        <v>138951</v>
      </c>
      <c r="C1746" s="2" t="s">
        <v>573</v>
      </c>
      <c r="D1746" s="2" t="str">
        <f t="shared" si="26"/>
        <v>Error?</v>
      </c>
    </row>
    <row r="1747" spans="1:5" x14ac:dyDescent="0.2">
      <c r="A1747" s="5">
        <v>1686</v>
      </c>
      <c r="B1747" s="138">
        <f>'Tax Sched 23'!B7</f>
        <v>292368</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121819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765731</v>
      </c>
      <c r="C1752" s="2" t="s">
        <v>573</v>
      </c>
      <c r="D1752" s="2" t="str">
        <f t="shared" si="26"/>
        <v>Error?</v>
      </c>
    </row>
    <row r="1753" spans="1:5" x14ac:dyDescent="0.2">
      <c r="A1753" s="5">
        <v>1692</v>
      </c>
      <c r="B1753" s="138">
        <f>'Tax Sched 23'!B12</f>
        <v>121819</v>
      </c>
      <c r="C1753" s="2" t="s">
        <v>573</v>
      </c>
      <c r="D1753" s="2" t="str">
        <f t="shared" si="26"/>
        <v>Error?</v>
      </c>
    </row>
    <row r="1754" spans="1:5" x14ac:dyDescent="0.2">
      <c r="A1754" s="5">
        <v>1693</v>
      </c>
      <c r="B1754" s="138">
        <f>'Tax Sched 23'!B14</f>
        <v>48728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7735503</v>
      </c>
      <c r="C1759" s="2" t="s">
        <v>573</v>
      </c>
      <c r="D1759" s="2" t="str">
        <f t="shared" si="26"/>
        <v>Error?</v>
      </c>
    </row>
    <row r="1760" spans="1:5" x14ac:dyDescent="0.2">
      <c r="A1760" s="5">
        <v>1699</v>
      </c>
      <c r="B1760" s="138">
        <f>'Tax Sched 23'!D4</f>
        <v>5051867</v>
      </c>
      <c r="C1760" s="2" t="s">
        <v>573</v>
      </c>
      <c r="D1760" s="2" t="str">
        <f t="shared" si="26"/>
        <v>Error?</v>
      </c>
    </row>
    <row r="1761" spans="1:5" x14ac:dyDescent="0.2">
      <c r="A1761" s="5">
        <v>1700</v>
      </c>
      <c r="B1761" s="138">
        <f>'Tax Sched 23'!D5</f>
        <v>609098</v>
      </c>
      <c r="C1761" s="2" t="s">
        <v>573</v>
      </c>
      <c r="D1761" s="2" t="str">
        <f t="shared" si="26"/>
        <v>Error?</v>
      </c>
    </row>
    <row r="1762" spans="1:5" s="8" customFormat="1" x14ac:dyDescent="0.2">
      <c r="A1762" s="5">
        <v>1701</v>
      </c>
      <c r="B1762" s="138">
        <f>'Tax Sched 23'!D6</f>
        <v>138951</v>
      </c>
      <c r="C1762" s="2" t="s">
        <v>573</v>
      </c>
      <c r="D1762" s="2" t="str">
        <f t="shared" si="26"/>
        <v>Error?</v>
      </c>
      <c r="E1762" s="9"/>
    </row>
    <row r="1763" spans="1:5" x14ac:dyDescent="0.2">
      <c r="A1763" s="5">
        <v>1702</v>
      </c>
      <c r="B1763" s="138">
        <f>'Tax Sched 23'!D7</f>
        <v>292368</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121819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765731</v>
      </c>
      <c r="C1768" s="2" t="s">
        <v>573</v>
      </c>
      <c r="D1768" s="2" t="str">
        <f t="shared" si="26"/>
        <v>Error?</v>
      </c>
    </row>
    <row r="1769" spans="1:5" x14ac:dyDescent="0.2">
      <c r="A1769" s="5">
        <v>1708</v>
      </c>
      <c r="B1769" s="138">
        <f>'Tax Sched 23'!D12</f>
        <v>121819</v>
      </c>
      <c r="C1769" s="2" t="s">
        <v>573</v>
      </c>
      <c r="D1769" s="2" t="str">
        <f t="shared" si="26"/>
        <v>Error?</v>
      </c>
    </row>
    <row r="1770" spans="1:5" x14ac:dyDescent="0.2">
      <c r="A1770" s="5">
        <v>1709</v>
      </c>
      <c r="B1770" s="138">
        <f>'Tax Sched 23'!D14</f>
        <v>48728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7735503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5205444.5310000004</v>
      </c>
      <c r="C1792" s="2" t="s">
        <v>573</v>
      </c>
      <c r="D1792" s="2" t="str">
        <f t="shared" si="27"/>
        <v>Error?</v>
      </c>
    </row>
    <row r="1793" spans="1:4" x14ac:dyDescent="0.2">
      <c r="A1793" s="5">
        <v>1732</v>
      </c>
      <c r="B1793" s="138">
        <f>'Tax Sched 23'!F5</f>
        <v>619695.77749999997</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297453.97319999995</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123939.15550000001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798812.6450286</v>
      </c>
      <c r="C1800" s="2" t="s">
        <v>573</v>
      </c>
      <c r="D1800" s="2" t="str">
        <f t="shared" si="27"/>
        <v>Error?</v>
      </c>
    </row>
    <row r="1801" spans="1:4" x14ac:dyDescent="0.2">
      <c r="A1801" s="5">
        <v>1740</v>
      </c>
      <c r="B1801" s="138">
        <f>'Tax Sched 23'!F12</f>
        <v>123939.15550000001</v>
      </c>
      <c r="C1801" s="2" t="s">
        <v>573</v>
      </c>
      <c r="D1801" s="2" t="str">
        <f t="shared" si="27"/>
        <v>Error?</v>
      </c>
    </row>
    <row r="1802" spans="1:4" x14ac:dyDescent="0.2">
      <c r="A1802" s="5">
        <v>1741</v>
      </c>
      <c r="B1802" s="138">
        <f>'Tax Sched 23'!F14</f>
        <v>49575.662199999999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7819519.4676438011</v>
      </c>
      <c r="C1807" s="2" t="s">
        <v>573</v>
      </c>
      <c r="D1807" s="2" t="str">
        <f t="shared" si="27"/>
        <v>Error?</v>
      </c>
    </row>
    <row r="1808" spans="1:4" x14ac:dyDescent="0.2">
      <c r="A1808" s="5">
        <v>1747</v>
      </c>
      <c r="B1808" s="138">
        <f>'Tax Sched 23'!E4</f>
        <v>5205444.5310000004</v>
      </c>
      <c r="D1808" s="2" t="str">
        <f t="shared" si="27"/>
        <v>Error?</v>
      </c>
    </row>
    <row r="1809" spans="1:4" x14ac:dyDescent="0.2">
      <c r="A1809" s="5">
        <v>1748</v>
      </c>
      <c r="B1809" s="138">
        <f>'Tax Sched 23'!E5</f>
        <v>619695.77749999997</v>
      </c>
      <c r="D1809" s="2" t="str">
        <f t="shared" si="27"/>
        <v>Error?</v>
      </c>
    </row>
    <row r="1810" spans="1:4" x14ac:dyDescent="0.2">
      <c r="A1810" s="5">
        <v>1749</v>
      </c>
      <c r="B1810" s="138">
        <f>'Tax Sched 23'!E6</f>
        <v>0</v>
      </c>
      <c r="D1810" s="2" t="str">
        <f t="shared" si="27"/>
        <v>Error?</v>
      </c>
    </row>
    <row r="1811" spans="1:4" x14ac:dyDescent="0.2">
      <c r="A1811" s="5">
        <v>1750</v>
      </c>
      <c r="B1811" s="138">
        <f>'Tax Sched 23'!E7</f>
        <v>297453.97319999995</v>
      </c>
      <c r="D1811" s="2" t="str">
        <f t="shared" si="27"/>
        <v>Error?</v>
      </c>
    </row>
    <row r="1812" spans="1:4" x14ac:dyDescent="0.2">
      <c r="A1812" s="5">
        <v>1751</v>
      </c>
      <c r="B1812" s="138">
        <f>'Tax Sched 23'!E8</f>
        <v>0</v>
      </c>
      <c r="D1812" s="2" t="str">
        <f t="shared" si="27"/>
        <v>Error?</v>
      </c>
    </row>
    <row r="1813" spans="1:4" x14ac:dyDescent="0.2">
      <c r="A1813" s="5">
        <v>1752</v>
      </c>
      <c r="B1813" s="138">
        <f>'Tax Sched 23'!E10</f>
        <v>123939.15550000001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798812.6450286</v>
      </c>
      <c r="D1816" s="2" t="str">
        <f t="shared" si="27"/>
        <v>Error?</v>
      </c>
    </row>
    <row r="1817" spans="1:4" x14ac:dyDescent="0.2">
      <c r="A1817" s="5">
        <v>1756</v>
      </c>
      <c r="B1817" s="138">
        <f>'Tax Sched 23'!E12</f>
        <v>123939.15550000001</v>
      </c>
      <c r="D1817" s="2" t="str">
        <f t="shared" si="27"/>
        <v>Error?</v>
      </c>
    </row>
    <row r="1818" spans="1:4" x14ac:dyDescent="0.2">
      <c r="A1818" s="5">
        <v>1757</v>
      </c>
      <c r="B1818" s="138">
        <f>'Tax Sched 23'!E14</f>
        <v>49575.662199999999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7819519.4676438011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48728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48728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48728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8825207</v>
      </c>
      <c r="D2009" s="2" t="str">
        <f t="shared" si="30"/>
        <v>Error?</v>
      </c>
    </row>
    <row r="2010" spans="1:4" x14ac:dyDescent="0.2">
      <c r="A2010" s="5">
        <v>1949</v>
      </c>
      <c r="B2010" s="138">
        <f>'Cap Outlay Deprec 26'!C10</f>
        <v>174406</v>
      </c>
      <c r="D2010" s="2" t="str">
        <f t="shared" si="30"/>
        <v>Error?</v>
      </c>
    </row>
    <row r="2011" spans="1:4" x14ac:dyDescent="0.2">
      <c r="A2011" s="5">
        <v>1950</v>
      </c>
      <c r="B2011" s="138">
        <f>'Cap Outlay Deprec 26'!C12</f>
        <v>2370516</v>
      </c>
      <c r="D2011" s="2" t="str">
        <f t="shared" si="30"/>
        <v>Error?</v>
      </c>
    </row>
    <row r="2012" spans="1:4" x14ac:dyDescent="0.2">
      <c r="A2012" s="5">
        <v>1951</v>
      </c>
      <c r="B2012" s="138">
        <f>'Cap Outlay Deprec 26'!C13</f>
        <v>3122925</v>
      </c>
      <c r="D2012" s="2" t="str">
        <f t="shared" si="30"/>
        <v>Error?</v>
      </c>
    </row>
    <row r="2013" spans="1:4" x14ac:dyDescent="0.2">
      <c r="A2013" s="5">
        <v>1952</v>
      </c>
      <c r="B2013" s="138">
        <f>'Cap Outlay Deprec 26'!C16</f>
        <v>14797140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68427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102064</v>
      </c>
      <c r="D2018" s="2" t="str">
        <f t="shared" si="30"/>
        <v>Error?</v>
      </c>
    </row>
    <row r="2019" spans="1:4" x14ac:dyDescent="0.2">
      <c r="A2019" s="5">
        <v>1958</v>
      </c>
      <c r="B2019" s="138">
        <f>'Cap Outlay Deprec 26'!D16</f>
        <v>170491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8893634</v>
      </c>
      <c r="C2027" s="2" t="s">
        <v>573</v>
      </c>
      <c r="D2027" s="2" t="str">
        <f t="shared" si="30"/>
        <v>Error?</v>
      </c>
    </row>
    <row r="2028" spans="1:4" x14ac:dyDescent="0.2">
      <c r="A2028" s="5">
        <v>1967</v>
      </c>
      <c r="B2028" s="138">
        <f>'Cap Outlay Deprec 26'!F10</f>
        <v>174406</v>
      </c>
      <c r="C2028" s="2" t="s">
        <v>573</v>
      </c>
      <c r="D2028" s="2" t="str">
        <f t="shared" si="30"/>
        <v>Error?</v>
      </c>
    </row>
    <row r="2029" spans="1:4" x14ac:dyDescent="0.2">
      <c r="A2029" s="5">
        <v>1968</v>
      </c>
      <c r="B2029" s="138">
        <f>'Cap Outlay Deprec 26'!F12</f>
        <v>2370516</v>
      </c>
      <c r="C2029" s="2" t="s">
        <v>573</v>
      </c>
      <c r="D2029" s="2" t="str">
        <f t="shared" si="30"/>
        <v>Error?</v>
      </c>
    </row>
    <row r="2030" spans="1:4" x14ac:dyDescent="0.2">
      <c r="A2030" s="5">
        <v>1969</v>
      </c>
      <c r="B2030" s="138">
        <f>'Cap Outlay Deprec 26'!F13</f>
        <v>3224989</v>
      </c>
      <c r="C2030" s="2" t="s">
        <v>573</v>
      </c>
      <c r="D2030" s="2" t="str">
        <f t="shared" si="30"/>
        <v>Error?</v>
      </c>
    </row>
    <row r="2031" spans="1:4" x14ac:dyDescent="0.2">
      <c r="A2031" s="5">
        <v>1970</v>
      </c>
      <c r="B2031" s="138">
        <f>'Cap Outlay Deprec 26'!F16</f>
        <v>14967631</v>
      </c>
      <c r="C2031" s="2" t="s">
        <v>573</v>
      </c>
      <c r="D2031" s="2" t="str">
        <f t="shared" si="30"/>
        <v>Error?</v>
      </c>
    </row>
    <row r="2032" spans="1:4" x14ac:dyDescent="0.2">
      <c r="A2032" s="10">
        <v>1971</v>
      </c>
      <c r="D2032" s="2" t="str">
        <f t="shared" si="30"/>
        <v>OK</v>
      </c>
    </row>
    <row r="2033" spans="1:4" x14ac:dyDescent="0.2">
      <c r="A2033" s="5">
        <v>1972</v>
      </c>
      <c r="B2033" s="138">
        <f>'Cap Outlay Deprec 26'!H8</f>
        <v>4544673</v>
      </c>
      <c r="D2033" s="2" t="str">
        <f t="shared" si="30"/>
        <v>Error?</v>
      </c>
    </row>
    <row r="2034" spans="1:4" x14ac:dyDescent="0.2">
      <c r="A2034" s="5">
        <v>1973</v>
      </c>
      <c r="B2034" s="138">
        <f>'Cap Outlay Deprec 26'!H10</f>
        <v>162440</v>
      </c>
      <c r="D2034" s="2" t="str">
        <f t="shared" si="30"/>
        <v>Error?</v>
      </c>
    </row>
    <row r="2035" spans="1:4" x14ac:dyDescent="0.2">
      <c r="A2035" s="5">
        <v>1974</v>
      </c>
      <c r="B2035" s="138">
        <f>'Cap Outlay Deprec 26'!H12</f>
        <v>2191457</v>
      </c>
      <c r="D2035" s="2" t="str">
        <f t="shared" si="30"/>
        <v>Error?</v>
      </c>
    </row>
    <row r="2036" spans="1:4" x14ac:dyDescent="0.2">
      <c r="A2036" s="5">
        <v>1975</v>
      </c>
      <c r="B2036" s="138">
        <f>'Cap Outlay Deprec 26'!H13</f>
        <v>2606004</v>
      </c>
      <c r="D2036" s="2" t="str">
        <f t="shared" si="30"/>
        <v>Error?</v>
      </c>
    </row>
    <row r="2037" spans="1:4" x14ac:dyDescent="0.2">
      <c r="A2037" s="5">
        <v>1976</v>
      </c>
      <c r="B2037" s="138">
        <f>'Cap Outlay Deprec 26'!H16</f>
        <v>9661418</v>
      </c>
      <c r="C2037" s="2" t="s">
        <v>573</v>
      </c>
      <c r="D2037" s="2" t="str">
        <f t="shared" si="30"/>
        <v>Error?</v>
      </c>
    </row>
    <row r="2038" spans="1:4" x14ac:dyDescent="0.2">
      <c r="A2038" s="10">
        <v>1977</v>
      </c>
      <c r="D2038" s="2" t="str">
        <f t="shared" si="30"/>
        <v>OK</v>
      </c>
    </row>
    <row r="2039" spans="1:4" x14ac:dyDescent="0.2">
      <c r="A2039" s="5">
        <v>1978</v>
      </c>
      <c r="B2039" s="138">
        <f>'Cap Outlay Deprec 26'!I8</f>
        <v>177188</v>
      </c>
      <c r="D2039" s="2" t="str">
        <f t="shared" si="30"/>
        <v>Error?</v>
      </c>
    </row>
    <row r="2040" spans="1:4" x14ac:dyDescent="0.2">
      <c r="A2040" s="5">
        <v>1979</v>
      </c>
      <c r="B2040" s="138">
        <f>'Cap Outlay Deprec 26'!I10</f>
        <v>3560</v>
      </c>
      <c r="D2040" s="2" t="str">
        <f t="shared" si="30"/>
        <v>Error?</v>
      </c>
    </row>
    <row r="2041" spans="1:4" x14ac:dyDescent="0.2">
      <c r="A2041" s="5">
        <v>1980</v>
      </c>
      <c r="B2041" s="138">
        <f>'Cap Outlay Deprec 26'!I12</f>
        <v>21105</v>
      </c>
      <c r="D2041" s="2" t="str">
        <f t="shared" si="30"/>
        <v>Error?</v>
      </c>
    </row>
    <row r="2042" spans="1:4" x14ac:dyDescent="0.2">
      <c r="A2042" s="5">
        <v>1981</v>
      </c>
      <c r="B2042" s="138">
        <f>'Cap Outlay Deprec 26'!I13</f>
        <v>262841</v>
      </c>
      <c r="D2042" s="2" t="str">
        <f t="shared" si="30"/>
        <v>Error?</v>
      </c>
    </row>
    <row r="2043" spans="1:4" x14ac:dyDescent="0.2">
      <c r="A2043" s="5">
        <v>1982</v>
      </c>
      <c r="B2043" s="138">
        <f>'Cap Outlay Deprec 26'!I16</f>
        <v>467869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4721861</v>
      </c>
      <c r="C2051" s="2" t="s">
        <v>573</v>
      </c>
      <c r="D2051" s="2" t="str">
        <f t="shared" si="31"/>
        <v>Error?</v>
      </c>
    </row>
    <row r="2052" spans="1:4" x14ac:dyDescent="0.2">
      <c r="A2052" s="5">
        <v>1991</v>
      </c>
      <c r="B2052" s="138">
        <f>'Cap Outlay Deprec 26'!K10</f>
        <v>166000</v>
      </c>
      <c r="C2052" s="2" t="s">
        <v>573</v>
      </c>
      <c r="D2052" s="2" t="str">
        <f t="shared" si="31"/>
        <v>Error?</v>
      </c>
    </row>
    <row r="2053" spans="1:4" x14ac:dyDescent="0.2">
      <c r="A2053" s="5">
        <v>1992</v>
      </c>
      <c r="B2053" s="138">
        <f>'Cap Outlay Deprec 26'!K12</f>
        <v>2212562</v>
      </c>
      <c r="C2053" s="2" t="s">
        <v>573</v>
      </c>
      <c r="D2053" s="2" t="str">
        <f t="shared" si="31"/>
        <v>Error?</v>
      </c>
    </row>
    <row r="2054" spans="1:4" x14ac:dyDescent="0.2">
      <c r="A2054" s="5">
        <v>1993</v>
      </c>
      <c r="B2054" s="138">
        <f>'Cap Outlay Deprec 26'!K13</f>
        <v>2868845</v>
      </c>
      <c r="C2054" s="2" t="s">
        <v>573</v>
      </c>
      <c r="D2054" s="2" t="str">
        <f t="shared" si="31"/>
        <v>Error?</v>
      </c>
    </row>
    <row r="2055" spans="1:4" x14ac:dyDescent="0.2">
      <c r="A2055" s="5">
        <v>1994</v>
      </c>
      <c r="B2055" s="138">
        <f>'Cap Outlay Deprec 26'!K16</f>
        <v>10129287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4171773</v>
      </c>
      <c r="C2057" s="2" t="s">
        <v>573</v>
      </c>
      <c r="D2057" s="2" t="str">
        <f t="shared" si="31"/>
        <v>Error?</v>
      </c>
    </row>
    <row r="2058" spans="1:4" x14ac:dyDescent="0.2">
      <c r="A2058" s="5">
        <v>1997</v>
      </c>
      <c r="B2058" s="138">
        <f>'Cap Outlay Deprec 26'!L10</f>
        <v>8406</v>
      </c>
      <c r="C2058" s="2" t="s">
        <v>573</v>
      </c>
      <c r="D2058" s="2" t="str">
        <f t="shared" si="31"/>
        <v>Error?</v>
      </c>
    </row>
    <row r="2059" spans="1:4" x14ac:dyDescent="0.2">
      <c r="A2059" s="5">
        <v>1998</v>
      </c>
      <c r="B2059" s="138">
        <f>'Cap Outlay Deprec 26'!L12</f>
        <v>157954</v>
      </c>
      <c r="C2059" s="2" t="s">
        <v>573</v>
      </c>
      <c r="D2059" s="2" t="str">
        <f t="shared" si="31"/>
        <v>Error?</v>
      </c>
    </row>
    <row r="2060" spans="1:4" x14ac:dyDescent="0.2">
      <c r="A2060" s="5">
        <v>1999</v>
      </c>
      <c r="B2060" s="138">
        <f>'Cap Outlay Deprec 26'!L13</f>
        <v>356144</v>
      </c>
      <c r="C2060" s="2" t="s">
        <v>573</v>
      </c>
      <c r="D2060" s="2" t="str">
        <f t="shared" si="31"/>
        <v>Error?</v>
      </c>
    </row>
    <row r="2061" spans="1:4" x14ac:dyDescent="0.2">
      <c r="A2061" s="5">
        <v>2000</v>
      </c>
      <c r="B2061" s="138">
        <f>'Cap Outlay Deprec 26'!L16</f>
        <v>4838344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113801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128596</v>
      </c>
      <c r="C2088" s="2" t="s">
        <v>573</v>
      </c>
      <c r="D2088" s="2" t="str">
        <f t="shared" si="31"/>
        <v>Error?</v>
      </c>
    </row>
    <row r="2089" spans="1:4" x14ac:dyDescent="0.2">
      <c r="A2089" s="5">
        <v>2028</v>
      </c>
      <c r="B2089" s="138">
        <f>'Expenditures 15-22'!K92</f>
        <v>127731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41540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5891902</v>
      </c>
      <c r="C2551" s="2" t="s">
        <v>573</v>
      </c>
      <c r="D2551" s="2" t="str">
        <f t="shared" si="38"/>
        <v>Error?</v>
      </c>
    </row>
    <row r="2552" spans="1:4" x14ac:dyDescent="0.2">
      <c r="A2552" s="10">
        <v>2491</v>
      </c>
      <c r="D2552" s="2" t="str">
        <f t="shared" si="38"/>
        <v>OK</v>
      </c>
    </row>
    <row r="2553" spans="1:4" x14ac:dyDescent="0.2">
      <c r="A2553" s="5">
        <v>2492</v>
      </c>
      <c r="B2553" s="138">
        <f>'Acct Summary 7-8'!C6</f>
        <v>2720784</v>
      </c>
      <c r="C2553" s="2" t="s">
        <v>573</v>
      </c>
      <c r="D2553" s="2" t="str">
        <f t="shared" si="38"/>
        <v>Error?</v>
      </c>
    </row>
    <row r="2554" spans="1:4" x14ac:dyDescent="0.2">
      <c r="A2554" s="5">
        <v>2493</v>
      </c>
      <c r="B2554" s="138">
        <f>'Acct Summary 7-8'!C7</f>
        <v>900695</v>
      </c>
      <c r="C2554" s="2" t="s">
        <v>573</v>
      </c>
      <c r="D2554" s="2" t="str">
        <f t="shared" si="38"/>
        <v>Error?</v>
      </c>
    </row>
    <row r="2555" spans="1:4" x14ac:dyDescent="0.2">
      <c r="A2555" s="5">
        <v>2494</v>
      </c>
      <c r="B2555" s="138">
        <f>'Acct Summary 7-8'!C8</f>
        <v>9548664</v>
      </c>
      <c r="C2555" s="2" t="s">
        <v>573</v>
      </c>
      <c r="D2555" s="2" t="str">
        <f t="shared" si="38"/>
        <v>Error?</v>
      </c>
    </row>
    <row r="2556" spans="1:4" x14ac:dyDescent="0.2">
      <c r="A2556" s="5">
        <v>2495</v>
      </c>
      <c r="B2556" s="138">
        <f>'Acct Summary 7-8'!C12</f>
        <v>6168047</v>
      </c>
      <c r="C2556" s="2" t="s">
        <v>573</v>
      </c>
      <c r="D2556" s="2" t="str">
        <f t="shared" si="38"/>
        <v>Error?</v>
      </c>
    </row>
    <row r="2557" spans="1:4" x14ac:dyDescent="0.2">
      <c r="A2557" s="5">
        <v>2496</v>
      </c>
      <c r="B2557" s="138">
        <f>'Acct Summary 7-8'!C13</f>
        <v>2005313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352966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8526326</v>
      </c>
      <c r="C2561" s="2" t="s">
        <v>573</v>
      </c>
      <c r="D2561" s="2" t="str">
        <f t="shared" si="39"/>
        <v>Error?</v>
      </c>
    </row>
    <row r="2562" spans="1:4" x14ac:dyDescent="0.2">
      <c r="A2562" s="5">
        <v>2501</v>
      </c>
      <c r="B2562" s="138">
        <f>'Acct Summary 7-8'!C20</f>
        <v>1022338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702501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702501</v>
      </c>
      <c r="C2568" s="2" t="s">
        <v>573</v>
      </c>
      <c r="D2568" s="2" t="str">
        <f t="shared" si="39"/>
        <v>Error?</v>
      </c>
    </row>
    <row r="2569" spans="1:4" x14ac:dyDescent="0.2">
      <c r="A2569" s="5">
        <v>2508</v>
      </c>
      <c r="B2569" s="138">
        <f>'Acct Summary 7-8'!D13</f>
        <v>713789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713789</v>
      </c>
      <c r="C2573" s="2" t="s">
        <v>573</v>
      </c>
      <c r="D2573" s="2" t="str">
        <f t="shared" si="39"/>
        <v>Error?</v>
      </c>
    </row>
    <row r="2574" spans="1:4" x14ac:dyDescent="0.2">
      <c r="A2574" s="5">
        <v>2513</v>
      </c>
      <c r="B2574" s="138">
        <f>'Acct Summary 7-8'!D20</f>
        <v>-11288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440710</v>
      </c>
      <c r="C2591" s="2" t="s">
        <v>573</v>
      </c>
      <c r="D2591" s="2" t="str">
        <f t="shared" si="39"/>
        <v>Error?</v>
      </c>
    </row>
    <row r="2592" spans="1:4" x14ac:dyDescent="0.2">
      <c r="A2592" s="10">
        <v>2531</v>
      </c>
      <c r="D2592" s="2" t="str">
        <f t="shared" si="39"/>
        <v>OK</v>
      </c>
    </row>
    <row r="2593" spans="1:4" x14ac:dyDescent="0.2">
      <c r="A2593" s="5">
        <v>2532</v>
      </c>
      <c r="B2593" s="138">
        <f>'Acct Summary 7-8'!F6</f>
        <v>274233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714943</v>
      </c>
      <c r="C2595" s="2" t="s">
        <v>573</v>
      </c>
      <c r="D2595" s="2" t="str">
        <f t="shared" si="39"/>
        <v>Error?</v>
      </c>
    </row>
    <row r="2596" spans="1:4" x14ac:dyDescent="0.2">
      <c r="A2596" s="5">
        <v>2535</v>
      </c>
      <c r="B2596" s="138">
        <f>'Acct Summary 7-8'!F13</f>
        <v>619803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619803</v>
      </c>
      <c r="C2600" s="2" t="s">
        <v>573</v>
      </c>
      <c r="D2600" s="2" t="str">
        <f t="shared" si="39"/>
        <v>Error?</v>
      </c>
    </row>
    <row r="2601" spans="1:4" x14ac:dyDescent="0.2">
      <c r="A2601" s="5">
        <v>2540</v>
      </c>
      <c r="B2601" s="138">
        <f>'Acct Summary 7-8'!F20</f>
        <v>95140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479812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479812</v>
      </c>
      <c r="C2606" s="2" t="s">
        <v>573</v>
      </c>
      <c r="D2606" s="2" t="str">
        <f t="shared" si="39"/>
        <v>Error?</v>
      </c>
    </row>
    <row r="2607" spans="1:4" x14ac:dyDescent="0.2">
      <c r="A2607" s="5">
        <v>2546</v>
      </c>
      <c r="B2607" s="138">
        <f>'Acct Summary 7-8'!G12</f>
        <v>190016</v>
      </c>
      <c r="C2607" s="2" t="s">
        <v>573</v>
      </c>
      <c r="D2607" s="2" t="str">
        <f t="shared" si="39"/>
        <v>Error?</v>
      </c>
    </row>
    <row r="2608" spans="1:4" x14ac:dyDescent="0.2">
      <c r="A2608" s="5">
        <v>2547</v>
      </c>
      <c r="B2608" s="138">
        <f>'Acct Summary 7-8'!G13</f>
        <v>224348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414364</v>
      </c>
      <c r="C2612" s="2" t="s">
        <v>573</v>
      </c>
      <c r="D2612" s="2" t="str">
        <f t="shared" si="39"/>
        <v>Error?</v>
      </c>
    </row>
    <row r="2613" spans="1:4" x14ac:dyDescent="0.2">
      <c r="A2613" s="5">
        <v>2552</v>
      </c>
      <c r="B2613" s="138">
        <f>'Acct Summary 7-8'!G20</f>
        <v>65448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140614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140614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137531</v>
      </c>
      <c r="C2634" s="2" t="s">
        <v>573</v>
      </c>
      <c r="D2634" s="2" t="str">
        <f t="shared" si="40"/>
        <v>Error?</v>
      </c>
    </row>
    <row r="2635" spans="1:4" x14ac:dyDescent="0.2">
      <c r="A2635" s="5">
        <v>2574</v>
      </c>
      <c r="B2635" s="138">
        <f>'Acct Summary 7-8'!E17</f>
        <v>137531</v>
      </c>
      <c r="C2635" s="2" t="s">
        <v>573</v>
      </c>
      <c r="D2635" s="2" t="str">
        <f t="shared" si="40"/>
        <v>Error?</v>
      </c>
    </row>
    <row r="2636" spans="1:4" x14ac:dyDescent="0.2">
      <c r="A2636" s="5">
        <v>2575</v>
      </c>
      <c r="B2636" s="138">
        <f>'Acct Summary 7-8'!E20</f>
        <v>3083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14795</v>
      </c>
      <c r="C2789" s="2" t="s">
        <v>573</v>
      </c>
      <c r="D2789" s="2" t="str">
        <f t="shared" si="42"/>
        <v>Error?</v>
      </c>
    </row>
    <row r="2790" spans="1:4" x14ac:dyDescent="0.2">
      <c r="A2790" s="5">
        <v>2729</v>
      </c>
      <c r="B2790" s="138">
        <f>'Expenditures 15-22'!E102</f>
        <v>14795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281527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179487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281527</v>
      </c>
      <c r="D2912" s="2" t="str">
        <f t="shared" si="44"/>
        <v>Error?</v>
      </c>
    </row>
    <row r="2913" spans="1:4" x14ac:dyDescent="0.2">
      <c r="A2913" s="5">
        <v>2852</v>
      </c>
      <c r="B2913" s="138">
        <f>'Assets-Liab 5-6'!I41</f>
        <v>281527</v>
      </c>
      <c r="C2913" s="2" t="s">
        <v>573</v>
      </c>
      <c r="D2913" s="2" t="str">
        <f t="shared" si="44"/>
        <v>Error?</v>
      </c>
    </row>
    <row r="2914" spans="1:4" x14ac:dyDescent="0.2">
      <c r="A2914" s="5">
        <v>2853</v>
      </c>
      <c r="B2914" s="138">
        <f>'Assets-Liab 5-6'!L33</f>
        <v>99334</v>
      </c>
      <c r="D2914" s="2" t="str">
        <f t="shared" si="44"/>
        <v>Error?</v>
      </c>
    </row>
    <row r="2915" spans="1:4" x14ac:dyDescent="0.2">
      <c r="A2915" s="10">
        <v>2854</v>
      </c>
      <c r="D2915" s="2" t="str">
        <f t="shared" si="44"/>
        <v>OK</v>
      </c>
    </row>
    <row r="2916" spans="1:4" x14ac:dyDescent="0.2">
      <c r="A2916" s="5">
        <v>2855</v>
      </c>
      <c r="B2916" s="138">
        <f>'Assets-Liab 5-6'!L34</f>
        <v>99334</v>
      </c>
      <c r="C2916" s="2" t="s">
        <v>573</v>
      </c>
      <c r="D2916" s="2" t="str">
        <f t="shared" si="44"/>
        <v>Error?</v>
      </c>
    </row>
    <row r="2917" spans="1:4" x14ac:dyDescent="0.2">
      <c r="A2917" s="5">
        <v>2856</v>
      </c>
      <c r="B2917" s="138">
        <f>'Assets-Liab 5-6'!L41</f>
        <v>179487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14795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113801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128596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229176</v>
      </c>
      <c r="D3055" s="2" t="str">
        <f t="shared" si="46"/>
        <v>Error?</v>
      </c>
    </row>
    <row r="3056" spans="1:4" x14ac:dyDescent="0.2">
      <c r="A3056" s="5">
        <v>2995</v>
      </c>
      <c r="B3056" s="138">
        <f>'Expenditures 15-22'!D10</f>
        <v>95637</v>
      </c>
      <c r="D3056" s="2" t="str">
        <f t="shared" si="46"/>
        <v>Error?</v>
      </c>
    </row>
    <row r="3057" spans="1:4" x14ac:dyDescent="0.2">
      <c r="A3057" s="5">
        <v>2996</v>
      </c>
      <c r="B3057" s="138">
        <f>'Expenditures 15-22'!E10</f>
        <v>27617</v>
      </c>
      <c r="D3057" s="2" t="str">
        <f t="shared" si="46"/>
        <v>Error?</v>
      </c>
    </row>
    <row r="3058" spans="1:4" x14ac:dyDescent="0.2">
      <c r="A3058" s="5">
        <v>2997</v>
      </c>
      <c r="B3058" s="138">
        <f>'Expenditures 15-22'!F10</f>
        <v>38445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390875</v>
      </c>
      <c r="C3062" s="2" t="s">
        <v>573</v>
      </c>
      <c r="D3062" s="2" t="str">
        <f t="shared" si="46"/>
        <v>Error?</v>
      </c>
    </row>
    <row r="3063" spans="1:4" x14ac:dyDescent="0.2">
      <c r="A3063" s="10">
        <v>3002</v>
      </c>
      <c r="D3063" s="2" t="str">
        <f t="shared" si="46"/>
        <v>OK</v>
      </c>
    </row>
    <row r="3064" spans="1:4" x14ac:dyDescent="0.2">
      <c r="A3064" s="5">
        <v>3003</v>
      </c>
      <c r="B3064" s="138">
        <f>'Expenditures 15-22'!D219</f>
        <v>3212</v>
      </c>
      <c r="D3064" s="2" t="str">
        <f t="shared" si="46"/>
        <v>Error?</v>
      </c>
    </row>
    <row r="3065" spans="1:4" x14ac:dyDescent="0.2">
      <c r="A3065" s="5">
        <v>3004</v>
      </c>
      <c r="B3065" s="138">
        <f>'Expenditures 15-22'!K219</f>
        <v>3212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80153</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125071</v>
      </c>
      <c r="C3225" s="2" t="s">
        <v>573</v>
      </c>
      <c r="D3225" s="2" t="str">
        <f t="shared" si="49"/>
        <v>Error?</v>
      </c>
    </row>
    <row r="3226" spans="1:4" x14ac:dyDescent="0.2">
      <c r="A3226" s="5">
        <v>3165</v>
      </c>
      <c r="B3226" s="138">
        <f>'Acct Summary 7-8'!I8</f>
        <v>125071</v>
      </c>
      <c r="C3226" s="2" t="s">
        <v>573</v>
      </c>
      <c r="D3226" s="2" t="str">
        <f t="shared" si="49"/>
        <v>Error?</v>
      </c>
    </row>
    <row r="3227" spans="1:4" x14ac:dyDescent="0.2">
      <c r="A3227" s="5">
        <v>3166</v>
      </c>
      <c r="B3227" s="138">
        <f>'Acct Summary 7-8'!I20</f>
        <v>125071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1022338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-11288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95140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65448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3083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125071</v>
      </c>
      <c r="C3320" s="2" t="s">
        <v>573</v>
      </c>
      <c r="D3320" s="2" t="str">
        <f t="shared" si="50"/>
        <v>Error?</v>
      </c>
    </row>
    <row r="3321" spans="1:4" x14ac:dyDescent="0.2">
      <c r="A3321" s="5">
        <v>3260</v>
      </c>
      <c r="B3321" s="138">
        <f>'Acct Summary 7-8'!I79</f>
        <v>156456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281527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970178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203304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9030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1182512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42463</v>
      </c>
      <c r="D3387" s="2" t="str">
        <f t="shared" si="51"/>
        <v>Error?</v>
      </c>
    </row>
    <row r="3388" spans="1:4" x14ac:dyDescent="0.2">
      <c r="A3388" s="5">
        <v>3327</v>
      </c>
      <c r="B3388" s="138">
        <f>'Expenditures 15-22'!D217</f>
        <v>81863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42463</v>
      </c>
      <c r="C3390" s="2" t="s">
        <v>573</v>
      </c>
      <c r="D3390" s="2" t="str">
        <f t="shared" si="51"/>
        <v>Error?</v>
      </c>
    </row>
    <row r="3391" spans="1:4" x14ac:dyDescent="0.2">
      <c r="A3391" s="5">
        <v>3330</v>
      </c>
      <c r="B3391" s="138">
        <f>'Expenditures 15-22'!K217</f>
        <v>81863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35283</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1672541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98784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65779</v>
      </c>
      <c r="D3417" s="2" t="str">
        <f t="shared" si="52"/>
        <v>Error?</v>
      </c>
    </row>
    <row r="3418" spans="1:4" x14ac:dyDescent="0.2">
      <c r="A3418" s="10">
        <v>3357</v>
      </c>
      <c r="D3418" s="2" t="str">
        <f t="shared" si="52"/>
        <v>OK</v>
      </c>
    </row>
    <row r="3419" spans="1:4" x14ac:dyDescent="0.2">
      <c r="A3419" s="5">
        <v>3358</v>
      </c>
      <c r="B3419" s="138">
        <f>'Assets-Liab 5-6'!F4</f>
        <v>446106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251996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281527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179487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463303</v>
      </c>
      <c r="C3446" s="2" t="s">
        <v>573</v>
      </c>
      <c r="D3446" s="2" t="str">
        <f t="shared" si="52"/>
        <v>Error?</v>
      </c>
    </row>
    <row r="3447" spans="1:4" x14ac:dyDescent="0.2">
      <c r="A3447" s="5">
        <v>3386</v>
      </c>
      <c r="B3447" s="138">
        <f>'Tax Sched 23'!D16</f>
        <v>463303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476719.56771519996</v>
      </c>
      <c r="C3449" s="2" t="s">
        <v>573</v>
      </c>
      <c r="D3449" s="2" t="str">
        <f t="shared" si="52"/>
        <v>Error?</v>
      </c>
    </row>
    <row r="3450" spans="1:4" x14ac:dyDescent="0.2">
      <c r="A3450" s="5">
        <v>3389</v>
      </c>
      <c r="B3450" s="138">
        <f>'Tax Sched 23'!E16</f>
        <v>476719.56771519996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597244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597244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597244</v>
      </c>
      <c r="D3567" s="2" t="str">
        <f t="shared" si="54"/>
        <v>Error?</v>
      </c>
    </row>
    <row r="3568" spans="1:4" x14ac:dyDescent="0.2">
      <c r="A3568" s="5">
        <v>3507</v>
      </c>
      <c r="B3568" s="138">
        <f>'Assets-Liab 5-6'!K41</f>
        <v>597244</v>
      </c>
      <c r="C3568" s="2" t="s">
        <v>573</v>
      </c>
      <c r="D3568" s="2" t="str">
        <f t="shared" si="54"/>
        <v>Error?</v>
      </c>
    </row>
    <row r="3569" spans="1:4" x14ac:dyDescent="0.2">
      <c r="A3569" s="5">
        <v>3508</v>
      </c>
      <c r="B3569" s="138">
        <f>'Acct Summary 7-8'!K4</f>
        <v>129286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129286</v>
      </c>
      <c r="C3571" s="2" t="s">
        <v>573</v>
      </c>
      <c r="D3571" s="2" t="str">
        <f t="shared" si="54"/>
        <v>Error?</v>
      </c>
    </row>
    <row r="3572" spans="1:4" x14ac:dyDescent="0.2">
      <c r="A3572" s="5">
        <v>3511</v>
      </c>
      <c r="B3572" s="138">
        <f>'Acct Summary 7-8'!K13</f>
        <v>68428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68428</v>
      </c>
      <c r="C3575" s="2" t="s">
        <v>573</v>
      </c>
      <c r="D3575" s="2" t="str">
        <f t="shared" si="54"/>
        <v>Error?</v>
      </c>
    </row>
    <row r="3576" spans="1:4" x14ac:dyDescent="0.2">
      <c r="A3576" s="5">
        <v>3515</v>
      </c>
      <c r="B3576" s="138">
        <f>'Acct Summary 7-8'!K20</f>
        <v>60858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60858</v>
      </c>
      <c r="C3588" s="2" t="s">
        <v>573</v>
      </c>
      <c r="D3588" s="2" t="str">
        <f t="shared" si="55"/>
        <v>Error?</v>
      </c>
    </row>
    <row r="3589" spans="1:4" x14ac:dyDescent="0.2">
      <c r="A3589" s="5">
        <v>3528</v>
      </c>
      <c r="B3589" s="138">
        <f>'Acct Summary 7-8'!K79</f>
        <v>536386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597244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68428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68428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68428</v>
      </c>
      <c r="C3649" s="2" t="s">
        <v>573</v>
      </c>
      <c r="D3649" s="2" t="str">
        <f t="shared" si="56"/>
        <v>Error?</v>
      </c>
    </row>
    <row r="3650" spans="1:4" x14ac:dyDescent="0.2">
      <c r="A3650" s="5">
        <v>3589</v>
      </c>
      <c r="B3650" s="138">
        <f>'Expenditures 15-22'!G367</f>
        <v>68428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68428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68428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68428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68428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60858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121819</v>
      </c>
      <c r="C3725" s="2" t="s">
        <v>573</v>
      </c>
      <c r="D3725" s="2" t="str">
        <f t="shared" si="57"/>
        <v>Error?</v>
      </c>
    </row>
    <row r="3726" spans="1:4" x14ac:dyDescent="0.2">
      <c r="A3726" s="5">
        <v>3665</v>
      </c>
      <c r="B3726" s="138">
        <f>'Tax Sched 23'!D13</f>
        <v>121819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123939</v>
      </c>
      <c r="C3728" s="2" t="s">
        <v>573</v>
      </c>
      <c r="D3728" s="2" t="str">
        <f t="shared" si="57"/>
        <v>Error?</v>
      </c>
    </row>
    <row r="3729" spans="1:4" x14ac:dyDescent="0.2">
      <c r="A3729" s="5">
        <v>3668</v>
      </c>
      <c r="B3729" s="138">
        <f>'Tax Sched 23'!E13</f>
        <v>123939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3816364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13365028</v>
      </c>
      <c r="C4122" s="2" t="s">
        <v>573</v>
      </c>
      <c r="D4122" s="2" t="str">
        <f t="shared" si="63"/>
        <v>Error?</v>
      </c>
    </row>
    <row r="4123" spans="1:4" x14ac:dyDescent="0.2">
      <c r="A4123" s="5">
        <v>4062</v>
      </c>
      <c r="B4123" s="138">
        <f>'Acct Summary 7-8'!D10</f>
        <v>702501</v>
      </c>
      <c r="C4123" s="2" t="s">
        <v>573</v>
      </c>
      <c r="D4123" s="2" t="str">
        <f t="shared" si="63"/>
        <v>Error?</v>
      </c>
    </row>
    <row r="4124" spans="1:4" x14ac:dyDescent="0.2">
      <c r="A4124" s="5">
        <v>4063</v>
      </c>
      <c r="B4124" s="138">
        <f>'Acct Summary 7-8'!E10</f>
        <v>140614</v>
      </c>
      <c r="C4124" s="2" t="s">
        <v>573</v>
      </c>
      <c r="D4124" s="2" t="str">
        <f t="shared" si="63"/>
        <v>Error?</v>
      </c>
    </row>
    <row r="4125" spans="1:4" x14ac:dyDescent="0.2">
      <c r="A4125" s="5">
        <v>4064</v>
      </c>
      <c r="B4125" s="138">
        <f>'Acct Summary 7-8'!F10</f>
        <v>714943</v>
      </c>
      <c r="C4125" s="2" t="s">
        <v>573</v>
      </c>
      <c r="D4125" s="2" t="str">
        <f t="shared" si="63"/>
        <v>Error?</v>
      </c>
    </row>
    <row r="4126" spans="1:4" x14ac:dyDescent="0.2">
      <c r="A4126" s="5">
        <v>4065</v>
      </c>
      <c r="B4126" s="138">
        <f>'Acct Summary 7-8'!G10</f>
        <v>479812</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125071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129286</v>
      </c>
      <c r="C4130" s="2" t="s">
        <v>573</v>
      </c>
      <c r="D4130" s="2" t="str">
        <f t="shared" si="63"/>
        <v>Error?</v>
      </c>
    </row>
    <row r="4131" spans="1:4" x14ac:dyDescent="0.2">
      <c r="A4131" s="5">
        <v>4070</v>
      </c>
      <c r="B4131" s="138">
        <f>'Acct Summary 7-8'!C18</f>
        <v>3816364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12342690</v>
      </c>
      <c r="C4136" s="2" t="s">
        <v>573</v>
      </c>
      <c r="D4136" s="2" t="str">
        <f t="shared" si="63"/>
        <v>Error?</v>
      </c>
    </row>
    <row r="4137" spans="1:4" x14ac:dyDescent="0.2">
      <c r="A4137" s="5">
        <v>4076</v>
      </c>
      <c r="B4137" s="138">
        <f>'Acct Summary 7-8'!D19</f>
        <v>713789</v>
      </c>
      <c r="C4137" s="2" t="s">
        <v>573</v>
      </c>
      <c r="D4137" s="2" t="str">
        <f t="shared" si="63"/>
        <v>Error?</v>
      </c>
    </row>
    <row r="4138" spans="1:4" x14ac:dyDescent="0.2">
      <c r="A4138" s="5">
        <v>4077</v>
      </c>
      <c r="B4138" s="138">
        <f>'Acct Summary 7-8'!E19</f>
        <v>137531</v>
      </c>
      <c r="C4138" s="2" t="s">
        <v>573</v>
      </c>
      <c r="D4138" s="2" t="str">
        <f t="shared" si="63"/>
        <v>Error?</v>
      </c>
    </row>
    <row r="4139" spans="1:4" x14ac:dyDescent="0.2">
      <c r="A4139" s="5">
        <v>4078</v>
      </c>
      <c r="B4139" s="138">
        <f>'Acct Summary 7-8'!F19</f>
        <v>619803</v>
      </c>
      <c r="C4139" s="2" t="s">
        <v>573</v>
      </c>
      <c r="D4139" s="2" t="str">
        <f t="shared" si="63"/>
        <v>Error?</v>
      </c>
    </row>
    <row r="4140" spans="1:4" x14ac:dyDescent="0.2">
      <c r="A4140" s="5">
        <v>4079</v>
      </c>
      <c r="B4140" s="138">
        <f>'Acct Summary 7-8'!G19</f>
        <v>414364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68428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135000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1917</v>
      </c>
    </row>
    <row r="4236" spans="1:5" x14ac:dyDescent="0.2">
      <c r="A4236" s="10">
        <v>4175</v>
      </c>
      <c r="D4236" s="2" t="str">
        <f t="shared" si="65"/>
        <v>OK</v>
      </c>
      <c r="E4236" s="4" t="s">
        <v>1917</v>
      </c>
    </row>
    <row r="4237" spans="1:5" x14ac:dyDescent="0.2">
      <c r="A4237" s="10">
        <v>4176</v>
      </c>
      <c r="D4237" s="2" t="str">
        <f t="shared" si="65"/>
        <v>OK</v>
      </c>
      <c r="E4237" s="4" t="s">
        <v>1917</v>
      </c>
    </row>
    <row r="4238" spans="1:5" x14ac:dyDescent="0.2">
      <c r="A4238" s="10">
        <v>4177</v>
      </c>
      <c r="D4238" s="2" t="str">
        <f t="shared" si="65"/>
        <v>OK</v>
      </c>
      <c r="E4238" s="4" t="s">
        <v>1917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2470</v>
      </c>
      <c r="C4268" s="2" t="s">
        <v>573</v>
      </c>
      <c r="D4268" s="2" t="str">
        <f t="shared" si="65"/>
        <v>Error?</v>
      </c>
    </row>
    <row r="4269" spans="1:5" x14ac:dyDescent="0.2">
      <c r="A4269" s="12">
        <v>4208</v>
      </c>
      <c r="B4269" s="138">
        <f>'FP Info 3'!J16</f>
        <v>2498958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5884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84047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15875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15875</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1917</v>
      </c>
    </row>
    <row r="4400" spans="1:5" x14ac:dyDescent="0.2">
      <c r="A4400" s="10">
        <v>4339</v>
      </c>
      <c r="D4400" s="2" t="str">
        <f t="shared" si="67"/>
        <v>OK</v>
      </c>
      <c r="E4400" s="4" t="s">
        <v>1917</v>
      </c>
    </row>
    <row r="4401" spans="1:5" x14ac:dyDescent="0.2">
      <c r="A4401" s="10">
        <v>4340</v>
      </c>
      <c r="D4401" s="2" t="str">
        <f t="shared" si="67"/>
        <v>OK</v>
      </c>
      <c r="E4401" s="4" t="s">
        <v>1917</v>
      </c>
    </row>
    <row r="4402" spans="1:5" x14ac:dyDescent="0.2">
      <c r="A4402" s="10">
        <v>4341</v>
      </c>
      <c r="D4402" s="2" t="str">
        <f t="shared" si="67"/>
        <v>OK</v>
      </c>
      <c r="E4402" s="4" t="s">
        <v>1917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32960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59611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247878311</v>
      </c>
      <c r="D4995" s="2" t="str">
        <f t="shared" si="77"/>
        <v>Error?</v>
      </c>
    </row>
    <row r="4996" spans="1:4" x14ac:dyDescent="0.2">
      <c r="A4996" s="12">
        <v>4935</v>
      </c>
      <c r="B4996" s="138">
        <f>'FP Info 3'!H31</f>
        <v>17103603.459000003</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121819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5051867</v>
      </c>
      <c r="D5061" s="2" t="str">
        <f t="shared" si="78"/>
        <v>Error?</v>
      </c>
    </row>
    <row r="5062" spans="1:4" x14ac:dyDescent="0.2">
      <c r="A5062" s="10">
        <v>5001</v>
      </c>
      <c r="D5062" s="2" t="str">
        <f t="shared" si="78"/>
        <v>OK</v>
      </c>
    </row>
    <row r="5063" spans="1:4" x14ac:dyDescent="0.2">
      <c r="A5063" s="5">
        <v>5002</v>
      </c>
      <c r="B5063" s="138">
        <f>'Revenues 9-14'!C7</f>
        <v>48728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5222414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301126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301126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24678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24678</v>
      </c>
      <c r="C5087" s="2" t="s">
        <v>573</v>
      </c>
      <c r="D5087" s="2" t="str">
        <f t="shared" si="78"/>
        <v>Error?</v>
      </c>
    </row>
    <row r="5088" spans="1:4" x14ac:dyDescent="0.2">
      <c r="A5088" s="5">
        <v>5027</v>
      </c>
      <c r="B5088" s="138">
        <f>'Revenues 9-14'!C65</f>
        <v>31021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31021</v>
      </c>
      <c r="C5090" s="2" t="s">
        <v>573</v>
      </c>
      <c r="D5090" s="2" t="str">
        <f t="shared" si="78"/>
        <v>Error?</v>
      </c>
    </row>
    <row r="5091" spans="1:4" x14ac:dyDescent="0.2">
      <c r="A5091" s="5">
        <v>5030</v>
      </c>
      <c r="B5091" s="138">
        <f>'Revenues 9-14'!C70</f>
        <v>29198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35127</v>
      </c>
      <c r="D5095" s="2" t="str">
        <f t="shared" si="78"/>
        <v>Error?</v>
      </c>
    </row>
    <row r="5096" spans="1:4" x14ac:dyDescent="0.2">
      <c r="A5096" s="5">
        <v>5035</v>
      </c>
      <c r="B5096" s="138">
        <f>'Revenues 9-14'!C75</f>
        <v>209155</v>
      </c>
      <c r="C5096" s="2" t="s">
        <v>573</v>
      </c>
      <c r="D5096" s="2" t="str">
        <f t="shared" si="78"/>
        <v>Error?</v>
      </c>
    </row>
    <row r="5097" spans="1:4" x14ac:dyDescent="0.2">
      <c r="A5097" s="5">
        <v>5036</v>
      </c>
      <c r="B5097" s="138">
        <f>'Revenues 9-14'!C77</f>
        <v>9448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19636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29084</v>
      </c>
      <c r="C5102" s="2" t="s">
        <v>573</v>
      </c>
      <c r="D5102" s="2" t="str">
        <f t="shared" si="78"/>
        <v>Error?</v>
      </c>
    </row>
    <row r="5103" spans="1:4" x14ac:dyDescent="0.2">
      <c r="A5103" s="5">
        <v>5042</v>
      </c>
      <c r="B5103" s="138">
        <f>'Revenues 9-14'!C84</f>
        <v>19635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19635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36256</v>
      </c>
      <c r="D5114" s="2" t="str">
        <f t="shared" si="78"/>
        <v>Error?</v>
      </c>
    </row>
    <row r="5115" spans="1:4" x14ac:dyDescent="0.2">
      <c r="A5115" s="5">
        <v>5054</v>
      </c>
      <c r="B5115" s="138">
        <f>'Revenues 9-14'!C98</f>
        <v>8041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3499</v>
      </c>
      <c r="D5118" s="2" t="str">
        <f t="shared" si="78"/>
        <v>Error?</v>
      </c>
    </row>
    <row r="5119" spans="1:4" x14ac:dyDescent="0.2">
      <c r="A5119" s="5">
        <v>5058</v>
      </c>
      <c r="B5119" s="138">
        <f>'Revenues 9-14'!C107</f>
        <v>3482</v>
      </c>
      <c r="D5119" s="2" t="str">
        <f t="shared" ref="D5119:D5182" si="79">IF(ISBLANK(B5119),"OK",IF(A5119-B5119=0,"OK","Error?"))</f>
        <v>Error?</v>
      </c>
    </row>
    <row r="5120" spans="1:4" x14ac:dyDescent="0.2">
      <c r="A5120" s="5">
        <v>5059</v>
      </c>
      <c r="B5120" s="138">
        <f>'Revenues 9-14'!C108</f>
        <v>54789</v>
      </c>
      <c r="C5120" s="2" t="s">
        <v>573</v>
      </c>
      <c r="D5120" s="2" t="str">
        <f t="shared" si="79"/>
        <v>Error?</v>
      </c>
    </row>
    <row r="5121" spans="1:4" x14ac:dyDescent="0.2">
      <c r="A5121" s="5">
        <v>5060</v>
      </c>
      <c r="B5121" s="138">
        <f>'Revenues 9-14'!C109</f>
        <v>5891902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35283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35283</v>
      </c>
      <c r="C5125" s="2" t="s">
        <v>573</v>
      </c>
      <c r="D5125" s="2" t="str">
        <f t="shared" si="79"/>
        <v>Error?</v>
      </c>
    </row>
    <row r="5126" spans="1:4" x14ac:dyDescent="0.2">
      <c r="A5126" s="5">
        <v>5065</v>
      </c>
      <c r="B5126" s="138">
        <f>'Revenues 9-14'!C117</f>
        <v>1825748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1825748</v>
      </c>
      <c r="C5132" s="2" t="s">
        <v>573</v>
      </c>
      <c r="D5132" s="2" t="str">
        <f t="shared" si="79"/>
        <v>Error?</v>
      </c>
    </row>
    <row r="5133" spans="1:4" x14ac:dyDescent="0.2">
      <c r="A5133" s="5">
        <v>5072</v>
      </c>
      <c r="B5133" s="138">
        <f>'Revenues 9-14'!C125</f>
        <v>41263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33553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74816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4258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815212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1917</v>
      </c>
    </row>
    <row r="5200" spans="1:5" x14ac:dyDescent="0.2">
      <c r="A5200" s="10">
        <v>5139</v>
      </c>
      <c r="D5200" s="2" t="str">
        <f t="shared" si="80"/>
        <v>OK</v>
      </c>
      <c r="E5200" s="4" t="s">
        <v>1917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895036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2720784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192525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50083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242608</v>
      </c>
      <c r="C5246" s="2" t="s">
        <v>573</v>
      </c>
      <c r="D5246" s="2" t="str">
        <f t="shared" si="80"/>
        <v>Error?</v>
      </c>
    </row>
    <row r="5247" spans="1:4" x14ac:dyDescent="0.2">
      <c r="A5247" s="5">
        <v>5186</v>
      </c>
      <c r="B5247" s="138">
        <f>'Revenues 9-14'!C200</f>
        <v>457114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1917</v>
      </c>
    </row>
    <row r="5255" spans="1:5" x14ac:dyDescent="0.2">
      <c r="A5255" s="5">
        <v>5194</v>
      </c>
      <c r="B5255" s="138">
        <f>'Revenues 9-14'!C202</f>
        <v>0</v>
      </c>
      <c r="D5255" s="2" t="str">
        <f t="shared" si="81"/>
        <v>Error?</v>
      </c>
    </row>
    <row r="5256" spans="1:5" x14ac:dyDescent="0.2">
      <c r="A5256" s="5">
        <v>5195</v>
      </c>
      <c r="B5256" s="138">
        <f>'Revenues 9-14'!C206</f>
        <v>32960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457114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2596</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2596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900695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900695</v>
      </c>
      <c r="C5326" s="2" t="s">
        <v>573</v>
      </c>
      <c r="D5326" s="2" t="str">
        <f t="shared" si="82"/>
        <v>Error?</v>
      </c>
    </row>
    <row r="5327" spans="1:5" x14ac:dyDescent="0.2">
      <c r="A5327" s="5">
        <v>5266</v>
      </c>
      <c r="B5327" s="138">
        <f>'Revenues 9-14'!C268</f>
        <v>9548664</v>
      </c>
      <c r="C5327" s="2" t="s">
        <v>573</v>
      </c>
      <c r="D5327" s="2" t="str">
        <f t="shared" si="82"/>
        <v>Error?</v>
      </c>
    </row>
    <row r="5328" spans="1:5" x14ac:dyDescent="0.2">
      <c r="A5328" s="5">
        <v>5267</v>
      </c>
      <c r="B5328" s="138">
        <f>'Revenues 9-14'!D5</f>
        <v>609098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609098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3421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82577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7405</v>
      </c>
      <c r="D5354" s="2" t="str">
        <f t="shared" si="82"/>
        <v>Error?</v>
      </c>
    </row>
    <row r="5355" spans="1:4" x14ac:dyDescent="0.2">
      <c r="A5355" s="5">
        <v>5294</v>
      </c>
      <c r="B5355" s="138">
        <f>'Revenues 9-14'!D108</f>
        <v>89982</v>
      </c>
      <c r="C5355" s="2" t="s">
        <v>573</v>
      </c>
      <c r="D5355" s="2" t="str">
        <f t="shared" si="82"/>
        <v>Error?</v>
      </c>
    </row>
    <row r="5356" spans="1:4" x14ac:dyDescent="0.2">
      <c r="A5356" s="5">
        <v>5295</v>
      </c>
      <c r="B5356" s="138">
        <f>'Revenues 9-14'!D109</f>
        <v>702501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702501</v>
      </c>
      <c r="C5508" s="2" t="s">
        <v>573</v>
      </c>
      <c r="D5508" s="2" t="str">
        <f t="shared" si="85"/>
        <v>Error?</v>
      </c>
    </row>
    <row r="5509" spans="1:4" x14ac:dyDescent="0.2">
      <c r="A5509" s="5">
        <v>5448</v>
      </c>
      <c r="B5509" s="138">
        <f>'Revenues 9-14'!E5</f>
        <v>138951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138951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1663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1663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140614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140614</v>
      </c>
      <c r="C5552" s="2" t="s">
        <v>573</v>
      </c>
      <c r="D5552" s="2" t="str">
        <f t="shared" si="85"/>
        <v>Error?</v>
      </c>
    </row>
    <row r="5553" spans="1:4" x14ac:dyDescent="0.2">
      <c r="A5553" s="5">
        <v>5492</v>
      </c>
      <c r="B5553" s="138">
        <f>'Revenues 9-14'!F5</f>
        <v>292368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292368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4656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137073</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141969</v>
      </c>
      <c r="C5579" s="2" t="s">
        <v>573</v>
      </c>
      <c r="D5579" s="2" t="str">
        <f t="shared" si="86"/>
        <v>Error?</v>
      </c>
    </row>
    <row r="5580" spans="1:4" x14ac:dyDescent="0.2">
      <c r="A5580" s="5">
        <v>5519</v>
      </c>
      <c r="B5580" s="138">
        <f>'Revenues 9-14'!F65</f>
        <v>5771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5771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602</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602</v>
      </c>
      <c r="C5587" s="2" t="s">
        <v>573</v>
      </c>
      <c r="D5587" s="2" t="str">
        <f t="shared" si="86"/>
        <v>Error?</v>
      </c>
    </row>
    <row r="5588" spans="1:4" x14ac:dyDescent="0.2">
      <c r="A5588" s="5">
        <v>5527</v>
      </c>
      <c r="B5588" s="138">
        <f>'Revenues 9-14'!F109</f>
        <v>440710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42162</v>
      </c>
      <c r="D5615" s="2" t="str">
        <f t="shared" si="86"/>
        <v>Error?</v>
      </c>
    </row>
    <row r="5616" spans="1:4" x14ac:dyDescent="0.2">
      <c r="A5616" s="10">
        <v>5555</v>
      </c>
      <c r="D5616" s="2" t="str">
        <f t="shared" si="86"/>
        <v>OK</v>
      </c>
    </row>
    <row r="5617" spans="1:5" x14ac:dyDescent="0.2">
      <c r="A5617" s="5">
        <v>5556</v>
      </c>
      <c r="B5617" s="138">
        <f>'Revenues 9-14'!F153</f>
        <v>232071</v>
      </c>
      <c r="D5617" s="2" t="str">
        <f t="shared" si="86"/>
        <v>Error?</v>
      </c>
    </row>
    <row r="5618" spans="1:5" x14ac:dyDescent="0.2">
      <c r="A5618" s="5">
        <v>5557</v>
      </c>
      <c r="B5618" s="138">
        <f>'Revenues 9-14'!F155</f>
        <v>274233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1917</v>
      </c>
    </row>
    <row r="5631" spans="1:5" x14ac:dyDescent="0.2">
      <c r="A5631" s="10">
        <v>5570</v>
      </c>
      <c r="D5631" s="2" t="str">
        <f t="shared" ref="D5631:D5694" si="87">IF(ISBLANK(B5631),"OK",IF(A5631-B5631=0,"OK","Error?"))</f>
        <v>OK</v>
      </c>
      <c r="E5631" s="4" t="s">
        <v>1917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274233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274233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714943</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463303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463303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12146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12146</v>
      </c>
      <c r="C5730" s="2" t="s">
        <v>573</v>
      </c>
      <c r="D5730" s="2" t="str">
        <f t="shared" si="88"/>
        <v>Error?</v>
      </c>
    </row>
    <row r="5731" spans="1:4" x14ac:dyDescent="0.2">
      <c r="A5731" s="5">
        <v>5670</v>
      </c>
      <c r="B5731" s="138">
        <f>'Revenues 9-14'!G65</f>
        <v>4363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4363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1917</v>
      </c>
    </row>
    <row r="5768" spans="1:5" x14ac:dyDescent="0.2">
      <c r="A5768" s="10">
        <v>5707</v>
      </c>
      <c r="D5768" s="2" t="str">
        <f t="shared" si="89"/>
        <v>OK</v>
      </c>
      <c r="E5768" s="4" t="s">
        <v>1917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479812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121819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121819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125071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121819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121819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7467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7467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129286</v>
      </c>
      <c r="C6023" s="2" t="s">
        <v>573</v>
      </c>
      <c r="D6023" s="2" t="str">
        <f t="shared" si="93"/>
        <v>Error?</v>
      </c>
    </row>
    <row r="6024" spans="1:5" x14ac:dyDescent="0.2">
      <c r="A6024" s="5">
        <v>5963</v>
      </c>
      <c r="B6024" s="138">
        <f>'Revenues 9-14'!G109</f>
        <v>479812</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125071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129286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144830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32734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991.51199999999994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162136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162136</v>
      </c>
      <c r="D6215" s="2" t="str">
        <f t="shared" si="96"/>
        <v>Error?</v>
      </c>
      <c r="E6215" s="2" t="s">
        <v>190</v>
      </c>
    </row>
    <row r="6216" spans="1:5" x14ac:dyDescent="0.2">
      <c r="A6216">
        <v>6155</v>
      </c>
      <c r="B6216" s="138">
        <f>'Assets-Liab 5-6'!J41</f>
        <v>162136</v>
      </c>
      <c r="D6216" s="2" t="str">
        <f t="shared" si="96"/>
        <v>Error?</v>
      </c>
      <c r="E6216" s="2" t="s">
        <v>190</v>
      </c>
    </row>
    <row r="6217" spans="1:5" x14ac:dyDescent="0.2">
      <c r="A6217">
        <v>6156</v>
      </c>
      <c r="B6217" s="138">
        <f>'Assets-Liab 5-6'!J4</f>
        <v>162136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770325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770325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770325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773180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773180</v>
      </c>
      <c r="D6229" s="2" t="str">
        <f t="shared" si="96"/>
        <v>Error?</v>
      </c>
      <c r="E6229" s="2" t="s">
        <v>190</v>
      </c>
    </row>
    <row r="6230" spans="1:5" x14ac:dyDescent="0.2">
      <c r="A6230">
        <v>6169</v>
      </c>
      <c r="B6230" s="138">
        <f>'Acct Summary 7-8'!J20</f>
        <v>-2855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-2855</v>
      </c>
      <c r="D6263" s="2" t="str">
        <f t="shared" si="96"/>
        <v>Error?</v>
      </c>
      <c r="E6263" s="2" t="s">
        <v>190</v>
      </c>
    </row>
    <row r="6264" spans="1:5" x14ac:dyDescent="0.2">
      <c r="A6264">
        <v>6203</v>
      </c>
      <c r="B6264" s="138">
        <f>'Acct Summary 7-8'!J79</f>
        <v>164991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162136</v>
      </c>
      <c r="D6266" s="2" t="str">
        <f t="shared" si="96"/>
        <v>Error?</v>
      </c>
      <c r="E6266" s="2" t="s">
        <v>190</v>
      </c>
    </row>
    <row r="6267" spans="1:5" x14ac:dyDescent="0.2">
      <c r="A6267">
        <v>6206</v>
      </c>
      <c r="B6267" s="138">
        <f>'Acct Summary 7-8'!C82</f>
        <v>1022338</v>
      </c>
      <c r="D6267" s="2" t="str">
        <f t="shared" si="96"/>
        <v>Error?</v>
      </c>
      <c r="E6267" s="2" t="s">
        <v>190</v>
      </c>
    </row>
    <row r="6268" spans="1:5" x14ac:dyDescent="0.2">
      <c r="A6268">
        <v>6207</v>
      </c>
      <c r="B6268" s="138">
        <f>'Acct Summary 7-8'!D82</f>
        <v>-11288</v>
      </c>
      <c r="D6268" s="2" t="str">
        <f t="shared" si="96"/>
        <v>Error?</v>
      </c>
      <c r="E6268" s="2" t="s">
        <v>190</v>
      </c>
    </row>
    <row r="6269" spans="1:5" x14ac:dyDescent="0.2">
      <c r="A6269">
        <v>6208</v>
      </c>
      <c r="B6269" s="138">
        <f>'Acct Summary 7-8'!E82</f>
        <v>3083</v>
      </c>
      <c r="D6269" s="2" t="str">
        <f t="shared" si="96"/>
        <v>Error?</v>
      </c>
      <c r="E6269" s="2" t="s">
        <v>190</v>
      </c>
    </row>
    <row r="6270" spans="1:5" x14ac:dyDescent="0.2">
      <c r="A6270">
        <v>6209</v>
      </c>
      <c r="B6270" s="138">
        <f>'Acct Summary 7-8'!F82</f>
        <v>95140</v>
      </c>
      <c r="D6270" s="2" t="str">
        <f t="shared" si="96"/>
        <v>Error?</v>
      </c>
      <c r="E6270" s="2" t="s">
        <v>190</v>
      </c>
    </row>
    <row r="6271" spans="1:5" x14ac:dyDescent="0.2">
      <c r="A6271">
        <v>6210</v>
      </c>
      <c r="B6271" s="138">
        <f>'Acct Summary 7-8'!G82</f>
        <v>65448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125071</v>
      </c>
      <c r="D6273" s="2" t="str">
        <f t="shared" si="97"/>
        <v>Error?</v>
      </c>
      <c r="E6273" s="2" t="s">
        <v>190</v>
      </c>
    </row>
    <row r="6274" spans="1:5" x14ac:dyDescent="0.2">
      <c r="A6274">
        <v>6213</v>
      </c>
      <c r="B6274" s="138">
        <f>'Acct Summary 7-8'!J82</f>
        <v>-2855</v>
      </c>
      <c r="D6274" s="2" t="str">
        <f t="shared" si="97"/>
        <v>Error?</v>
      </c>
      <c r="E6274" s="2" t="s">
        <v>190</v>
      </c>
    </row>
    <row r="6275" spans="1:5" x14ac:dyDescent="0.2">
      <c r="A6275">
        <v>6214</v>
      </c>
      <c r="B6275" s="138">
        <f>'Acct Summary 7-8'!K82</f>
        <v>60858</v>
      </c>
      <c r="D6275" s="2" t="str">
        <f t="shared" si="97"/>
        <v>Error?</v>
      </c>
      <c r="E6275" s="2" t="s">
        <v>190</v>
      </c>
    </row>
    <row r="6276" spans="1:5" x14ac:dyDescent="0.2">
      <c r="A6276">
        <v>6215</v>
      </c>
      <c r="B6276" s="138">
        <f>'Acct Summary 7-8'!C83</f>
        <v>0.61124839391082186</v>
      </c>
      <c r="D6276" s="2" t="str">
        <f t="shared" si="97"/>
        <v>Error?</v>
      </c>
      <c r="E6276" s="2" t="s">
        <v>190</v>
      </c>
    </row>
    <row r="6277" spans="1:5" x14ac:dyDescent="0.2">
      <c r="A6277">
        <v>6216</v>
      </c>
      <c r="B6277" s="138">
        <f>'Acct Summary 7-8'!D83</f>
        <v>-0.11426951733074182</v>
      </c>
      <c r="D6277" s="2" t="str">
        <f t="shared" si="97"/>
        <v>Error?</v>
      </c>
      <c r="E6277" s="2" t="s">
        <v>190</v>
      </c>
    </row>
    <row r="6278" spans="1:5" x14ac:dyDescent="0.2">
      <c r="A6278">
        <v>6217</v>
      </c>
      <c r="B6278" s="138">
        <f>'Acct Summary 7-8'!E83</f>
        <v>4.6869061554599495E-2</v>
      </c>
      <c r="D6278" s="2" t="str">
        <f t="shared" si="97"/>
        <v>Error?</v>
      </c>
      <c r="E6278" s="2" t="s">
        <v>190</v>
      </c>
    </row>
    <row r="6279" spans="1:5" x14ac:dyDescent="0.2">
      <c r="A6279">
        <v>6218</v>
      </c>
      <c r="B6279" s="138">
        <f>'Acct Summary 7-8'!F83</f>
        <v>0.21326769870837872</v>
      </c>
      <c r="D6279" s="2" t="str">
        <f t="shared" si="97"/>
        <v>Error?</v>
      </c>
      <c r="E6279" s="2" t="s">
        <v>190</v>
      </c>
    </row>
    <row r="6280" spans="1:5" x14ac:dyDescent="0.2">
      <c r="A6280">
        <v>6219</v>
      </c>
      <c r="B6280" s="138">
        <f>'Acct Summary 7-8'!G83</f>
        <v>0.25971840822870207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0.4442593427983817</v>
      </c>
      <c r="D6282" s="2" t="str">
        <f t="shared" si="97"/>
        <v>Error?</v>
      </c>
      <c r="E6282" s="2" t="s">
        <v>190</v>
      </c>
    </row>
    <row r="6283" spans="1:5" x14ac:dyDescent="0.2">
      <c r="A6283">
        <v>6222</v>
      </c>
      <c r="B6283" s="138">
        <f>'Acct Summary 7-8'!J83</f>
        <v>-1.7608674199437509E-2</v>
      </c>
      <c r="D6283" s="2" t="str">
        <f t="shared" si="97"/>
        <v>Error?</v>
      </c>
      <c r="E6283" s="2" t="s">
        <v>190</v>
      </c>
    </row>
    <row r="6284" spans="1:5" x14ac:dyDescent="0.2">
      <c r="A6284">
        <v>6223</v>
      </c>
      <c r="B6284" s="138">
        <f>'Acct Summary 7-8'!K83</f>
        <v>0.10189805171755598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765731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765731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4594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4594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3511</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770325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1916</v>
      </c>
    </row>
    <row r="6383" spans="1:6" x14ac:dyDescent="0.2">
      <c r="A6383" s="129">
        <v>6322</v>
      </c>
      <c r="D6383" s="2" t="str">
        <f t="shared" si="98"/>
        <v>OK</v>
      </c>
      <c r="E6383" s="2" t="s">
        <v>190</v>
      </c>
      <c r="F6383" s="1" t="s">
        <v>1916</v>
      </c>
    </row>
    <row r="6384" spans="1:6" x14ac:dyDescent="0.2">
      <c r="A6384" s="129">
        <v>6323</v>
      </c>
      <c r="D6384" s="2" t="str">
        <f t="shared" si="98"/>
        <v>OK</v>
      </c>
      <c r="E6384" s="2" t="s">
        <v>190</v>
      </c>
      <c r="F6384" s="1" t="s">
        <v>1916</v>
      </c>
    </row>
    <row r="6385" spans="1:6" x14ac:dyDescent="0.2">
      <c r="A6385" s="129">
        <v>6324</v>
      </c>
      <c r="D6385" s="2" t="str">
        <f t="shared" si="98"/>
        <v>OK</v>
      </c>
      <c r="E6385" s="2" t="s">
        <v>190</v>
      </c>
      <c r="F6385" s="1" t="s">
        <v>1916</v>
      </c>
    </row>
    <row r="6386" spans="1:6" x14ac:dyDescent="0.2">
      <c r="A6386" s="129">
        <v>6325</v>
      </c>
      <c r="D6386" s="2" t="str">
        <f t="shared" si="98"/>
        <v>OK</v>
      </c>
      <c r="E6386" s="2" t="s">
        <v>190</v>
      </c>
      <c r="F6386" s="1" t="s">
        <v>1916</v>
      </c>
    </row>
    <row r="6387" spans="1:6" x14ac:dyDescent="0.2">
      <c r="A6387" s="129">
        <v>6326</v>
      </c>
      <c r="D6387" s="2" t="str">
        <f t="shared" si="98"/>
        <v>OK</v>
      </c>
      <c r="E6387" s="2" t="s">
        <v>190</v>
      </c>
      <c r="F6387" s="1" t="s">
        <v>1916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1916</v>
      </c>
    </row>
    <row r="6411" spans="1:6" x14ac:dyDescent="0.2">
      <c r="A6411" s="129">
        <v>6350</v>
      </c>
      <c r="D6411" s="2" t="str">
        <f t="shared" si="99"/>
        <v>OK</v>
      </c>
      <c r="E6411" s="2" t="s">
        <v>190</v>
      </c>
      <c r="F6411" s="1" t="s">
        <v>1916</v>
      </c>
    </row>
    <row r="6412" spans="1:6" x14ac:dyDescent="0.2">
      <c r="A6412" s="129">
        <v>6351</v>
      </c>
      <c r="D6412" s="2" t="str">
        <f t="shared" si="99"/>
        <v>OK</v>
      </c>
      <c r="E6412" s="2" t="s">
        <v>190</v>
      </c>
      <c r="F6412" s="1" t="s">
        <v>1916</v>
      </c>
    </row>
    <row r="6413" spans="1:6" x14ac:dyDescent="0.2">
      <c r="A6413" s="129">
        <v>6352</v>
      </c>
      <c r="D6413" s="2" t="str">
        <f t="shared" si="99"/>
        <v>OK</v>
      </c>
      <c r="E6413" s="2" t="s">
        <v>190</v>
      </c>
      <c r="F6413" s="1" t="s">
        <v>1916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480318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1916</v>
      </c>
    </row>
    <row r="6842" spans="1:5" x14ac:dyDescent="0.2">
      <c r="A6842" s="129">
        <v>6781</v>
      </c>
      <c r="D6842" s="2" t="str">
        <f t="shared" si="105"/>
        <v>OK</v>
      </c>
      <c r="E6842" s="1" t="s">
        <v>1916</v>
      </c>
    </row>
    <row r="6843" spans="1:5" x14ac:dyDescent="0.2">
      <c r="A6843" s="129">
        <v>6782</v>
      </c>
      <c r="D6843" s="2" t="str">
        <f t="shared" si="105"/>
        <v>OK</v>
      </c>
      <c r="E6843" s="1" t="s">
        <v>1916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638754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60973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112572</v>
      </c>
      <c r="D6880" s="2" t="str">
        <f t="shared" si="106"/>
        <v>Error?</v>
      </c>
    </row>
    <row r="6881" spans="1:4" x14ac:dyDescent="0.2">
      <c r="A6881">
        <v>6820</v>
      </c>
      <c r="B6881" s="138">
        <f>'Expenditures 15-22'!K22</f>
        <v>112572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30000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30000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127731</v>
      </c>
      <c r="D6983" s="2" t="str">
        <f t="shared" si="108"/>
        <v>Error?</v>
      </c>
    </row>
    <row r="6984" spans="1:4" x14ac:dyDescent="0.2">
      <c r="A6984">
        <v>6923</v>
      </c>
      <c r="B6984" s="138">
        <f>'Expenditures 15-22'!K86</f>
        <v>127731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127731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96639</v>
      </c>
      <c r="D6998" s="2" t="str">
        <f t="shared" si="108"/>
        <v>Error?</v>
      </c>
    </row>
    <row r="6999" spans="1:4" x14ac:dyDescent="0.2">
      <c r="A6999">
        <v>6938</v>
      </c>
      <c r="B6999" s="138">
        <f>'Expenditures 15-22'!K94</f>
        <v>96639</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96639</v>
      </c>
      <c r="D7012" s="2" t="str">
        <f t="shared" si="108"/>
        <v>Error?</v>
      </c>
    </row>
    <row r="7013" spans="1:4" x14ac:dyDescent="0.2">
      <c r="A7013">
        <v>6952</v>
      </c>
      <c r="B7013" s="138">
        <f>'Expenditures 15-22'!K100</f>
        <v>96639</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773180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770325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53113</v>
      </c>
      <c r="D7073" s="2" t="str">
        <f t="shared" si="109"/>
        <v>Error?</v>
      </c>
    </row>
    <row r="7074" spans="1:4" x14ac:dyDescent="0.2">
      <c r="A7074">
        <v>7013</v>
      </c>
      <c r="B7074" s="138">
        <f>'Expenditures 15-22'!K216</f>
        <v>53113</v>
      </c>
      <c r="D7074" s="2" t="str">
        <f t="shared" si="109"/>
        <v>Error?</v>
      </c>
    </row>
    <row r="7075" spans="1:4" x14ac:dyDescent="0.2">
      <c r="A7075">
        <v>7014</v>
      </c>
      <c r="B7075" s="138">
        <f>'Expenditures 15-22'!D218</f>
        <v>3987</v>
      </c>
      <c r="D7075" s="2" t="str">
        <f t="shared" si="109"/>
        <v>Error?</v>
      </c>
    </row>
    <row r="7076" spans="1:4" x14ac:dyDescent="0.2">
      <c r="A7076">
        <v>7015</v>
      </c>
      <c r="B7076" s="138">
        <f>'Expenditures 15-22'!K218</f>
        <v>3987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38781</v>
      </c>
      <c r="D7093" s="2" t="str">
        <f t="shared" si="109"/>
        <v>Error?</v>
      </c>
    </row>
    <row r="7094" spans="1:4" x14ac:dyDescent="0.2">
      <c r="A7094">
        <v>7033</v>
      </c>
      <c r="B7094" s="138">
        <f>'Expenditures 15-22'!K254</f>
        <v>38781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73417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73417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19979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19979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512506</v>
      </c>
      <c r="D7172" s="2" t="str">
        <f t="shared" si="111"/>
        <v>Error?</v>
      </c>
    </row>
    <row r="7173" spans="1:4" x14ac:dyDescent="0.2">
      <c r="A7173">
        <v>7112</v>
      </c>
      <c r="B7173" s="138">
        <f>'Expenditures 15-22'!D325</f>
        <v>113335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625841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512506</v>
      </c>
      <c r="D7199" s="2" t="str">
        <f t="shared" si="111"/>
        <v>Error?</v>
      </c>
    </row>
    <row r="7200" spans="1:4" x14ac:dyDescent="0.2">
      <c r="A7200">
        <v>7139</v>
      </c>
      <c r="B7200" s="138">
        <f>'Expenditures 15-22'!D330</f>
        <v>113335</v>
      </c>
      <c r="D7200" s="2" t="str">
        <f t="shared" si="111"/>
        <v>Error?</v>
      </c>
    </row>
    <row r="7201" spans="1:4" x14ac:dyDescent="0.2">
      <c r="A7201">
        <v>7140</v>
      </c>
      <c r="B7201" s="138">
        <f>'Expenditures 15-22'!E330</f>
        <v>147339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773180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512506</v>
      </c>
      <c r="D7216" s="2" t="str">
        <f t="shared" si="111"/>
        <v>Error?</v>
      </c>
    </row>
    <row r="7217" spans="1:4" x14ac:dyDescent="0.2">
      <c r="A7217">
        <v>7156</v>
      </c>
      <c r="B7217" s="138">
        <f>'Expenditures 15-22'!D342</f>
        <v>113335</v>
      </c>
      <c r="D7217" s="2" t="str">
        <f t="shared" si="111"/>
        <v>Error?</v>
      </c>
    </row>
    <row r="7218" spans="1:4" x14ac:dyDescent="0.2">
      <c r="A7218">
        <v>7157</v>
      </c>
      <c r="B7218" s="138">
        <f>'Expenditures 15-22'!E342</f>
        <v>147339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773180</v>
      </c>
      <c r="D7224" s="2" t="str">
        <f t="shared" si="111"/>
        <v>Error?</v>
      </c>
    </row>
    <row r="7225" spans="1:4" x14ac:dyDescent="0.2">
      <c r="A7225">
        <v>7164</v>
      </c>
      <c r="B7225" s="138">
        <f>'Expenditures 15-22'!K343</f>
        <v>-2855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107706</v>
      </c>
      <c r="D7246" s="2" t="str">
        <f t="shared" si="112"/>
        <v>Error?</v>
      </c>
    </row>
    <row r="7247" spans="1:4" x14ac:dyDescent="0.2">
      <c r="A7247">
        <f t="shared" si="113"/>
        <v>7186</v>
      </c>
      <c r="B7247" s="138">
        <f>'Expenditures 15-22'!E7</f>
        <v>33011</v>
      </c>
      <c r="D7247" s="2" t="str">
        <f t="shared" si="112"/>
        <v>Error?</v>
      </c>
    </row>
    <row r="7248" spans="1:4" x14ac:dyDescent="0.2">
      <c r="A7248">
        <f t="shared" si="113"/>
        <v>7187</v>
      </c>
      <c r="B7248" s="138">
        <f>'Expenditures 15-22'!F7</f>
        <v>17719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48323</v>
      </c>
      <c r="D7251" s="2" t="str">
        <f t="shared" si="112"/>
        <v>Error?</v>
      </c>
    </row>
    <row r="7252" spans="1:4" x14ac:dyDescent="0.2">
      <c r="A7252">
        <f t="shared" si="113"/>
        <v>7191</v>
      </c>
      <c r="B7252" s="138">
        <f>'Expenditures 15-22'!D9</f>
        <v>12611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144067</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144067</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144067</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160019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160019</v>
      </c>
      <c r="D7618" s="2" t="str">
        <f t="shared" si="124"/>
        <v>Error?</v>
      </c>
      <c r="E7618" s="2" t="s">
        <v>19</v>
      </c>
    </row>
    <row r="7619" spans="1:5" x14ac:dyDescent="0.2">
      <c r="A7619">
        <f t="shared" si="123"/>
        <v>7558</v>
      </c>
      <c r="B7619" s="138">
        <f>'Cap Outlay Deprec 26'!H14</f>
        <v>156844</v>
      </c>
      <c r="D7619" s="2" t="str">
        <f t="shared" si="124"/>
        <v>Error?</v>
      </c>
      <c r="E7619" s="2" t="s">
        <v>19</v>
      </c>
    </row>
    <row r="7620" spans="1:5" x14ac:dyDescent="0.2">
      <c r="A7620">
        <f t="shared" si="123"/>
        <v>7559</v>
      </c>
      <c r="B7620" s="138">
        <f>'Cap Outlay Deprec 26'!I14</f>
        <v>3175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160019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467869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34217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34217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19726</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19726</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48728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1832</v>
      </c>
    </row>
    <row r="7775" spans="1:5" x14ac:dyDescent="0.2">
      <c r="A7775">
        <v>7714</v>
      </c>
      <c r="B7775" s="138">
        <f>'Expenditures 15-22'!H133</f>
        <v>0</v>
      </c>
      <c r="D7775" s="2" t="str">
        <f t="shared" si="127"/>
        <v>Error?</v>
      </c>
      <c r="E7775" s="4" t="s">
        <v>1832</v>
      </c>
    </row>
    <row r="7776" spans="1:5" x14ac:dyDescent="0.2">
      <c r="A7776">
        <v>7715</v>
      </c>
      <c r="B7776" s="138">
        <f>'Expenditures 15-22'!K133</f>
        <v>0</v>
      </c>
      <c r="D7776" s="2" t="str">
        <f t="shared" si="127"/>
        <v>Error?</v>
      </c>
      <c r="E7776" s="4" t="s">
        <v>1832</v>
      </c>
    </row>
    <row r="7777" spans="1:5" x14ac:dyDescent="0.2">
      <c r="A7777">
        <v>7716</v>
      </c>
      <c r="B7777" s="138">
        <f>'Expenditures 15-22'!H157</f>
        <v>0</v>
      </c>
      <c r="D7777" s="2" t="str">
        <f t="shared" si="127"/>
        <v>Error?</v>
      </c>
      <c r="E7777" s="4" t="s">
        <v>1832</v>
      </c>
    </row>
    <row r="7778" spans="1:5" x14ac:dyDescent="0.2">
      <c r="A7778">
        <v>7717</v>
      </c>
      <c r="B7778" s="138">
        <f>'Expenditures 15-22'!K157</f>
        <v>0</v>
      </c>
      <c r="D7778" s="2" t="str">
        <f t="shared" si="127"/>
        <v>Error?</v>
      </c>
      <c r="E7778" s="4" t="s">
        <v>1832</v>
      </c>
    </row>
    <row r="7779" spans="1:5" x14ac:dyDescent="0.2">
      <c r="A7779">
        <v>7718</v>
      </c>
      <c r="B7779" s="138">
        <f>'Expenditures 15-22'!H158</f>
        <v>0</v>
      </c>
      <c r="D7779" s="2" t="str">
        <f t="shared" si="127"/>
        <v>Error?</v>
      </c>
      <c r="E7779" s="4" t="s">
        <v>1832</v>
      </c>
    </row>
    <row r="7780" spans="1:5" x14ac:dyDescent="0.2">
      <c r="A7780">
        <v>7719</v>
      </c>
      <c r="B7780" s="138">
        <f>'Expenditures 15-22'!K158</f>
        <v>0</v>
      </c>
      <c r="D7780" s="2" t="str">
        <f t="shared" si="127"/>
        <v>Error?</v>
      </c>
      <c r="E7780" s="4" t="s">
        <v>1832</v>
      </c>
    </row>
    <row r="7781" spans="1:5" x14ac:dyDescent="0.2">
      <c r="A7781">
        <v>7720</v>
      </c>
      <c r="B7781" s="138">
        <f>'Expenditures 15-22'!H159</f>
        <v>0</v>
      </c>
      <c r="D7781" s="2" t="str">
        <f t="shared" si="127"/>
        <v>Error?</v>
      </c>
      <c r="E7781" s="4" t="s">
        <v>1832</v>
      </c>
    </row>
    <row r="7782" spans="1:5" x14ac:dyDescent="0.2">
      <c r="A7782">
        <v>7721</v>
      </c>
      <c r="B7782" s="138">
        <f>'Expenditures 15-22'!K159</f>
        <v>0</v>
      </c>
      <c r="D7782" s="2" t="str">
        <f t="shared" si="127"/>
        <v>Error?</v>
      </c>
      <c r="E7782" s="4" t="s">
        <v>1832</v>
      </c>
    </row>
    <row r="7783" spans="1:5" x14ac:dyDescent="0.2">
      <c r="A7783">
        <v>7722</v>
      </c>
      <c r="B7783" s="138">
        <f>'Expenditures 15-22'!D282</f>
        <v>0</v>
      </c>
      <c r="D7783" s="2" t="str">
        <f t="shared" si="127"/>
        <v>Error?</v>
      </c>
      <c r="E7783" s="4" t="s">
        <v>1832</v>
      </c>
    </row>
    <row r="7784" spans="1:5" x14ac:dyDescent="0.2">
      <c r="A7784">
        <v>7723</v>
      </c>
      <c r="B7784" s="138">
        <f>'Expenditures 15-22'!K282</f>
        <v>0</v>
      </c>
      <c r="D7784" s="2" t="str">
        <f t="shared" si="127"/>
        <v>Error?</v>
      </c>
      <c r="E7784" s="4" t="s">
        <v>1832</v>
      </c>
    </row>
    <row r="7785" spans="1:5" x14ac:dyDescent="0.2">
      <c r="A7785">
        <v>7724</v>
      </c>
      <c r="B7785" s="138">
        <f>'Expenditures 15-22'!H332</f>
        <v>0</v>
      </c>
      <c r="D7785" s="2" t="str">
        <f t="shared" si="127"/>
        <v>Error?</v>
      </c>
      <c r="E7785" s="4" t="s">
        <v>1832</v>
      </c>
    </row>
    <row r="7786" spans="1:5" x14ac:dyDescent="0.2">
      <c r="A7786">
        <v>7725</v>
      </c>
      <c r="B7786" s="138">
        <f>'Expenditures 15-22'!K332</f>
        <v>0</v>
      </c>
      <c r="D7786" s="2" t="str">
        <f t="shared" si="127"/>
        <v>Error?</v>
      </c>
      <c r="E7786" s="4" t="s">
        <v>1832</v>
      </c>
    </row>
    <row r="7787" spans="1:5" x14ac:dyDescent="0.2">
      <c r="A7787">
        <v>7726</v>
      </c>
      <c r="B7787" s="138">
        <f>'Expenditures 15-22'!H333</f>
        <v>0</v>
      </c>
      <c r="D7787" s="2" t="str">
        <f t="shared" si="127"/>
        <v>Error?</v>
      </c>
      <c r="E7787" s="4" t="s">
        <v>1832</v>
      </c>
    </row>
    <row r="7788" spans="1:5" x14ac:dyDescent="0.2">
      <c r="A7788">
        <v>7727</v>
      </c>
      <c r="B7788" s="138">
        <f>'Expenditures 15-22'!K333</f>
        <v>0</v>
      </c>
      <c r="D7788" s="2" t="str">
        <f t="shared" si="127"/>
        <v>Error?</v>
      </c>
      <c r="E7788" s="4" t="s">
        <v>1832</v>
      </c>
    </row>
    <row r="7789" spans="1:5" x14ac:dyDescent="0.2">
      <c r="A7789">
        <v>7728</v>
      </c>
      <c r="B7789" s="138">
        <f>'Expenditures 15-22'!H334</f>
        <v>0</v>
      </c>
      <c r="D7789" s="2" t="str">
        <f t="shared" si="127"/>
        <v>Error?</v>
      </c>
      <c r="E7789" s="4" t="s">
        <v>1832</v>
      </c>
    </row>
    <row r="7790" spans="1:5" x14ac:dyDescent="0.2">
      <c r="A7790">
        <v>7729</v>
      </c>
      <c r="B7790" s="138">
        <f>'Expenditures 15-22'!K334</f>
        <v>0</v>
      </c>
      <c r="D7790" s="2" t="str">
        <f t="shared" si="127"/>
        <v>Error?</v>
      </c>
      <c r="E7790" s="4" t="s">
        <v>1832</v>
      </c>
    </row>
    <row r="7791" spans="1:5" x14ac:dyDescent="0.2">
      <c r="A7791">
        <v>7730</v>
      </c>
      <c r="B7791" s="138">
        <f>'Expenditures 15-22'!H354</f>
        <v>0</v>
      </c>
      <c r="D7791" s="2" t="str">
        <f t="shared" si="127"/>
        <v>Error?</v>
      </c>
      <c r="E7791" s="4" t="s">
        <v>1832</v>
      </c>
    </row>
    <row r="7792" spans="1:5" x14ac:dyDescent="0.2">
      <c r="A7792">
        <v>7731</v>
      </c>
      <c r="B7792" s="138">
        <f>'Expenditures 15-22'!K354</f>
        <v>0</v>
      </c>
      <c r="D7792" s="2" t="str">
        <f t="shared" si="127"/>
        <v>Error?</v>
      </c>
      <c r="E7792" s="4" t="s">
        <v>1832</v>
      </c>
    </row>
    <row r="7793" spans="1:5" x14ac:dyDescent="0.2">
      <c r="A7793">
        <v>7732</v>
      </c>
      <c r="B7793" s="138">
        <f>'Expenditures 15-22'!H355</f>
        <v>0</v>
      </c>
      <c r="D7793" s="2" t="str">
        <f t="shared" si="127"/>
        <v>Error?</v>
      </c>
      <c r="E7793" s="4" t="s">
        <v>1832</v>
      </c>
    </row>
    <row r="7794" spans="1:5" x14ac:dyDescent="0.2">
      <c r="A7794">
        <v>7733</v>
      </c>
      <c r="B7794" s="138">
        <f>'Expenditures 15-22'!K355</f>
        <v>0</v>
      </c>
      <c r="D7794" s="2" t="str">
        <f t="shared" si="127"/>
        <v>Error?</v>
      </c>
      <c r="E7794" s="4" t="s">
        <v>1832</v>
      </c>
    </row>
    <row r="7795" spans="1:5" x14ac:dyDescent="0.2">
      <c r="A7795">
        <v>7734</v>
      </c>
      <c r="B7795" s="138">
        <f>'Expenditures 15-22'!E138</f>
        <v>0</v>
      </c>
      <c r="D7795" s="2" t="str">
        <f t="shared" si="127"/>
        <v>Error?</v>
      </c>
      <c r="E7795" s="4" t="s">
        <v>1832</v>
      </c>
    </row>
    <row r="7796" spans="1:5" x14ac:dyDescent="0.2">
      <c r="A7796">
        <v>7735</v>
      </c>
      <c r="B7796" s="138">
        <f>'Acct Summary 7-8'!J15</f>
        <v>0</v>
      </c>
      <c r="D7796" s="2" t="str">
        <f t="shared" si="127"/>
        <v>Error?</v>
      </c>
      <c r="E7796" s="4" t="s">
        <v>1832</v>
      </c>
    </row>
    <row r="7797" spans="1:5" x14ac:dyDescent="0.2">
      <c r="A7797">
        <v>7736</v>
      </c>
      <c r="B7797" s="138">
        <f>'Contracts Paid in CY 29'!D140</f>
        <v>82784</v>
      </c>
      <c r="D7797" s="2" t="str">
        <f t="shared" si="127"/>
        <v>Error?</v>
      </c>
      <c r="E7797" s="4" t="s">
        <v>1881</v>
      </c>
    </row>
    <row r="7798" spans="1:5" x14ac:dyDescent="0.2">
      <c r="A7798">
        <v>7737</v>
      </c>
      <c r="B7798" s="138">
        <f>'Contracts Paid in CY 29'!F140</f>
        <v>80750</v>
      </c>
      <c r="D7798" s="2" t="str">
        <f t="shared" si="127"/>
        <v>Error?</v>
      </c>
      <c r="E7798" s="4" t="s">
        <v>1881</v>
      </c>
    </row>
    <row r="7799" spans="1:5" x14ac:dyDescent="0.2">
      <c r="A7799">
        <v>7738</v>
      </c>
      <c r="B7799" s="138">
        <f>'Contracts Paid in CY 29'!G140</f>
        <v>0</v>
      </c>
      <c r="D7799" s="2" t="str">
        <f t="shared" si="127"/>
        <v>Error?</v>
      </c>
      <c r="E7799" s="4" t="s">
        <v>1881</v>
      </c>
    </row>
    <row r="7800" spans="1:5" x14ac:dyDescent="0.2">
      <c r="A7800">
        <v>7739</v>
      </c>
      <c r="D7800" s="2" t="str">
        <f t="shared" si="127"/>
        <v>OK</v>
      </c>
    </row>
    <row r="7801" spans="1:5" x14ac:dyDescent="0.2">
      <c r="A7801">
        <v>7740</v>
      </c>
      <c r="B7801" s="138">
        <f>'Revenues 9-14'!C120</f>
        <v>0</v>
      </c>
      <c r="D7801" s="2" t="str">
        <f t="shared" si="127"/>
        <v>Error?</v>
      </c>
      <c r="E7801" s="4" t="s">
        <v>1918</v>
      </c>
    </row>
    <row r="7802" spans="1:5" x14ac:dyDescent="0.2">
      <c r="A7802">
        <v>7741</v>
      </c>
      <c r="B7802" s="138">
        <f>'Revenues 9-14'!D120</f>
        <v>0</v>
      </c>
      <c r="D7802" s="2" t="str">
        <f t="shared" si="127"/>
        <v>Error?</v>
      </c>
      <c r="E7802" s="4" t="s">
        <v>1918</v>
      </c>
    </row>
    <row r="7803" spans="1:5" x14ac:dyDescent="0.2">
      <c r="A7803">
        <v>7742</v>
      </c>
      <c r="B7803" s="138">
        <f>'Revenues 9-14'!E120</f>
        <v>0</v>
      </c>
      <c r="D7803" s="2" t="str">
        <f t="shared" si="127"/>
        <v>Error?</v>
      </c>
      <c r="E7803" s="4" t="s">
        <v>1918</v>
      </c>
    </row>
    <row r="7804" spans="1:5" x14ac:dyDescent="0.2">
      <c r="A7804">
        <v>7743</v>
      </c>
      <c r="B7804" s="138">
        <f>'Revenues 9-14'!F120</f>
        <v>0</v>
      </c>
      <c r="D7804" s="2" t="str">
        <f t="shared" si="127"/>
        <v>Error?</v>
      </c>
      <c r="E7804" s="4" t="s">
        <v>1918</v>
      </c>
    </row>
    <row r="7805" spans="1:5" x14ac:dyDescent="0.2">
      <c r="A7805">
        <v>7744</v>
      </c>
      <c r="B7805" s="138">
        <f>'Revenues 9-14'!G120</f>
        <v>0</v>
      </c>
      <c r="D7805" s="2" t="str">
        <f t="shared" si="127"/>
        <v>Error?</v>
      </c>
      <c r="E7805" s="4" t="s">
        <v>1918</v>
      </c>
    </row>
    <row r="7806" spans="1:5" x14ac:dyDescent="0.2">
      <c r="A7806">
        <v>7745</v>
      </c>
      <c r="B7806" s="138">
        <f>'Revenues 9-14'!H120</f>
        <v>0</v>
      </c>
      <c r="D7806" s="2" t="str">
        <f t="shared" si="127"/>
        <v>Error?</v>
      </c>
      <c r="E7806" s="4" t="s">
        <v>1918</v>
      </c>
    </row>
    <row r="7807" spans="1:5" x14ac:dyDescent="0.2">
      <c r="A7807">
        <v>7746</v>
      </c>
      <c r="B7807" s="138">
        <f>'Revenues 9-14'!J120</f>
        <v>0</v>
      </c>
      <c r="D7807" s="2" t="str">
        <f t="shared" ref="D7807:D7816" si="128">IF(ISBLANK(B7807),"OK",IF(A7807-B7807=0,"OK","Error?"))</f>
        <v>Error?</v>
      </c>
      <c r="E7807" s="4" t="s">
        <v>1918</v>
      </c>
    </row>
    <row r="7808" spans="1:5" x14ac:dyDescent="0.2">
      <c r="A7808">
        <v>7747</v>
      </c>
      <c r="B7808" s="138">
        <f>'Revenues 9-14'!K120</f>
        <v>0</v>
      </c>
      <c r="D7808" s="2" t="str">
        <f t="shared" si="128"/>
        <v>Error?</v>
      </c>
      <c r="E7808" s="4" t="s">
        <v>1918</v>
      </c>
    </row>
    <row r="7809" spans="1:5" x14ac:dyDescent="0.2">
      <c r="A7809">
        <v>7748</v>
      </c>
      <c r="B7809" s="138">
        <f>'Revenues 9-14'!C261</f>
        <v>0</v>
      </c>
      <c r="D7809" s="2" t="str">
        <f t="shared" si="128"/>
        <v>Error?</v>
      </c>
      <c r="E7809" s="4" t="s">
        <v>1919</v>
      </c>
    </row>
    <row r="7810" spans="1:5" x14ac:dyDescent="0.2">
      <c r="A7810">
        <v>7749</v>
      </c>
      <c r="B7810" s="138">
        <f>'Revenues 9-14'!D261</f>
        <v>0</v>
      </c>
      <c r="D7810" s="2" t="str">
        <f t="shared" si="128"/>
        <v>Error?</v>
      </c>
      <c r="E7810" s="4" t="s">
        <v>1919</v>
      </c>
    </row>
    <row r="7811" spans="1:5" x14ac:dyDescent="0.2">
      <c r="A7811">
        <v>7750</v>
      </c>
      <c r="B7811" s="138">
        <f>'Revenues 9-14'!F261</f>
        <v>0</v>
      </c>
      <c r="D7811" s="2" t="str">
        <f t="shared" si="128"/>
        <v>Error?</v>
      </c>
      <c r="E7811" s="4" t="s">
        <v>1919</v>
      </c>
    </row>
    <row r="7812" spans="1:5" x14ac:dyDescent="0.2">
      <c r="A7812">
        <v>7751</v>
      </c>
      <c r="B7812" s="138">
        <f>'Revenues 9-14'!G261</f>
        <v>0</v>
      </c>
      <c r="D7812" s="2" t="str">
        <f t="shared" si="128"/>
        <v>Error?</v>
      </c>
      <c r="E7812" s="4" t="s">
        <v>1919</v>
      </c>
    </row>
    <row r="7813" spans="1:5" x14ac:dyDescent="0.2">
      <c r="A7813">
        <v>7752</v>
      </c>
      <c r="B7813" s="138">
        <f>'Revenues 9-14'!C262</f>
        <v>0</v>
      </c>
      <c r="D7813" s="2" t="str">
        <f t="shared" si="128"/>
        <v>Error?</v>
      </c>
      <c r="E7813" s="4" t="s">
        <v>1920</v>
      </c>
    </row>
    <row r="7814" spans="1:5" x14ac:dyDescent="0.2">
      <c r="A7814">
        <v>7753</v>
      </c>
      <c r="B7814" s="138">
        <f>'Revenues 9-14'!D262</f>
        <v>0</v>
      </c>
      <c r="D7814" s="2" t="str">
        <f t="shared" si="128"/>
        <v>Error?</v>
      </c>
      <c r="E7814" s="4" t="s">
        <v>1920</v>
      </c>
    </row>
    <row r="7815" spans="1:5" x14ac:dyDescent="0.2">
      <c r="A7815">
        <v>7754</v>
      </c>
      <c r="B7815" s="138">
        <f>'Revenues 9-14'!F262</f>
        <v>0</v>
      </c>
      <c r="D7815" s="2" t="str">
        <f t="shared" si="128"/>
        <v>Error?</v>
      </c>
      <c r="E7815" s="4" t="s">
        <v>1920</v>
      </c>
    </row>
    <row r="7816" spans="1:5" x14ac:dyDescent="0.2">
      <c r="A7816">
        <v>7755</v>
      </c>
      <c r="B7816" s="138">
        <f>'Revenues 9-14'!G262</f>
        <v>0</v>
      </c>
      <c r="D7816" s="2" t="str">
        <f t="shared" si="128"/>
        <v>Error?</v>
      </c>
      <c r="E7816" s="4" t="s">
        <v>1920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6" sqref="B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1966</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Princeton ESD 115</v>
      </c>
      <c r="B7" s="2403"/>
      <c r="C7" s="2403"/>
      <c r="D7" s="2404"/>
      <c r="E7" s="2405">
        <f>COVER!A13</f>
        <v>28006115002</v>
      </c>
      <c r="F7" s="2406"/>
      <c r="G7" s="2412" t="str">
        <f>COVER!T23</f>
        <v>066-004501</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 xml:space="preserve">HOPKINS &amp; ASSOCIATES, CPAS </v>
      </c>
      <c r="H9" s="2418"/>
      <c r="I9" s="2418"/>
      <c r="J9" s="2418"/>
      <c r="K9" s="2418"/>
      <c r="L9" s="2419"/>
    </row>
    <row r="10" spans="1:29" ht="13.5" customHeight="1" x14ac:dyDescent="0.2">
      <c r="A10" s="2392" t="str">
        <f>COVER!A38</f>
        <v>TIMOTHY SMITH</v>
      </c>
      <c r="B10" s="2393"/>
      <c r="C10" s="2393"/>
      <c r="D10" s="2393"/>
      <c r="E10" s="2393"/>
      <c r="F10" s="2394"/>
      <c r="G10" s="2386" t="str">
        <f>COVER!T17</f>
        <v>314 S MCCOY STREET</v>
      </c>
      <c r="H10" s="2387"/>
      <c r="I10" s="2387"/>
      <c r="J10" s="2387"/>
      <c r="K10" s="2387"/>
      <c r="L10" s="2388"/>
    </row>
    <row r="11" spans="1:29" ht="13.5" customHeight="1" x14ac:dyDescent="0.2">
      <c r="A11" s="1184" t="s">
        <v>1519</v>
      </c>
      <c r="B11" s="1185"/>
      <c r="C11" s="1186"/>
      <c r="D11" s="1191"/>
      <c r="E11" s="1186"/>
      <c r="F11" s="1190"/>
      <c r="G11" s="2386" t="str">
        <f>COVER!T19</f>
        <v>GRANVILLE</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JOEL@HOPKINSOFFICE.COM</v>
      </c>
      <c r="J13" s="2399"/>
      <c r="K13" s="2399"/>
      <c r="L13" s="2400"/>
    </row>
    <row r="14" spans="1:29" ht="13.5" customHeight="1" x14ac:dyDescent="0.2">
      <c r="A14" s="2386" t="str">
        <f>COVER!A19</f>
        <v>506 E DOVER</v>
      </c>
      <c r="B14" s="2387"/>
      <c r="C14" s="2387"/>
      <c r="D14" s="2387"/>
      <c r="E14" s="2387"/>
      <c r="F14" s="2388"/>
      <c r="G14" s="1195" t="s">
        <v>1185</v>
      </c>
      <c r="H14" s="1193"/>
      <c r="I14" s="1193"/>
      <c r="J14" s="1193"/>
      <c r="K14" s="1193"/>
      <c r="L14" s="1194"/>
    </row>
    <row r="15" spans="1:29" ht="13.5" customHeight="1" x14ac:dyDescent="0.2">
      <c r="A15" s="2386" t="str">
        <f>COVER!A21</f>
        <v xml:space="preserve">PRINCETON   </v>
      </c>
      <c r="B15" s="2387"/>
      <c r="C15" s="2387"/>
      <c r="D15" s="2387"/>
      <c r="E15" s="2387"/>
      <c r="F15" s="2388"/>
      <c r="G15" s="2383" t="str">
        <f>COVER!T15</f>
        <v xml:space="preserve">JOEL HOPKINS </v>
      </c>
      <c r="H15" s="2384"/>
      <c r="I15" s="2384"/>
      <c r="J15" s="2384"/>
      <c r="K15" s="2384"/>
      <c r="L15" s="2385"/>
    </row>
    <row r="16" spans="1:29" ht="12.2" customHeight="1" x14ac:dyDescent="0.2">
      <c r="A16" s="2408">
        <f>COVER!A25</f>
        <v>61356</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815-339-6630</v>
      </c>
      <c r="H18" s="2403"/>
      <c r="I18" s="2403"/>
      <c r="J18" s="2403"/>
      <c r="K18" s="2402" t="str">
        <f>COVER!X21</f>
        <v>815-339-6643</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2042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2042</v>
      </c>
      <c r="C26" s="1202" t="s">
        <v>1699</v>
      </c>
    </row>
    <row r="27" spans="1:13" s="1198" customFormat="1" ht="9" customHeight="1" x14ac:dyDescent="0.2">
      <c r="B27" s="1203"/>
      <c r="C27" s="1202"/>
    </row>
    <row r="28" spans="1:13" s="1198" customFormat="1" ht="12.2" customHeight="1" x14ac:dyDescent="0.2">
      <c r="A28" s="1205"/>
      <c r="B28" s="1201" t="s">
        <v>2042</v>
      </c>
      <c r="C28" s="1202" t="s">
        <v>1700</v>
      </c>
    </row>
    <row r="29" spans="1:13" s="1198" customFormat="1" ht="9" customHeight="1" x14ac:dyDescent="0.2">
      <c r="A29" s="1205"/>
      <c r="B29" s="1203"/>
      <c r="C29" s="1202"/>
    </row>
    <row r="30" spans="1:13" s="1198" customFormat="1" ht="12.2" customHeight="1" x14ac:dyDescent="0.2">
      <c r="B30" s="1201" t="s">
        <v>2042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2042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2042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2042</v>
      </c>
      <c r="C38" s="1202" t="s">
        <v>1566</v>
      </c>
    </row>
    <row r="39" spans="1:8" ht="9" customHeight="1" x14ac:dyDescent="0.2">
      <c r="B39" s="1203"/>
      <c r="C39" s="1206"/>
    </row>
    <row r="40" spans="1:8" s="1198" customFormat="1" ht="13.5" customHeight="1" x14ac:dyDescent="0.2">
      <c r="B40" s="1201" t="s">
        <v>2042</v>
      </c>
      <c r="C40" s="1202" t="s">
        <v>1567</v>
      </c>
    </row>
    <row r="41" spans="1:8" ht="9" customHeight="1" x14ac:dyDescent="0.2">
      <c r="A41" s="1207"/>
      <c r="B41" s="1203"/>
      <c r="C41" s="1206"/>
    </row>
    <row r="42" spans="1:8" s="1198" customFormat="1" ht="13.5" customHeight="1" x14ac:dyDescent="0.2">
      <c r="B42" s="1201" t="s">
        <v>2042</v>
      </c>
      <c r="C42" s="1202" t="s">
        <v>1814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&amp;C58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Princeton ESD 115</v>
      </c>
      <c r="B1" s="2401"/>
      <c r="C1" s="2401"/>
      <c r="D1" s="2401"/>
    </row>
    <row r="2" spans="1:11" s="1212" customFormat="1" ht="12.75" x14ac:dyDescent="0.2">
      <c r="A2" s="2425">
        <f>'Single Audit Cover'!E7</f>
        <v>28006115002</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D40" sqref="D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Princeton ESD 115</v>
      </c>
      <c r="B1" s="2428"/>
      <c r="C1" s="2428"/>
      <c r="D1" s="2428"/>
      <c r="E1" s="2428"/>
    </row>
    <row r="2" spans="1:5" x14ac:dyDescent="0.2">
      <c r="A2" s="2429">
        <f>'Single Audit Cover'!E7</f>
        <v>28006115002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900695</v>
      </c>
    </row>
    <row r="11" spans="1:5" ht="18" customHeight="1" x14ac:dyDescent="0.2">
      <c r="A11" s="1258" t="s">
        <v>1240</v>
      </c>
      <c r="B11" s="1259"/>
      <c r="C11" s="1259"/>
    </row>
    <row r="12" spans="1:5" x14ac:dyDescent="0.2">
      <c r="A12" s="1258" t="s">
        <v>1239</v>
      </c>
      <c r="B12" s="1259" t="s">
        <v>1238</v>
      </c>
      <c r="C12" s="1259"/>
      <c r="D12" s="1261">
        <f>SUM('Revenues 9-14'!C112:D112,'Revenues 9-14'!F112:G112)</f>
        <v>35283</v>
      </c>
    </row>
    <row r="13" spans="1:5" x14ac:dyDescent="0.2">
      <c r="A13" s="1258" t="s">
        <v>1237</v>
      </c>
      <c r="B13" s="1259"/>
      <c r="C13" s="1259"/>
    </row>
    <row r="14" spans="1:5" x14ac:dyDescent="0.2">
      <c r="A14" s="1258" t="s">
        <v>1727</v>
      </c>
      <c r="B14" s="1259"/>
      <c r="C14" s="1259"/>
      <c r="D14" s="1261">
        <f>'ICR Computation 30'!E11</f>
        <v>32734</v>
      </c>
    </row>
    <row r="15" spans="1:5" x14ac:dyDescent="0.2">
      <c r="A15" s="1258"/>
      <c r="B15" s="1259"/>
      <c r="C15" s="1259"/>
    </row>
    <row r="16" spans="1:5" x14ac:dyDescent="0.2">
      <c r="A16" s="1258" t="s">
        <v>1821</v>
      </c>
      <c r="B16" s="1259"/>
      <c r="C16" s="1259"/>
    </row>
    <row r="17" spans="1:4" x14ac:dyDescent="0.2">
      <c r="A17" s="1258" t="s">
        <v>2038</v>
      </c>
      <c r="B17" s="1259" t="s">
        <v>1236</v>
      </c>
      <c r="C17" s="1259"/>
      <c r="D17" s="1261">
        <f>-SUM('Revenues 9-14'!C264:D264,'Revenues 9-14'!F264:G264)</f>
        <v>-84047</v>
      </c>
    </row>
    <row r="19" spans="1:4" ht="13.5" thickBot="1" x14ac:dyDescent="0.25">
      <c r="A19" s="1262" t="s">
        <v>1235</v>
      </c>
      <c r="D19" s="1263">
        <f>SUM(D10:D17)</f>
        <v>884665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t="s">
        <v>2141</v>
      </c>
      <c r="B24" s="2430"/>
      <c r="D24" s="1265">
        <v>-25600</v>
      </c>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859065</v>
      </c>
    </row>
    <row r="33" spans="1:4" x14ac:dyDescent="0.2">
      <c r="D33" s="1266"/>
    </row>
    <row r="34" spans="1:4" x14ac:dyDescent="0.2">
      <c r="A34" s="317" t="s">
        <v>1232</v>
      </c>
    </row>
    <row r="35" spans="1:4" x14ac:dyDescent="0.2">
      <c r="A35" s="317" t="s">
        <v>1231</v>
      </c>
      <c r="B35" s="1255" t="s">
        <v>1230</v>
      </c>
      <c r="D35" s="1267">
        <v>859065</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859065</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&amp;C59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7"/>
  <sheetViews>
    <sheetView showGridLines="0" topLeftCell="A2" zoomScaleNormal="100" workbookViewId="0">
      <selection activeCell="G33" sqref="G33"/>
    </sheetView>
  </sheetViews>
  <sheetFormatPr defaultColWidth="33.5703125" defaultRowHeight="12.75" x14ac:dyDescent="0.2"/>
  <cols>
    <col min="1" max="1" width="0.140625" style="317" customWidth="1"/>
    <col min="2" max="2" width="35.285156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Princeton ESD 115</v>
      </c>
      <c r="C1" s="2432"/>
      <c r="D1" s="2432"/>
      <c r="E1" s="2432"/>
      <c r="F1" s="2432"/>
      <c r="G1" s="2432"/>
      <c r="H1" s="2432"/>
      <c r="I1" s="2432"/>
      <c r="J1" s="2432"/>
      <c r="K1" s="2432"/>
      <c r="L1" s="2432"/>
      <c r="M1" s="2432"/>
    </row>
    <row r="2" spans="2:14" ht="15" x14ac:dyDescent="0.2">
      <c r="B2" s="2433">
        <f>'Single Audit Cover'!E7</f>
        <v>28006115002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2144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1817</v>
      </c>
      <c r="I8" s="1316" t="s">
        <v>1262</v>
      </c>
      <c r="J8" s="1315" t="s">
        <v>1967</v>
      </c>
      <c r="K8" s="1316" t="s">
        <v>1261</v>
      </c>
      <c r="L8" s="1317" t="s">
        <v>1257</v>
      </c>
      <c r="M8" s="1318" t="s">
        <v>30</v>
      </c>
    </row>
    <row r="9" spans="2:14" x14ac:dyDescent="0.2">
      <c r="B9" s="1322" t="s">
        <v>1259</v>
      </c>
      <c r="C9" s="1310" t="s">
        <v>2142</v>
      </c>
      <c r="D9" s="1311" t="s">
        <v>2143</v>
      </c>
      <c r="E9" s="1319" t="s">
        <v>1817</v>
      </c>
      <c r="F9" s="1320" t="s">
        <v>1967</v>
      </c>
      <c r="G9" s="1321" t="s">
        <v>1817</v>
      </c>
      <c r="H9" s="1314" t="s">
        <v>1582</v>
      </c>
      <c r="I9" s="1316" t="s">
        <v>1967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2083</v>
      </c>
      <c r="C11" s="1335"/>
      <c r="D11" s="1336"/>
      <c r="E11" s="1337"/>
      <c r="F11" s="1337"/>
      <c r="G11" s="1337"/>
      <c r="H11" s="1337"/>
      <c r="I11" s="1337"/>
      <c r="J11" s="1337"/>
      <c r="K11" s="1337"/>
      <c r="L11" s="1337"/>
      <c r="M11" s="1337"/>
    </row>
    <row r="12" spans="2:14" ht="20.100000000000001" customHeight="1" x14ac:dyDescent="0.2">
      <c r="B12" s="1334" t="s">
        <v>2084</v>
      </c>
      <c r="C12" s="1338"/>
      <c r="D12" s="1339"/>
      <c r="E12" s="1340"/>
      <c r="F12" s="1340"/>
      <c r="G12" s="1340"/>
      <c r="H12" s="1340"/>
      <c r="I12" s="1340"/>
      <c r="J12" s="1340"/>
      <c r="K12" s="1340"/>
      <c r="L12" s="1337"/>
      <c r="M12" s="1340"/>
    </row>
    <row r="13" spans="2:14" ht="20.100000000000001" customHeight="1" x14ac:dyDescent="0.2">
      <c r="B13" s="1334" t="s">
        <v>2085</v>
      </c>
      <c r="C13" s="1338">
        <v>10.555</v>
      </c>
      <c r="D13" s="1339" t="s">
        <v>2095</v>
      </c>
      <c r="E13" s="1340">
        <v>0</v>
      </c>
      <c r="F13" s="1340">
        <v>26737</v>
      </c>
      <c r="G13" s="1340">
        <v>0</v>
      </c>
      <c r="H13" s="1340">
        <v>0</v>
      </c>
      <c r="I13" s="1340">
        <v>26737</v>
      </c>
      <c r="J13" s="1340">
        <v>0</v>
      </c>
      <c r="K13" s="1340">
        <v>0</v>
      </c>
      <c r="L13" s="1337">
        <f t="shared" ref="L13:L24" si="0">+G13+I13+K13</f>
        <v>26737</v>
      </c>
      <c r="M13" s="1340">
        <v>0</v>
      </c>
    </row>
    <row r="14" spans="2:14" ht="20.100000000000001" customHeight="1" x14ac:dyDescent="0.2">
      <c r="B14" s="1334" t="s">
        <v>2085</v>
      </c>
      <c r="C14" s="1338">
        <v>10.555</v>
      </c>
      <c r="D14" s="1339" t="s">
        <v>2096</v>
      </c>
      <c r="E14" s="1340">
        <v>36501</v>
      </c>
      <c r="F14" s="1340">
        <v>0</v>
      </c>
      <c r="G14" s="1340">
        <v>36501</v>
      </c>
      <c r="H14" s="1340">
        <v>0</v>
      </c>
      <c r="I14" s="1340">
        <v>0</v>
      </c>
      <c r="J14" s="1340">
        <v>0</v>
      </c>
      <c r="K14" s="1340">
        <v>0</v>
      </c>
      <c r="L14" s="1337">
        <f t="shared" si="0"/>
        <v>36501</v>
      </c>
      <c r="M14" s="1340">
        <v>0</v>
      </c>
    </row>
    <row r="15" spans="2:14" ht="20.100000000000001" customHeight="1" x14ac:dyDescent="0.2">
      <c r="B15" s="1334" t="s">
        <v>2086</v>
      </c>
      <c r="C15" s="1338">
        <v>10.555</v>
      </c>
      <c r="D15" s="1339" t="s">
        <v>2095</v>
      </c>
      <c r="E15" s="1340">
        <v>0</v>
      </c>
      <c r="F15" s="1340">
        <v>5997</v>
      </c>
      <c r="G15" s="1340">
        <v>0</v>
      </c>
      <c r="H15" s="1340">
        <v>0</v>
      </c>
      <c r="I15" s="1340">
        <v>5997</v>
      </c>
      <c r="J15" s="1340">
        <v>0</v>
      </c>
      <c r="K15" s="1340">
        <v>0</v>
      </c>
      <c r="L15" s="1337">
        <f t="shared" si="0"/>
        <v>5997</v>
      </c>
      <c r="M15" s="1340">
        <v>0</v>
      </c>
    </row>
    <row r="16" spans="2:14" ht="20.100000000000001" customHeight="1" x14ac:dyDescent="0.2">
      <c r="B16" s="1334" t="s">
        <v>2086</v>
      </c>
      <c r="C16" s="1338">
        <v>10.555</v>
      </c>
      <c r="D16" s="1339" t="s">
        <v>2096</v>
      </c>
      <c r="E16" s="1340">
        <v>6251</v>
      </c>
      <c r="F16" s="1340">
        <v>0</v>
      </c>
      <c r="G16" s="1340">
        <v>6251</v>
      </c>
      <c r="H16" s="1340">
        <v>0</v>
      </c>
      <c r="I16" s="1340">
        <v>0</v>
      </c>
      <c r="J16" s="1340">
        <v>0</v>
      </c>
      <c r="K16" s="1340">
        <v>0</v>
      </c>
      <c r="L16" s="1337">
        <f t="shared" si="0"/>
        <v>6251</v>
      </c>
      <c r="M16" s="1340">
        <v>0</v>
      </c>
    </row>
    <row r="17" spans="2:13" ht="20.100000000000001" customHeight="1" x14ac:dyDescent="0.2">
      <c r="B17" s="1334" t="s">
        <v>2087</v>
      </c>
      <c r="C17" s="1338"/>
      <c r="D17" s="1339"/>
      <c r="E17" s="1340">
        <f t="shared" ref="E17:M17" si="1">SUM(E13:E16)</f>
        <v>42752</v>
      </c>
      <c r="F17" s="1340">
        <f t="shared" si="1"/>
        <v>32734</v>
      </c>
      <c r="G17" s="1340">
        <f t="shared" si="1"/>
        <v>42752</v>
      </c>
      <c r="H17" s="1340">
        <f t="shared" si="1"/>
        <v>0</v>
      </c>
      <c r="I17" s="1340">
        <f t="shared" si="1"/>
        <v>32734</v>
      </c>
      <c r="J17" s="1340">
        <f t="shared" si="1"/>
        <v>0</v>
      </c>
      <c r="K17" s="1340">
        <f t="shared" si="1"/>
        <v>0</v>
      </c>
      <c r="L17" s="1337">
        <f t="shared" si="1"/>
        <v>75486</v>
      </c>
      <c r="M17" s="1340">
        <f t="shared" si="1"/>
        <v>0</v>
      </c>
    </row>
    <row r="18" spans="2:13" ht="20.100000000000001" customHeight="1" x14ac:dyDescent="0.2">
      <c r="B18" s="1334" t="s">
        <v>2088</v>
      </c>
      <c r="C18" s="1338">
        <v>10.555</v>
      </c>
      <c r="D18" s="1339" t="s">
        <v>2097</v>
      </c>
      <c r="E18" s="1340">
        <v>0</v>
      </c>
      <c r="F18" s="1340">
        <v>162564</v>
      </c>
      <c r="G18" s="1340">
        <v>0</v>
      </c>
      <c r="H18" s="1340">
        <v>0</v>
      </c>
      <c r="I18" s="1340">
        <v>162564</v>
      </c>
      <c r="J18" s="1340">
        <f>198759-192525</f>
        <v>6234</v>
      </c>
      <c r="K18" s="1340">
        <v>0</v>
      </c>
      <c r="L18" s="1337">
        <f t="shared" si="0"/>
        <v>162564</v>
      </c>
      <c r="M18" s="1340">
        <v>197000</v>
      </c>
    </row>
    <row r="19" spans="2:13" ht="20.100000000000001" customHeight="1" x14ac:dyDescent="0.2">
      <c r="B19" s="1334" t="s">
        <v>2088</v>
      </c>
      <c r="C19" s="1338">
        <v>10.555</v>
      </c>
      <c r="D19" s="1339" t="s">
        <v>2098</v>
      </c>
      <c r="E19" s="1340">
        <v>166755</v>
      </c>
      <c r="F19" s="1340">
        <v>36195</v>
      </c>
      <c r="G19" s="1340">
        <v>166755</v>
      </c>
      <c r="H19" s="1340">
        <v>6344</v>
      </c>
      <c r="I19" s="1340">
        <v>36195</v>
      </c>
      <c r="J19" s="1340">
        <v>0</v>
      </c>
      <c r="K19" s="1340">
        <v>0</v>
      </c>
      <c r="L19" s="1337">
        <f t="shared" si="0"/>
        <v>202950</v>
      </c>
      <c r="M19" s="1340">
        <v>190000</v>
      </c>
    </row>
    <row r="20" spans="2:13" ht="20.100000000000001" customHeight="1" x14ac:dyDescent="0.2">
      <c r="B20" s="1334" t="s">
        <v>2088</v>
      </c>
      <c r="C20" s="1338">
        <v>10.555</v>
      </c>
      <c r="D20" s="1339" t="s">
        <v>2099</v>
      </c>
      <c r="E20" s="1340">
        <v>37233</v>
      </c>
      <c r="F20" s="1340">
        <v>0</v>
      </c>
      <c r="G20" s="1340">
        <v>37233</v>
      </c>
      <c r="H20" s="1340">
        <v>0</v>
      </c>
      <c r="I20" s="1340">
        <v>0</v>
      </c>
      <c r="J20" s="1340">
        <v>0</v>
      </c>
      <c r="K20" s="1340">
        <v>0</v>
      </c>
      <c r="L20" s="1337">
        <f t="shared" si="0"/>
        <v>37233</v>
      </c>
      <c r="M20" s="1340">
        <v>212000</v>
      </c>
    </row>
    <row r="21" spans="2:13" ht="20.100000000000001" customHeight="1" x14ac:dyDescent="0.2">
      <c r="B21" s="1334" t="s">
        <v>2087</v>
      </c>
      <c r="C21" s="1338"/>
      <c r="D21" s="1339"/>
      <c r="E21" s="1340">
        <f t="shared" ref="E21:M21" si="2">SUM(E18:E20)</f>
        <v>203988</v>
      </c>
      <c r="F21" s="1340">
        <f t="shared" si="2"/>
        <v>198759</v>
      </c>
      <c r="G21" s="1340">
        <f t="shared" si="2"/>
        <v>203988</v>
      </c>
      <c r="H21" s="1340">
        <f t="shared" si="2"/>
        <v>6344</v>
      </c>
      <c r="I21" s="1340">
        <f t="shared" si="2"/>
        <v>198759</v>
      </c>
      <c r="J21" s="1340">
        <f t="shared" si="2"/>
        <v>6234</v>
      </c>
      <c r="K21" s="1340">
        <f t="shared" si="2"/>
        <v>0</v>
      </c>
      <c r="L21" s="1337">
        <f t="shared" si="2"/>
        <v>402747</v>
      </c>
      <c r="M21" s="1340">
        <f t="shared" si="2"/>
        <v>599000</v>
      </c>
    </row>
    <row r="22" spans="2:13" ht="20.100000000000001" customHeight="1" x14ac:dyDescent="0.2">
      <c r="B22" s="1334" t="s">
        <v>2089</v>
      </c>
      <c r="C22" s="1338">
        <v>10.553000000000001</v>
      </c>
      <c r="D22" s="1339" t="s">
        <v>2100</v>
      </c>
      <c r="E22" s="1340">
        <v>0</v>
      </c>
      <c r="F22" s="1340">
        <v>44640</v>
      </c>
      <c r="G22" s="1340">
        <v>0</v>
      </c>
      <c r="H22" s="1340">
        <v>0</v>
      </c>
      <c r="I22" s="1340">
        <v>44640</v>
      </c>
      <c r="J22" s="1340">
        <f>53532-50083</f>
        <v>3449</v>
      </c>
      <c r="K22" s="1340">
        <v>0</v>
      </c>
      <c r="L22" s="1337">
        <f t="shared" si="0"/>
        <v>44640</v>
      </c>
      <c r="M22" s="1340">
        <v>50000</v>
      </c>
    </row>
    <row r="23" spans="2:13" ht="20.100000000000001" customHeight="1" x14ac:dyDescent="0.2">
      <c r="B23" s="1334" t="s">
        <v>2089</v>
      </c>
      <c r="C23" s="1338">
        <v>10.553000000000001</v>
      </c>
      <c r="D23" s="1339" t="s">
        <v>2101</v>
      </c>
      <c r="E23" s="1340">
        <v>44595</v>
      </c>
      <c r="F23" s="1340">
        <v>8892</v>
      </c>
      <c r="G23" s="1340">
        <v>44595</v>
      </c>
      <c r="H23" s="1340">
        <v>3487</v>
      </c>
      <c r="I23" s="1340">
        <v>8892</v>
      </c>
      <c r="J23" s="1340">
        <v>0</v>
      </c>
      <c r="K23" s="1340">
        <v>0</v>
      </c>
      <c r="L23" s="1337">
        <f t="shared" si="0"/>
        <v>53487</v>
      </c>
      <c r="M23" s="1340">
        <v>50000</v>
      </c>
    </row>
    <row r="24" spans="2:13" ht="20.100000000000001" customHeight="1" x14ac:dyDescent="0.2">
      <c r="B24" s="1334" t="s">
        <v>2089</v>
      </c>
      <c r="C24" s="1338">
        <v>10.553000000000001</v>
      </c>
      <c r="D24" s="1339" t="s">
        <v>2102</v>
      </c>
      <c r="E24" s="1340">
        <v>9394</v>
      </c>
      <c r="F24" s="1340">
        <v>0</v>
      </c>
      <c r="G24" s="1340">
        <v>9394</v>
      </c>
      <c r="H24" s="1340">
        <v>0</v>
      </c>
      <c r="I24" s="1340">
        <v>0</v>
      </c>
      <c r="J24" s="1340">
        <v>0</v>
      </c>
      <c r="K24" s="1340">
        <v>0</v>
      </c>
      <c r="L24" s="1337">
        <f t="shared" si="0"/>
        <v>9394</v>
      </c>
      <c r="M24" s="1340">
        <v>56000</v>
      </c>
    </row>
    <row r="25" spans="2:13" ht="20.100000000000001" customHeight="1" x14ac:dyDescent="0.2">
      <c r="B25" s="1334" t="s">
        <v>2087</v>
      </c>
      <c r="C25" s="1338"/>
      <c r="D25" s="1339"/>
      <c r="E25" s="1340">
        <f t="shared" ref="E25:M25" si="3">SUM(E22:E24)</f>
        <v>53989</v>
      </c>
      <c r="F25" s="1340">
        <f t="shared" si="3"/>
        <v>53532</v>
      </c>
      <c r="G25" s="1340">
        <f t="shared" si="3"/>
        <v>53989</v>
      </c>
      <c r="H25" s="1340">
        <f t="shared" si="3"/>
        <v>3487</v>
      </c>
      <c r="I25" s="1340">
        <f t="shared" si="3"/>
        <v>53532</v>
      </c>
      <c r="J25" s="1340">
        <f t="shared" si="3"/>
        <v>3449</v>
      </c>
      <c r="K25" s="1340">
        <f t="shared" si="3"/>
        <v>0</v>
      </c>
      <c r="L25" s="1337">
        <f t="shared" si="3"/>
        <v>107521</v>
      </c>
      <c r="M25" s="1340">
        <f t="shared" si="3"/>
        <v>156000</v>
      </c>
    </row>
    <row r="26" spans="2:13" ht="20.100000000000001" customHeight="1" x14ac:dyDescent="0.2">
      <c r="B26" s="1334" t="s">
        <v>2090</v>
      </c>
      <c r="C26" s="1338"/>
      <c r="D26" s="1339"/>
      <c r="E26" s="1340">
        <f t="shared" ref="E26:M26" si="4">E17+E21+E25</f>
        <v>300729</v>
      </c>
      <c r="F26" s="1340">
        <f t="shared" si="4"/>
        <v>285025</v>
      </c>
      <c r="G26" s="1340">
        <f t="shared" si="4"/>
        <v>300729</v>
      </c>
      <c r="H26" s="1340">
        <f t="shared" si="4"/>
        <v>9831</v>
      </c>
      <c r="I26" s="1340">
        <f t="shared" si="4"/>
        <v>285025</v>
      </c>
      <c r="J26" s="1340">
        <f t="shared" si="4"/>
        <v>9683</v>
      </c>
      <c r="K26" s="1340">
        <f t="shared" si="4"/>
        <v>0</v>
      </c>
      <c r="L26" s="1337">
        <f t="shared" si="4"/>
        <v>585754</v>
      </c>
      <c r="M26" s="1340">
        <f t="shared" si="4"/>
        <v>755000</v>
      </c>
    </row>
    <row r="27" spans="2:13" ht="20.100000000000001" customHeight="1" x14ac:dyDescent="0.2">
      <c r="B27" s="1334"/>
      <c r="C27" s="1338"/>
      <c r="D27" s="1339"/>
      <c r="E27" s="1340"/>
      <c r="F27" s="1340"/>
      <c r="G27" s="1340"/>
      <c r="H27" s="1340"/>
      <c r="I27" s="1340"/>
      <c r="J27" s="1340"/>
      <c r="K27" s="1340"/>
      <c r="L27" s="1337"/>
      <c r="M27" s="1340"/>
    </row>
    <row r="28" spans="2:13" ht="20.100000000000001" customHeight="1" x14ac:dyDescent="0.2">
      <c r="B28" s="1334" t="s">
        <v>2091</v>
      </c>
      <c r="C28" s="1338"/>
      <c r="D28" s="1339"/>
      <c r="E28" s="1340"/>
      <c r="F28" s="1340"/>
      <c r="G28" s="1340"/>
      <c r="H28" s="1340"/>
      <c r="I28" s="1340"/>
      <c r="J28" s="1340"/>
      <c r="K28" s="1340"/>
      <c r="L28" s="1337"/>
      <c r="M28" s="1340"/>
    </row>
    <row r="29" spans="2:13" ht="20.100000000000001" customHeight="1" x14ac:dyDescent="0.2">
      <c r="B29" s="1334" t="s">
        <v>2084</v>
      </c>
      <c r="C29" s="1338"/>
      <c r="D29" s="1339"/>
      <c r="E29" s="1340"/>
      <c r="F29" s="1340"/>
      <c r="G29" s="1340"/>
      <c r="H29" s="1340"/>
      <c r="I29" s="1340"/>
      <c r="J29" s="1340"/>
      <c r="K29" s="1340"/>
      <c r="L29" s="1337"/>
      <c r="M29" s="1340"/>
    </row>
    <row r="30" spans="2:13" ht="20.100000000000001" customHeight="1" x14ac:dyDescent="0.2">
      <c r="B30" s="1334" t="s">
        <v>2092</v>
      </c>
      <c r="C30" s="1338" t="s">
        <v>2094</v>
      </c>
      <c r="D30" s="1339" t="s">
        <v>2103</v>
      </c>
      <c r="E30" s="1340">
        <v>0</v>
      </c>
      <c r="F30" s="1340">
        <v>330442</v>
      </c>
      <c r="G30" s="1340">
        <v>0</v>
      </c>
      <c r="H30" s="1340">
        <v>0</v>
      </c>
      <c r="I30" s="1340">
        <v>358599</v>
      </c>
      <c r="J30" s="1340">
        <v>0</v>
      </c>
      <c r="K30" s="1340">
        <v>0</v>
      </c>
      <c r="L30" s="1337">
        <f>G30+I30+K30</f>
        <v>358599</v>
      </c>
      <c r="M30" s="1340">
        <v>337946</v>
      </c>
    </row>
    <row r="31" spans="2:13" ht="20.100000000000001" customHeight="1" x14ac:dyDescent="0.2">
      <c r="B31" s="1334" t="s">
        <v>2092</v>
      </c>
      <c r="C31" s="1338" t="s">
        <v>2094</v>
      </c>
      <c r="D31" s="1339" t="s">
        <v>2104</v>
      </c>
      <c r="E31" s="1340">
        <v>254123</v>
      </c>
      <c r="F31" s="1340">
        <v>126672</v>
      </c>
      <c r="G31" s="1340">
        <v>339098</v>
      </c>
      <c r="H31" s="1340">
        <v>0</v>
      </c>
      <c r="I31" s="1340">
        <v>41697</v>
      </c>
      <c r="J31" s="1340">
        <v>0</v>
      </c>
      <c r="K31" s="1340">
        <v>0</v>
      </c>
      <c r="L31" s="1337">
        <f>G31+I31+K31</f>
        <v>380795</v>
      </c>
      <c r="M31" s="1340">
        <v>394762</v>
      </c>
    </row>
    <row r="32" spans="2:13" ht="20.100000000000001" customHeight="1" x14ac:dyDescent="0.2">
      <c r="B32" s="1334" t="s">
        <v>2092</v>
      </c>
      <c r="C32" s="1338" t="s">
        <v>2094</v>
      </c>
      <c r="D32" s="1339" t="s">
        <v>2105</v>
      </c>
      <c r="E32" s="1340">
        <v>19072</v>
      </c>
      <c r="F32" s="1340">
        <v>0</v>
      </c>
      <c r="G32" s="1340">
        <v>0</v>
      </c>
      <c r="H32" s="1340">
        <v>0</v>
      </c>
      <c r="I32" s="1340">
        <v>0</v>
      </c>
      <c r="J32" s="1340">
        <v>0</v>
      </c>
      <c r="K32" s="1340">
        <v>0</v>
      </c>
      <c r="L32" s="1337">
        <f>G32+I32+K32</f>
        <v>0</v>
      </c>
      <c r="M32" s="1340">
        <v>310805</v>
      </c>
    </row>
    <row r="33" spans="2:14" ht="20.100000000000001" customHeight="1" x14ac:dyDescent="0.2">
      <c r="B33" s="1334" t="s">
        <v>2093</v>
      </c>
      <c r="C33" s="1338"/>
      <c r="D33" s="1339"/>
      <c r="E33" s="1340">
        <f t="shared" ref="E33:M33" si="5">SUM(E30:E32)</f>
        <v>273195</v>
      </c>
      <c r="F33" s="1340">
        <f t="shared" si="5"/>
        <v>457114</v>
      </c>
      <c r="G33" s="1340">
        <f t="shared" si="5"/>
        <v>339098</v>
      </c>
      <c r="H33" s="1340">
        <f t="shared" si="5"/>
        <v>0</v>
      </c>
      <c r="I33" s="1340">
        <f t="shared" si="5"/>
        <v>400296</v>
      </c>
      <c r="J33" s="1340">
        <f t="shared" si="5"/>
        <v>0</v>
      </c>
      <c r="K33" s="1340">
        <f t="shared" si="5"/>
        <v>0</v>
      </c>
      <c r="L33" s="1337">
        <f t="shared" si="5"/>
        <v>739394</v>
      </c>
      <c r="M33" s="1340">
        <f t="shared" si="5"/>
        <v>1043513</v>
      </c>
      <c r="N33" s="1341"/>
    </row>
    <row r="34" spans="2:14" ht="12.75" customHeight="1" x14ac:dyDescent="0.2">
      <c r="B34" s="1342"/>
      <c r="C34" s="1343"/>
      <c r="D34" s="1344"/>
      <c r="E34" s="1345"/>
      <c r="F34" s="1345"/>
      <c r="G34" s="1345"/>
      <c r="H34" s="1345"/>
      <c r="I34" s="1345"/>
      <c r="J34" s="1345"/>
      <c r="K34" s="1345"/>
      <c r="L34" s="1345"/>
      <c r="M34" s="1345"/>
      <c r="N34" s="1341"/>
    </row>
    <row r="35" spans="2:14" ht="13.5" customHeight="1" x14ac:dyDescent="0.2">
      <c r="B35" s="1279" t="s">
        <v>1729</v>
      </c>
      <c r="C35" s="1346"/>
      <c r="D35" s="1347"/>
      <c r="E35" s="1254"/>
      <c r="F35" s="1254"/>
      <c r="G35" s="1247"/>
      <c r="H35" s="1247"/>
      <c r="I35" s="1247"/>
      <c r="J35" s="1247"/>
      <c r="K35" s="1247"/>
      <c r="L35" s="1247"/>
      <c r="M35" s="1254"/>
      <c r="N35" s="1341"/>
    </row>
    <row r="36" spans="2:14" ht="8.25" customHeight="1" x14ac:dyDescent="0.2">
      <c r="B36" s="1279"/>
      <c r="C36" s="1346"/>
      <c r="D36" s="1347"/>
      <c r="E36" s="1254"/>
      <c r="F36" s="1254"/>
      <c r="G36" s="1247"/>
      <c r="H36" s="1247"/>
      <c r="I36" s="1247"/>
      <c r="J36" s="1247"/>
      <c r="K36" s="1247"/>
      <c r="L36" s="1247"/>
      <c r="M36" s="1254"/>
      <c r="N36" s="1341"/>
    </row>
    <row r="37" spans="2:14" x14ac:dyDescent="0.2">
      <c r="B37" s="1348" t="s">
        <v>1818</v>
      </c>
      <c r="C37" s="1349"/>
      <c r="D37" s="1350"/>
      <c r="E37" s="1351"/>
      <c r="F37" s="1351"/>
      <c r="G37" s="1351"/>
      <c r="H37" s="1351"/>
      <c r="I37" s="317"/>
      <c r="J37" s="317"/>
    </row>
    <row r="38" spans="2:14" x14ac:dyDescent="0.2">
      <c r="B38" s="1274"/>
      <c r="C38" s="1352"/>
      <c r="D38" s="1353"/>
      <c r="E38" s="1275"/>
      <c r="F38" s="1275"/>
      <c r="G38" s="317"/>
      <c r="H38" s="317"/>
      <c r="I38" s="317"/>
      <c r="J38" s="317"/>
    </row>
    <row r="39" spans="2:14" ht="13.5" customHeight="1" x14ac:dyDescent="0.2">
      <c r="B39" s="1273" t="s">
        <v>1246</v>
      </c>
      <c r="G39" s="317"/>
      <c r="H39" s="317"/>
      <c r="I39" s="317"/>
      <c r="J39" s="317"/>
    </row>
    <row r="40" spans="2:14" ht="13.5" customHeight="1" x14ac:dyDescent="0.2">
      <c r="B40" s="1356"/>
      <c r="C40" s="1357"/>
      <c r="D40" s="1358"/>
      <c r="E40" s="1294"/>
      <c r="F40" s="1294"/>
      <c r="G40" s="1294"/>
      <c r="H40" s="1294"/>
      <c r="I40" s="1294"/>
      <c r="J40" s="1294"/>
      <c r="K40" s="1359"/>
      <c r="L40" s="1359"/>
      <c r="M40" s="1294"/>
    </row>
    <row r="41" spans="2:14" ht="9.6" hidden="1" customHeight="1" x14ac:dyDescent="0.2">
      <c r="B41" s="1360"/>
      <c r="G41" s="317"/>
      <c r="H41" s="317"/>
      <c r="I41" s="317"/>
      <c r="J41" s="317"/>
    </row>
    <row r="42" spans="2:14" ht="11.25" hidden="1" customHeight="1" x14ac:dyDescent="0.2">
      <c r="B42" s="1361" t="s">
        <v>1730</v>
      </c>
      <c r="C42" s="1362"/>
      <c r="D42" s="1362"/>
      <c r="E42" s="1362"/>
      <c r="F42" s="1362"/>
      <c r="G42" s="1362"/>
      <c r="H42" s="1362"/>
      <c r="I42" s="1363"/>
      <c r="J42" s="1363"/>
      <c r="K42" s="1363"/>
      <c r="L42" s="1363"/>
      <c r="M42" s="1363"/>
    </row>
    <row r="43" spans="2:14" ht="11.25" hidden="1" customHeight="1" x14ac:dyDescent="0.2">
      <c r="B43" s="1364" t="s">
        <v>1584</v>
      </c>
      <c r="C43" s="1363"/>
      <c r="D43" s="1363"/>
      <c r="E43" s="1363"/>
      <c r="F43" s="1363"/>
      <c r="G43" s="1363"/>
      <c r="H43" s="1363"/>
      <c r="I43" s="1363"/>
      <c r="J43" s="1363"/>
      <c r="K43" s="1363"/>
      <c r="L43" s="1363"/>
      <c r="M43" s="1363"/>
    </row>
    <row r="44" spans="2:14" ht="3.95" hidden="1" customHeight="1" x14ac:dyDescent="0.2">
      <c r="B44" s="1364"/>
      <c r="C44" s="1363"/>
      <c r="D44" s="1363"/>
      <c r="E44" s="1363"/>
      <c r="F44" s="1363"/>
      <c r="G44" s="1363"/>
      <c r="H44" s="1363"/>
      <c r="I44" s="1363"/>
      <c r="J44" s="1363"/>
      <c r="K44" s="1363"/>
      <c r="L44" s="1363"/>
      <c r="M44" s="1363"/>
    </row>
    <row r="45" spans="2:14" ht="11.25" hidden="1" customHeight="1" x14ac:dyDescent="0.2">
      <c r="B45" s="1361" t="s">
        <v>1731</v>
      </c>
      <c r="C45" s="1363"/>
      <c r="D45" s="1363"/>
      <c r="E45" s="1363"/>
      <c r="F45" s="1363"/>
      <c r="G45" s="1363"/>
      <c r="H45" s="1363"/>
      <c r="I45" s="1363"/>
      <c r="J45" s="1363"/>
      <c r="K45" s="1363"/>
      <c r="L45" s="1363"/>
      <c r="M45" s="1363"/>
    </row>
    <row r="46" spans="2:14" ht="11.25" hidden="1" customHeight="1" x14ac:dyDescent="0.2">
      <c r="B46" s="1297" t="s">
        <v>1585</v>
      </c>
      <c r="C46" s="1365"/>
      <c r="D46" s="1366"/>
      <c r="E46" s="1297"/>
      <c r="F46" s="1297"/>
      <c r="G46" s="1297"/>
      <c r="H46" s="1297"/>
      <c r="I46" s="1297"/>
      <c r="J46" s="1297"/>
      <c r="K46" s="1367"/>
      <c r="L46" s="1367"/>
      <c r="M46" s="1297"/>
    </row>
    <row r="47" spans="2:14" ht="3.95" hidden="1" customHeight="1" x14ac:dyDescent="0.2">
      <c r="B47" s="1297"/>
      <c r="C47" s="1365"/>
      <c r="D47" s="1366"/>
      <c r="E47" s="1297"/>
      <c r="F47" s="1297"/>
      <c r="G47" s="1297"/>
      <c r="H47" s="1297"/>
      <c r="I47" s="1297"/>
      <c r="J47" s="1297"/>
      <c r="K47" s="1367"/>
      <c r="L47" s="1367"/>
      <c r="M47" s="1297"/>
    </row>
    <row r="48" spans="2:14" ht="11.25" hidden="1" customHeight="1" x14ac:dyDescent="0.2">
      <c r="B48" s="1368" t="s">
        <v>1732</v>
      </c>
      <c r="C48" s="1365"/>
      <c r="D48" s="1366"/>
      <c r="E48" s="1297"/>
      <c r="F48" s="1297"/>
      <c r="G48" s="1297"/>
      <c r="H48" s="1297"/>
      <c r="I48" s="1297"/>
      <c r="J48" s="1297"/>
      <c r="K48" s="1367"/>
      <c r="L48" s="1367"/>
      <c r="M48" s="1297"/>
    </row>
    <row r="49" spans="2:13" ht="3.95" hidden="1" customHeight="1" x14ac:dyDescent="0.2">
      <c r="B49" s="1368"/>
      <c r="C49" s="1365"/>
      <c r="D49" s="1366"/>
      <c r="E49" s="1297"/>
      <c r="F49" s="1297"/>
      <c r="G49" s="1297"/>
      <c r="H49" s="1297"/>
      <c r="I49" s="1297"/>
      <c r="J49" s="1297"/>
      <c r="K49" s="1367"/>
      <c r="L49" s="1367"/>
      <c r="M49" s="1297"/>
    </row>
    <row r="50" spans="2:13" ht="11.25" hidden="1" customHeight="1" x14ac:dyDescent="0.2">
      <c r="B50" s="1369" t="s">
        <v>1733</v>
      </c>
      <c r="C50" s="1365"/>
      <c r="D50" s="1366"/>
      <c r="E50" s="1297"/>
      <c r="F50" s="1297"/>
      <c r="G50" s="1297"/>
      <c r="H50" s="1297"/>
      <c r="I50" s="1297"/>
      <c r="J50" s="1297"/>
      <c r="K50" s="1367"/>
      <c r="L50" s="1367"/>
      <c r="M50" s="1297"/>
    </row>
    <row r="51" spans="2:13" ht="11.25" hidden="1" customHeight="1" x14ac:dyDescent="0.2">
      <c r="B51" s="1297" t="s">
        <v>1586</v>
      </c>
      <c r="G51" s="317"/>
      <c r="H51" s="317"/>
      <c r="I51" s="317"/>
      <c r="J51" s="317"/>
    </row>
    <row r="52" spans="2:13" ht="11.1" customHeight="1" x14ac:dyDescent="0.2">
      <c r="B52" s="1297"/>
      <c r="G52" s="317"/>
      <c r="H52" s="317"/>
      <c r="I52" s="317"/>
      <c r="J52" s="317"/>
    </row>
    <row r="53" spans="2:13" ht="11.1" customHeight="1" x14ac:dyDescent="0.2">
      <c r="B53" s="1297"/>
      <c r="G53" s="317"/>
      <c r="H53" s="317"/>
      <c r="I53" s="317"/>
      <c r="J53" s="317"/>
    </row>
    <row r="54" spans="2:13" ht="13.5" customHeight="1" x14ac:dyDescent="0.2">
      <c r="M54" s="1370"/>
    </row>
    <row r="55" spans="2:13" ht="13.5" customHeight="1" x14ac:dyDescent="0.2">
      <c r="M55" s="1370"/>
    </row>
    <row r="56" spans="2:13" ht="13.5" customHeight="1" x14ac:dyDescent="0.2">
      <c r="M56" s="1370"/>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&amp;C60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E116-29BD-44AE-8A36-5AA4AD1D20FD}">
  <dimension ref="B1:N156"/>
  <sheetViews>
    <sheetView showGridLines="0" topLeftCell="A6" zoomScaleNormal="100" workbookViewId="0">
      <selection activeCell="K15" sqref="K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Princeton ESD 115</v>
      </c>
      <c r="C1" s="2432"/>
      <c r="D1" s="2432"/>
      <c r="E1" s="2432"/>
      <c r="F1" s="2432"/>
      <c r="G1" s="2432"/>
      <c r="H1" s="2432"/>
      <c r="I1" s="2432"/>
      <c r="J1" s="2432"/>
      <c r="K1" s="2432"/>
      <c r="L1" s="2432"/>
      <c r="M1" s="2432"/>
    </row>
    <row r="2" spans="2:14" ht="15" x14ac:dyDescent="0.2">
      <c r="B2" s="2433">
        <f>'Single Audit Cover'!E7</f>
        <v>28006115002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2144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1817</v>
      </c>
      <c r="I8" s="1316" t="s">
        <v>1262</v>
      </c>
      <c r="J8" s="1315" t="s">
        <v>1967</v>
      </c>
      <c r="K8" s="1316" t="s">
        <v>1261</v>
      </c>
      <c r="L8" s="1317" t="s">
        <v>1257</v>
      </c>
      <c r="M8" s="1318" t="s">
        <v>30</v>
      </c>
    </row>
    <row r="9" spans="2:14" x14ac:dyDescent="0.2">
      <c r="B9" s="1322" t="s">
        <v>1259</v>
      </c>
      <c r="C9" s="1310" t="s">
        <v>2142</v>
      </c>
      <c r="D9" s="1311" t="s">
        <v>2143</v>
      </c>
      <c r="E9" s="1319" t="s">
        <v>1817</v>
      </c>
      <c r="F9" s="1320" t="s">
        <v>1967</v>
      </c>
      <c r="G9" s="1321" t="s">
        <v>1817</v>
      </c>
      <c r="H9" s="1314" t="s">
        <v>1582</v>
      </c>
      <c r="I9" s="1316" t="s">
        <v>1967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2106</v>
      </c>
      <c r="C11" s="1335" t="s">
        <v>2125</v>
      </c>
      <c r="D11" s="1336" t="s">
        <v>2128</v>
      </c>
      <c r="E11" s="1337">
        <v>0</v>
      </c>
      <c r="F11" s="1337">
        <v>51402</v>
      </c>
      <c r="G11" s="1337">
        <v>0</v>
      </c>
      <c r="H11" s="1337">
        <v>0</v>
      </c>
      <c r="I11" s="1337">
        <v>53947</v>
      </c>
      <c r="J11" s="1337">
        <v>0</v>
      </c>
      <c r="K11" s="1337">
        <v>0</v>
      </c>
      <c r="L11" s="1337">
        <f>G11+I11+K11</f>
        <v>53947</v>
      </c>
      <c r="M11" s="1337">
        <v>48671</v>
      </c>
    </row>
    <row r="12" spans="2:14" ht="20.100000000000001" customHeight="1" x14ac:dyDescent="0.2">
      <c r="B12" s="1334" t="s">
        <v>2106</v>
      </c>
      <c r="C12" s="1338" t="s">
        <v>2125</v>
      </c>
      <c r="D12" s="1339" t="s">
        <v>2129</v>
      </c>
      <c r="E12" s="1340">
        <v>39829</v>
      </c>
      <c r="F12" s="1340">
        <v>8209</v>
      </c>
      <c r="G12" s="1340">
        <v>39829</v>
      </c>
      <c r="H12" s="1340">
        <v>0</v>
      </c>
      <c r="I12" s="1340">
        <v>8209</v>
      </c>
      <c r="J12" s="1340">
        <v>0</v>
      </c>
      <c r="K12" s="1340">
        <v>0</v>
      </c>
      <c r="L12" s="1337">
        <f t="shared" ref="L12:L29" si="0">+G12+I12+K12</f>
        <v>48038</v>
      </c>
      <c r="M12" s="1340">
        <v>52304</v>
      </c>
    </row>
    <row r="13" spans="2:14" ht="20.100000000000001" customHeight="1" x14ac:dyDescent="0.2">
      <c r="B13" s="1334" t="s">
        <v>2107</v>
      </c>
      <c r="C13" s="1338"/>
      <c r="D13" s="1339"/>
      <c r="E13" s="1340">
        <f t="shared" ref="E13:K13" si="1">SUM(E11:E12)</f>
        <v>39829</v>
      </c>
      <c r="F13" s="1340">
        <f t="shared" si="1"/>
        <v>59611</v>
      </c>
      <c r="G13" s="1340">
        <f t="shared" si="1"/>
        <v>39829</v>
      </c>
      <c r="H13" s="1340">
        <f t="shared" si="1"/>
        <v>0</v>
      </c>
      <c r="I13" s="1340">
        <f t="shared" si="1"/>
        <v>62156</v>
      </c>
      <c r="J13" s="1340">
        <f t="shared" si="1"/>
        <v>0</v>
      </c>
      <c r="K13" s="1340">
        <f t="shared" si="1"/>
        <v>0</v>
      </c>
      <c r="L13" s="1337">
        <f t="shared" si="0"/>
        <v>101985</v>
      </c>
      <c r="M13" s="1340">
        <f>SUM(M11:M12)</f>
        <v>100975</v>
      </c>
    </row>
    <row r="14" spans="2:14" ht="20.100000000000001" customHeight="1" x14ac:dyDescent="0.2">
      <c r="B14" s="1334" t="s">
        <v>2138</v>
      </c>
      <c r="C14" s="1338" t="s">
        <v>2139</v>
      </c>
      <c r="D14" s="1339" t="s">
        <v>2130</v>
      </c>
      <c r="E14" s="1340">
        <v>0</v>
      </c>
      <c r="F14" s="1340">
        <v>21270</v>
      </c>
      <c r="G14" s="1340">
        <v>0</v>
      </c>
      <c r="H14" s="1340">
        <v>0</v>
      </c>
      <c r="I14" s="1340">
        <v>26766</v>
      </c>
      <c r="J14" s="1340">
        <v>0</v>
      </c>
      <c r="K14" s="1340">
        <v>7295</v>
      </c>
      <c r="L14" s="1337">
        <f>G14+I14+K14</f>
        <v>34061</v>
      </c>
      <c r="M14" s="1340">
        <v>27596</v>
      </c>
    </row>
    <row r="15" spans="2:14" ht="20.100000000000001" customHeight="1" x14ac:dyDescent="0.2">
      <c r="B15" s="1334" t="s">
        <v>2138</v>
      </c>
      <c r="C15" s="1338" t="s">
        <v>2139</v>
      </c>
      <c r="D15" s="1339" t="s">
        <v>2131</v>
      </c>
      <c r="E15" s="1340">
        <v>0</v>
      </c>
      <c r="F15" s="1340">
        <v>11690</v>
      </c>
      <c r="G15" s="1340">
        <v>0</v>
      </c>
      <c r="H15" s="1340">
        <v>0</v>
      </c>
      <c r="I15" s="1340">
        <v>11690</v>
      </c>
      <c r="J15" s="1340">
        <v>0</v>
      </c>
      <c r="K15" s="1340">
        <v>0</v>
      </c>
      <c r="L15" s="1337">
        <f>+G15+I15+K15</f>
        <v>11690</v>
      </c>
      <c r="M15" s="1340">
        <v>15762</v>
      </c>
    </row>
    <row r="16" spans="2:14" ht="20.100000000000001" customHeight="1" x14ac:dyDescent="0.2">
      <c r="B16" s="1334" t="s">
        <v>2112</v>
      </c>
      <c r="C16" s="1338"/>
      <c r="D16" s="1339"/>
      <c r="E16" s="1340">
        <f t="shared" ref="E16:M16" si="2">SUM(E14:E15)</f>
        <v>0</v>
      </c>
      <c r="F16" s="1340">
        <f t="shared" si="2"/>
        <v>32960</v>
      </c>
      <c r="G16" s="1340">
        <f t="shared" si="2"/>
        <v>0</v>
      </c>
      <c r="H16" s="1340">
        <f t="shared" si="2"/>
        <v>0</v>
      </c>
      <c r="I16" s="1340">
        <f t="shared" si="2"/>
        <v>38456</v>
      </c>
      <c r="J16" s="1340">
        <f t="shared" si="2"/>
        <v>0</v>
      </c>
      <c r="K16" s="1340">
        <f t="shared" si="2"/>
        <v>7295</v>
      </c>
      <c r="L16" s="1337">
        <f t="shared" si="2"/>
        <v>45751</v>
      </c>
      <c r="M16" s="1340">
        <f t="shared" si="2"/>
        <v>43358</v>
      </c>
    </row>
    <row r="17" spans="2:14" ht="20.100000000000001" customHeight="1" x14ac:dyDescent="0.2">
      <c r="B17" s="1334" t="s">
        <v>2108</v>
      </c>
      <c r="C17" s="1338" t="s">
        <v>2126</v>
      </c>
      <c r="D17" s="1339" t="s">
        <v>2132</v>
      </c>
      <c r="E17" s="1340">
        <v>0</v>
      </c>
      <c r="F17" s="1340">
        <v>2596</v>
      </c>
      <c r="G17" s="1340">
        <v>0</v>
      </c>
      <c r="H17" s="1340">
        <v>0</v>
      </c>
      <c r="I17" s="1340">
        <v>2596</v>
      </c>
      <c r="J17" s="1340">
        <v>0</v>
      </c>
      <c r="K17" s="1340">
        <v>0</v>
      </c>
      <c r="L17" s="1337">
        <f t="shared" si="0"/>
        <v>2596</v>
      </c>
      <c r="M17" s="1340">
        <v>4219</v>
      </c>
    </row>
    <row r="18" spans="2:14" ht="20.100000000000001" customHeight="1" x14ac:dyDescent="0.2">
      <c r="B18" s="1334" t="s">
        <v>2108</v>
      </c>
      <c r="C18" s="1338" t="s">
        <v>2126</v>
      </c>
      <c r="D18" s="1339" t="s">
        <v>2133</v>
      </c>
      <c r="E18" s="1340">
        <v>4635</v>
      </c>
      <c r="F18" s="1340">
        <v>0</v>
      </c>
      <c r="G18" s="1340">
        <v>4635</v>
      </c>
      <c r="H18" s="1340">
        <v>0</v>
      </c>
      <c r="I18" s="1340">
        <v>0</v>
      </c>
      <c r="J18" s="1340">
        <v>0</v>
      </c>
      <c r="K18" s="1340">
        <v>0</v>
      </c>
      <c r="L18" s="1337">
        <f t="shared" si="0"/>
        <v>4635</v>
      </c>
      <c r="M18" s="1340">
        <v>39791</v>
      </c>
    </row>
    <row r="19" spans="2:14" ht="20.100000000000001" customHeight="1" x14ac:dyDescent="0.2">
      <c r="B19" s="1334" t="s">
        <v>2109</v>
      </c>
      <c r="C19" s="1338"/>
      <c r="D19" s="1339"/>
      <c r="E19" s="1340">
        <f t="shared" ref="E19:K19" si="3">SUM(E17:E18)</f>
        <v>4635</v>
      </c>
      <c r="F19" s="1340">
        <f t="shared" si="3"/>
        <v>2596</v>
      </c>
      <c r="G19" s="1340">
        <f t="shared" si="3"/>
        <v>4635</v>
      </c>
      <c r="H19" s="1340">
        <f t="shared" si="3"/>
        <v>0</v>
      </c>
      <c r="I19" s="1340">
        <f t="shared" si="3"/>
        <v>2596</v>
      </c>
      <c r="J19" s="1340">
        <f t="shared" si="3"/>
        <v>0</v>
      </c>
      <c r="K19" s="1340">
        <f t="shared" si="3"/>
        <v>0</v>
      </c>
      <c r="L19" s="1337">
        <f t="shared" si="0"/>
        <v>7231</v>
      </c>
      <c r="M19" s="1340">
        <f>SUM(M17:M18)</f>
        <v>44010</v>
      </c>
    </row>
    <row r="20" spans="2:14" ht="20.100000000000001" customHeight="1" x14ac:dyDescent="0.2">
      <c r="B20" s="1334" t="s">
        <v>2111</v>
      </c>
      <c r="C20" s="1338" t="s">
        <v>2127</v>
      </c>
      <c r="D20" s="1339" t="s">
        <v>2134</v>
      </c>
      <c r="E20" s="1340">
        <v>0</v>
      </c>
      <c r="F20" s="1340">
        <v>15875</v>
      </c>
      <c r="G20" s="1340">
        <v>0</v>
      </c>
      <c r="H20" s="1340">
        <v>0</v>
      </c>
      <c r="I20" s="1340">
        <v>15875</v>
      </c>
      <c r="J20" s="1340">
        <v>0</v>
      </c>
      <c r="K20" s="1340">
        <v>0</v>
      </c>
      <c r="L20" s="1337">
        <f t="shared" si="0"/>
        <v>15875</v>
      </c>
      <c r="M20" s="1340">
        <v>0</v>
      </c>
    </row>
    <row r="21" spans="2:14" ht="20.100000000000001" customHeight="1" x14ac:dyDescent="0.2">
      <c r="B21" s="1334" t="s">
        <v>2111</v>
      </c>
      <c r="C21" s="1338" t="s">
        <v>2127</v>
      </c>
      <c r="D21" s="1339" t="s">
        <v>2135</v>
      </c>
      <c r="E21" s="1340">
        <v>19625</v>
      </c>
      <c r="F21" s="1340">
        <v>0</v>
      </c>
      <c r="G21" s="1340">
        <v>19625</v>
      </c>
      <c r="H21" s="1340">
        <v>0</v>
      </c>
      <c r="I21" s="1340">
        <v>0</v>
      </c>
      <c r="J21" s="1340">
        <v>0</v>
      </c>
      <c r="K21" s="1340">
        <v>0</v>
      </c>
      <c r="L21" s="1337">
        <f t="shared" si="0"/>
        <v>19625</v>
      </c>
      <c r="M21" s="1340">
        <v>0</v>
      </c>
    </row>
    <row r="22" spans="2:14" ht="20.100000000000001" customHeight="1" x14ac:dyDescent="0.2">
      <c r="B22" s="1334" t="s">
        <v>2140</v>
      </c>
      <c r="C22" s="1338"/>
      <c r="D22" s="1339"/>
      <c r="E22" s="1340">
        <f t="shared" ref="E22:M22" si="4">SUM(E20:E21)</f>
        <v>19625</v>
      </c>
      <c r="F22" s="1340">
        <f t="shared" si="4"/>
        <v>15875</v>
      </c>
      <c r="G22" s="1340">
        <f t="shared" si="4"/>
        <v>19625</v>
      </c>
      <c r="H22" s="1340">
        <f t="shared" si="4"/>
        <v>0</v>
      </c>
      <c r="I22" s="1340">
        <f t="shared" si="4"/>
        <v>15875</v>
      </c>
      <c r="J22" s="1340">
        <f t="shared" si="4"/>
        <v>0</v>
      </c>
      <c r="K22" s="1340">
        <f t="shared" si="4"/>
        <v>0</v>
      </c>
      <c r="L22" s="1337">
        <f t="shared" si="4"/>
        <v>35500</v>
      </c>
      <c r="M22" s="1340">
        <f t="shared" si="4"/>
        <v>0</v>
      </c>
    </row>
    <row r="23" spans="2:14" ht="20.100000000000001" customHeight="1" x14ac:dyDescent="0.2">
      <c r="B23" s="1334" t="s">
        <v>2110</v>
      </c>
      <c r="C23" s="1338"/>
      <c r="D23" s="1339"/>
      <c r="E23" s="1340">
        <f>' SEFA'!E33+' SEFA (2)'!E13+' SEFA (2)'!E16+' SEFA (2)'!E19+' SEFA (2)'!E22</f>
        <v>337284</v>
      </c>
      <c r="F23" s="1340">
        <f>' SEFA'!F33+' SEFA (2)'!F13+' SEFA (2)'!F16+' SEFA (2)'!F19+' SEFA (2)'!F22</f>
        <v>568156</v>
      </c>
      <c r="G23" s="1340">
        <f>' SEFA'!G33+' SEFA (2)'!G13+' SEFA (2)'!G16+' SEFA (2)'!G19+' SEFA (2)'!G22</f>
        <v>403187</v>
      </c>
      <c r="H23" s="1340">
        <f>' SEFA'!H33+' SEFA (2)'!H13+' SEFA (2)'!H16+' SEFA (2)'!H19+' SEFA (2)'!H22</f>
        <v>0</v>
      </c>
      <c r="I23" s="1340">
        <f>' SEFA'!I33+' SEFA (2)'!I13+' SEFA (2)'!I16+' SEFA (2)'!I19+' SEFA (2)'!I22</f>
        <v>519379</v>
      </c>
      <c r="J23" s="1340">
        <f>' SEFA'!J33+' SEFA (2)'!J13+' SEFA (2)'!J16+' SEFA (2)'!J19+' SEFA (2)'!J20+' SEFA (2)'!J22</f>
        <v>0</v>
      </c>
      <c r="K23" s="1340">
        <f>' SEFA'!K33+' SEFA (2)'!K13+' SEFA (2)'!K16+' SEFA (2)'!K19+' SEFA (2)'!K20+' SEFA (2)'!K22</f>
        <v>7295</v>
      </c>
      <c r="L23" s="1337">
        <f>' SEFA'!L33+' SEFA (2)'!L13+' SEFA (2)'!L16+' SEFA (2)'!L19+' SEFA (2)'!L20+' SEFA (2)'!L22</f>
        <v>945736</v>
      </c>
      <c r="M23" s="1340">
        <f>' SEFA'!M33+' SEFA (2)'!M13+' SEFA (2)'!M16+' SEFA (2)'!M19+' SEFA (2)'!M20+' SEFA (2)'!M22</f>
        <v>1231856</v>
      </c>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2113</v>
      </c>
      <c r="C25" s="1338"/>
      <c r="D25" s="1339"/>
      <c r="E25" s="1340"/>
      <c r="F25" s="1340"/>
      <c r="G25" s="1340"/>
      <c r="H25" s="1340"/>
      <c r="I25" s="1340"/>
      <c r="J25" s="1340"/>
      <c r="K25" s="1340"/>
      <c r="L25" s="1337"/>
      <c r="M25" s="1340"/>
    </row>
    <row r="26" spans="2:14" ht="20.100000000000001" customHeight="1" x14ac:dyDescent="0.2">
      <c r="B26" s="1334" t="s">
        <v>2114</v>
      </c>
      <c r="C26" s="1338"/>
      <c r="D26" s="1339"/>
      <c r="E26" s="1340"/>
      <c r="F26" s="1340"/>
      <c r="G26" s="1340"/>
      <c r="H26" s="1340"/>
      <c r="I26" s="1340"/>
      <c r="J26" s="1340"/>
      <c r="K26" s="1340"/>
      <c r="L26" s="1337"/>
      <c r="M26" s="1340"/>
    </row>
    <row r="27" spans="2:14" ht="20.100000000000001" customHeight="1" x14ac:dyDescent="0.2">
      <c r="B27" s="1334" t="s">
        <v>2115</v>
      </c>
      <c r="C27" s="1338" t="s">
        <v>2123</v>
      </c>
      <c r="D27" s="1339" t="s">
        <v>2136</v>
      </c>
      <c r="E27" s="1340">
        <v>0</v>
      </c>
      <c r="F27" s="1340">
        <v>5884</v>
      </c>
      <c r="G27" s="1340">
        <v>0</v>
      </c>
      <c r="H27" s="1340">
        <v>0</v>
      </c>
      <c r="I27" s="1340">
        <v>5884</v>
      </c>
      <c r="J27" s="1340">
        <v>0</v>
      </c>
      <c r="K27" s="1340">
        <v>0</v>
      </c>
      <c r="L27" s="1337">
        <f t="shared" si="0"/>
        <v>5884</v>
      </c>
      <c r="M27" s="1340">
        <v>23000</v>
      </c>
    </row>
    <row r="28" spans="2:14" ht="20.100000000000001" customHeight="1" x14ac:dyDescent="0.2">
      <c r="B28" s="1334" t="s">
        <v>2115</v>
      </c>
      <c r="C28" s="1338" t="s">
        <v>2123</v>
      </c>
      <c r="D28" s="1339" t="s">
        <v>2137</v>
      </c>
      <c r="E28" s="1340">
        <v>23570</v>
      </c>
      <c r="F28" s="1340">
        <v>0</v>
      </c>
      <c r="G28" s="1340">
        <v>23570</v>
      </c>
      <c r="H28" s="1340">
        <v>0</v>
      </c>
      <c r="I28" s="1340">
        <v>0</v>
      </c>
      <c r="J28" s="1340">
        <v>0</v>
      </c>
      <c r="K28" s="1340">
        <v>0</v>
      </c>
      <c r="L28" s="1337">
        <f t="shared" si="0"/>
        <v>23570</v>
      </c>
      <c r="M28" s="1340">
        <v>28000</v>
      </c>
    </row>
    <row r="29" spans="2:14" ht="20.100000000000001" customHeight="1" x14ac:dyDescent="0.2">
      <c r="B29" s="1334" t="s">
        <v>2116</v>
      </c>
      <c r="C29" s="1338"/>
      <c r="D29" s="1339"/>
      <c r="E29" s="1340">
        <f t="shared" ref="E29:K29" si="5">SUM(E27:E28)</f>
        <v>23570</v>
      </c>
      <c r="F29" s="1340">
        <f t="shared" si="5"/>
        <v>5884</v>
      </c>
      <c r="G29" s="1340">
        <f t="shared" si="5"/>
        <v>23570</v>
      </c>
      <c r="H29" s="1340">
        <f t="shared" si="5"/>
        <v>0</v>
      </c>
      <c r="I29" s="1340">
        <f t="shared" si="5"/>
        <v>5884</v>
      </c>
      <c r="J29" s="1340">
        <f t="shared" si="5"/>
        <v>0</v>
      </c>
      <c r="K29" s="1340">
        <f t="shared" si="5"/>
        <v>0</v>
      </c>
      <c r="L29" s="1337">
        <f t="shared" si="0"/>
        <v>29454</v>
      </c>
      <c r="M29" s="1340">
        <f>SUM(M27:M28)</f>
        <v>51000</v>
      </c>
    </row>
    <row r="30" spans="2:14" ht="20.100000000000001" customHeight="1" x14ac:dyDescent="0.2">
      <c r="B30" s="1334"/>
      <c r="C30" s="1338"/>
      <c r="D30" s="1339"/>
      <c r="E30" s="1340"/>
      <c r="F30" s="1340"/>
      <c r="G30" s="1340"/>
      <c r="H30" s="1340"/>
      <c r="I30" s="1340"/>
      <c r="J30" s="1340"/>
      <c r="K30" s="1340"/>
      <c r="L30" s="1337"/>
      <c r="M30" s="1340"/>
    </row>
    <row r="31" spans="2:14" ht="20.100000000000001" customHeight="1" x14ac:dyDescent="0.2">
      <c r="B31" s="1334" t="s">
        <v>2117</v>
      </c>
      <c r="C31" s="1338"/>
      <c r="D31" s="1339"/>
      <c r="E31" s="1340">
        <f>' SEFA'!E26+' SEFA (2)'!E23+' SEFA (2)'!E29</f>
        <v>661583</v>
      </c>
      <c r="F31" s="1340">
        <f>' SEFA'!F26+' SEFA (2)'!F23+' SEFA (2)'!F29</f>
        <v>859065</v>
      </c>
      <c r="G31" s="1340">
        <f>' SEFA'!G26+' SEFA (2)'!G23+' SEFA (2)'!G29</f>
        <v>727486</v>
      </c>
      <c r="H31" s="1340">
        <f>' SEFA'!H26+' SEFA (2)'!H23+' SEFA (2)'!H29</f>
        <v>9831</v>
      </c>
      <c r="I31" s="1340">
        <f>' SEFA'!I26+' SEFA (2)'!I23+' SEFA (2)'!I29</f>
        <v>810288</v>
      </c>
      <c r="J31" s="1340">
        <f>' SEFA'!J26+' SEFA (2)'!J23+' SEFA (2)'!J29</f>
        <v>9683</v>
      </c>
      <c r="K31" s="1340">
        <f>' SEFA'!K26+' SEFA (2)'!K23+' SEFA (2)'!K29</f>
        <v>7295</v>
      </c>
      <c r="L31" s="1337">
        <f>' SEFA'!L26+' SEFA (2)'!L23+' SEFA (2)'!L29</f>
        <v>1560944</v>
      </c>
      <c r="M31" s="1340">
        <f>' SEFA'!M26+' SEFA (2)'!M23+' SEFA (2)'!M29</f>
        <v>2037856</v>
      </c>
      <c r="N31" s="1341"/>
    </row>
    <row r="32" spans="2:14" ht="12.75" customHeight="1" x14ac:dyDescent="0.2">
      <c r="B32" s="1342"/>
      <c r="C32" s="1343"/>
      <c r="D32" s="1344"/>
      <c r="E32" s="1345"/>
      <c r="F32" s="1345"/>
      <c r="G32" s="1345"/>
      <c r="H32" s="1345"/>
      <c r="I32" s="1345"/>
      <c r="J32" s="1345"/>
      <c r="K32" s="1345"/>
      <c r="L32" s="1345"/>
      <c r="M32" s="1345"/>
      <c r="N32" s="1341"/>
    </row>
    <row r="33" spans="2:14" x14ac:dyDescent="0.2">
      <c r="B33" s="1254"/>
      <c r="C33" s="1346"/>
      <c r="D33" s="1347"/>
      <c r="E33" s="1254"/>
      <c r="F33" s="1254"/>
      <c r="G33" s="1247"/>
      <c r="H33" s="1247"/>
      <c r="I33" s="1247"/>
      <c r="J33" s="1247"/>
      <c r="K33" s="1247"/>
      <c r="L33" s="1247"/>
      <c r="M33" s="1254"/>
      <c r="N33" s="1341"/>
    </row>
    <row r="34" spans="2:14" ht="13.5" customHeight="1" x14ac:dyDescent="0.2">
      <c r="B34" s="1279" t="s">
        <v>1729</v>
      </c>
      <c r="C34" s="1346"/>
      <c r="D34" s="1347"/>
      <c r="E34" s="1254"/>
      <c r="F34" s="1254"/>
      <c r="G34" s="1247"/>
      <c r="H34" s="1247"/>
      <c r="I34" s="1247"/>
      <c r="J34" s="1247"/>
      <c r="K34" s="1247"/>
      <c r="L34" s="1247"/>
      <c r="M34" s="1254"/>
      <c r="N34" s="1341"/>
    </row>
    <row r="35" spans="2:14" ht="8.25" customHeight="1" x14ac:dyDescent="0.2">
      <c r="B35" s="1279"/>
      <c r="C35" s="1346"/>
      <c r="D35" s="1347"/>
      <c r="E35" s="1254"/>
      <c r="F35" s="1254"/>
      <c r="G35" s="1247"/>
      <c r="H35" s="1247"/>
      <c r="I35" s="1247"/>
      <c r="J35" s="1247"/>
      <c r="K35" s="1247"/>
      <c r="L35" s="1247"/>
      <c r="M35" s="1254"/>
      <c r="N35" s="1341"/>
    </row>
    <row r="36" spans="2:14" x14ac:dyDescent="0.2">
      <c r="B36" s="1348" t="s">
        <v>1818</v>
      </c>
      <c r="C36" s="1349"/>
      <c r="D36" s="1350"/>
      <c r="E36" s="1351"/>
      <c r="F36" s="1351"/>
      <c r="G36" s="1351"/>
      <c r="H36" s="1351"/>
      <c r="I36" s="317"/>
      <c r="J36" s="317"/>
    </row>
    <row r="37" spans="2:14" x14ac:dyDescent="0.2">
      <c r="B37" s="1274"/>
      <c r="C37" s="1352"/>
      <c r="D37" s="1353"/>
      <c r="E37" s="1275"/>
      <c r="F37" s="1275"/>
      <c r="G37" s="317"/>
      <c r="H37" s="317"/>
      <c r="I37" s="317"/>
      <c r="J37" s="317"/>
    </row>
    <row r="38" spans="2:14" ht="13.5" customHeight="1" x14ac:dyDescent="0.2">
      <c r="B38" s="1273" t="s">
        <v>1246</v>
      </c>
      <c r="G38" s="317"/>
      <c r="H38" s="317"/>
      <c r="I38" s="317"/>
      <c r="J38" s="317"/>
    </row>
    <row r="39" spans="2:14" ht="13.5" customHeight="1" x14ac:dyDescent="0.2">
      <c r="B39" s="1356"/>
      <c r="C39" s="1357"/>
      <c r="D39" s="1358"/>
      <c r="E39" s="1294"/>
      <c r="F39" s="1294"/>
      <c r="G39" s="1294"/>
      <c r="H39" s="1294"/>
      <c r="I39" s="1294"/>
      <c r="J39" s="1294"/>
      <c r="K39" s="1359"/>
      <c r="L39" s="1359"/>
      <c r="M39" s="1294"/>
    </row>
    <row r="40" spans="2:14" ht="9.6" hidden="1" customHeight="1" x14ac:dyDescent="0.2">
      <c r="B40" s="1360"/>
      <c r="G40" s="317"/>
      <c r="H40" s="317"/>
      <c r="I40" s="317"/>
      <c r="J40" s="317"/>
    </row>
    <row r="41" spans="2:14" ht="11.25" hidden="1" customHeight="1" x14ac:dyDescent="0.2">
      <c r="B41" s="1361" t="s">
        <v>1730</v>
      </c>
      <c r="C41" s="1362"/>
      <c r="D41" s="1362"/>
      <c r="E41" s="1362"/>
      <c r="F41" s="1362"/>
      <c r="G41" s="1362"/>
      <c r="H41" s="1362"/>
      <c r="I41" s="1363"/>
      <c r="J41" s="1363"/>
      <c r="K41" s="1363"/>
      <c r="L41" s="1363"/>
      <c r="M41" s="1363"/>
    </row>
    <row r="42" spans="2:14" ht="11.25" hidden="1" customHeight="1" x14ac:dyDescent="0.2">
      <c r="B42" s="1364" t="s">
        <v>1584</v>
      </c>
      <c r="C42" s="1363"/>
      <c r="D42" s="1363"/>
      <c r="E42" s="1363"/>
      <c r="F42" s="1363"/>
      <c r="G42" s="1363"/>
      <c r="H42" s="1363"/>
      <c r="I42" s="1363"/>
      <c r="J42" s="1363"/>
      <c r="K42" s="1363"/>
      <c r="L42" s="1363"/>
      <c r="M42" s="1363"/>
    </row>
    <row r="43" spans="2:14" ht="3.95" hidden="1" customHeight="1" x14ac:dyDescent="0.2">
      <c r="B43" s="1364"/>
      <c r="C43" s="1363"/>
      <c r="D43" s="1363"/>
      <c r="E43" s="1363"/>
      <c r="F43" s="1363"/>
      <c r="G43" s="1363"/>
      <c r="H43" s="1363"/>
      <c r="I43" s="1363"/>
      <c r="J43" s="1363"/>
      <c r="K43" s="1363"/>
      <c r="L43" s="1363"/>
      <c r="M43" s="1363"/>
    </row>
    <row r="44" spans="2:14" ht="11.25" hidden="1" customHeight="1" x14ac:dyDescent="0.2">
      <c r="B44" s="1361" t="s">
        <v>1731</v>
      </c>
      <c r="C44" s="1363"/>
      <c r="D44" s="1363"/>
      <c r="E44" s="1363"/>
      <c r="F44" s="1363"/>
      <c r="G44" s="1363"/>
      <c r="H44" s="1363"/>
      <c r="I44" s="1363"/>
      <c r="J44" s="1363"/>
      <c r="K44" s="1363"/>
      <c r="L44" s="1363"/>
      <c r="M44" s="1363"/>
    </row>
    <row r="45" spans="2:14" ht="11.25" hidden="1" customHeight="1" x14ac:dyDescent="0.2">
      <c r="B45" s="1297" t="s">
        <v>1585</v>
      </c>
      <c r="C45" s="1365"/>
      <c r="D45" s="1366"/>
      <c r="E45" s="1297"/>
      <c r="F45" s="1297"/>
      <c r="G45" s="1297"/>
      <c r="H45" s="1297"/>
      <c r="I45" s="1297"/>
      <c r="J45" s="1297"/>
      <c r="K45" s="1367"/>
      <c r="L45" s="1367"/>
      <c r="M45" s="1297"/>
    </row>
    <row r="46" spans="2:14" ht="3.95" hidden="1" customHeight="1" x14ac:dyDescent="0.2">
      <c r="B46" s="1297"/>
      <c r="C46" s="1365"/>
      <c r="D46" s="1366"/>
      <c r="E46" s="1297"/>
      <c r="F46" s="1297"/>
      <c r="G46" s="1297"/>
      <c r="H46" s="1297"/>
      <c r="I46" s="1297"/>
      <c r="J46" s="1297"/>
      <c r="K46" s="1367"/>
      <c r="L46" s="1367"/>
      <c r="M46" s="1297"/>
    </row>
    <row r="47" spans="2:14" ht="11.25" hidden="1" customHeight="1" x14ac:dyDescent="0.2">
      <c r="B47" s="1368" t="s">
        <v>1732</v>
      </c>
      <c r="C47" s="1365"/>
      <c r="D47" s="1366"/>
      <c r="E47" s="1297"/>
      <c r="F47" s="1297"/>
      <c r="G47" s="1297"/>
      <c r="H47" s="1297"/>
      <c r="I47" s="1297"/>
      <c r="J47" s="1297"/>
      <c r="K47" s="1367"/>
      <c r="L47" s="1367"/>
      <c r="M47" s="1297"/>
    </row>
    <row r="48" spans="2:14" ht="3.95" hidden="1" customHeight="1" x14ac:dyDescent="0.2">
      <c r="B48" s="1368"/>
      <c r="C48" s="1365"/>
      <c r="D48" s="1366"/>
      <c r="E48" s="1297"/>
      <c r="F48" s="1297"/>
      <c r="G48" s="1297"/>
      <c r="H48" s="1297"/>
      <c r="I48" s="1297"/>
      <c r="J48" s="1297"/>
      <c r="K48" s="1367"/>
      <c r="L48" s="1367"/>
      <c r="M48" s="1297"/>
    </row>
    <row r="49" spans="2:13" ht="11.25" hidden="1" customHeight="1" x14ac:dyDescent="0.2">
      <c r="B49" s="1369" t="s">
        <v>1733</v>
      </c>
      <c r="C49" s="1365"/>
      <c r="D49" s="1366"/>
      <c r="E49" s="1297"/>
      <c r="F49" s="1297"/>
      <c r="G49" s="1297"/>
      <c r="H49" s="1297"/>
      <c r="I49" s="1297"/>
      <c r="J49" s="1297"/>
      <c r="K49" s="1367"/>
      <c r="L49" s="1367"/>
      <c r="M49" s="1297"/>
    </row>
    <row r="50" spans="2:13" ht="11.25" hidden="1" customHeight="1" x14ac:dyDescent="0.2">
      <c r="B50" s="1297" t="s">
        <v>1586</v>
      </c>
      <c r="G50" s="317"/>
      <c r="H50" s="317"/>
      <c r="I50" s="317"/>
      <c r="J50" s="317"/>
    </row>
    <row r="51" spans="2:13" ht="11.1" customHeight="1" x14ac:dyDescent="0.2">
      <c r="B51" s="1297"/>
      <c r="G51" s="317"/>
      <c r="H51" s="317"/>
      <c r="I51" s="317"/>
      <c r="J51" s="317"/>
    </row>
    <row r="52" spans="2:13" ht="11.1" customHeight="1" x14ac:dyDescent="0.2">
      <c r="B52" s="1297"/>
      <c r="G52" s="317"/>
      <c r="H52" s="317"/>
      <c r="I52" s="317"/>
      <c r="J52" s="317"/>
    </row>
    <row r="53" spans="2:13" ht="13.5" customHeight="1" x14ac:dyDescent="0.2">
      <c r="M53" s="1370"/>
    </row>
    <row r="54" spans="2:13" ht="13.5" customHeight="1" x14ac:dyDescent="0.2">
      <c r="M54" s="1370"/>
    </row>
    <row r="55" spans="2:13" ht="13.5" customHeight="1" x14ac:dyDescent="0.2">
      <c r="M55" s="1370"/>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&amp;C61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1923</v>
      </c>
    </row>
    <row r="32" spans="1:4" s="181" customFormat="1" x14ac:dyDescent="0.2">
      <c r="A32" s="219"/>
      <c r="B32" s="236"/>
      <c r="C32" s="227"/>
      <c r="D32" s="237" t="s">
        <v>1771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1770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1924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1882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1905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1905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1906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2043</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1883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Princeton ESD 115</v>
      </c>
      <c r="B1" s="2445"/>
      <c r="C1" s="2445"/>
      <c r="D1" s="2445"/>
      <c r="E1" s="2445"/>
      <c r="F1" s="2445"/>
    </row>
    <row r="2" spans="1:7" ht="13.5" customHeight="1" x14ac:dyDescent="0.2">
      <c r="A2" s="2433">
        <f>'Single Audit Cover'!E7</f>
        <v>28006115002</v>
      </c>
      <c r="B2" s="2433"/>
      <c r="C2" s="2433"/>
      <c r="D2" s="2433"/>
      <c r="E2" s="2433"/>
      <c r="F2" s="2433"/>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2145</v>
      </c>
      <c r="C6" s="317"/>
      <c r="D6" s="317"/>
    </row>
    <row r="7" spans="1:7" ht="60.95" customHeight="1" x14ac:dyDescent="0.2">
      <c r="A7" s="2444" t="s">
        <v>2118</v>
      </c>
      <c r="B7" s="2444"/>
      <c r="C7" s="2444"/>
      <c r="D7" s="2444"/>
      <c r="E7" s="2444"/>
      <c r="F7" s="2444"/>
    </row>
    <row r="8" spans="1:7" ht="12" customHeight="1" x14ac:dyDescent="0.2">
      <c r="A8" s="1273"/>
      <c r="B8" s="1279"/>
      <c r="C8" s="1279"/>
      <c r="D8" s="1279"/>
    </row>
    <row r="9" spans="1:7" ht="15" customHeight="1" x14ac:dyDescent="0.2">
      <c r="A9" s="1274" t="s">
        <v>2146</v>
      </c>
      <c r="B9" s="1277"/>
      <c r="C9" s="1277"/>
      <c r="D9" s="1277"/>
      <c r="E9" s="1275"/>
      <c r="F9" s="1275"/>
      <c r="G9" s="1275"/>
    </row>
    <row r="10" spans="1:7" ht="15" customHeight="1" x14ac:dyDescent="0.2">
      <c r="A10" s="1276" t="s">
        <v>1547</v>
      </c>
      <c r="B10" s="1277"/>
      <c r="C10" s="1278"/>
      <c r="D10" s="1277" t="s">
        <v>1548</v>
      </c>
      <c r="E10" s="1278" t="s">
        <v>2042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5.15" customHeight="1" x14ac:dyDescent="0.2">
      <c r="A13" s="2444" t="s">
        <v>2119</v>
      </c>
      <c r="B13" s="2444"/>
      <c r="C13" s="2444"/>
      <c r="D13" s="2444"/>
      <c r="E13" s="2444"/>
      <c r="F13" s="2444"/>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t="s">
        <v>2120</v>
      </c>
      <c r="C17" s="1282">
        <v>10.555</v>
      </c>
      <c r="D17" s="2437">
        <v>6234</v>
      </c>
      <c r="E17" s="2437"/>
      <c r="F17" s="2437"/>
    </row>
    <row r="18" spans="1:6" ht="20.65" customHeight="1" x14ac:dyDescent="0.2">
      <c r="A18" s="1280"/>
      <c r="B18" s="1281" t="s">
        <v>2121</v>
      </c>
      <c r="C18" s="1282">
        <v>10.553000000000001</v>
      </c>
      <c r="D18" s="2437">
        <v>3449</v>
      </c>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8" t="s">
        <v>2147</v>
      </c>
      <c r="B32" s="2438"/>
      <c r="C32" s="2438"/>
      <c r="D32" s="2438"/>
      <c r="E32" s="2438"/>
      <c r="F32" s="2438"/>
    </row>
    <row r="33" spans="1:6" ht="13.5" customHeight="1" x14ac:dyDescent="0.2">
      <c r="A33" s="328" t="s">
        <v>1434</v>
      </c>
      <c r="B33" s="328"/>
      <c r="C33" s="1285">
        <v>32734</v>
      </c>
      <c r="D33" s="1903"/>
      <c r="E33" s="1283"/>
    </row>
    <row r="34" spans="1:6" ht="13.5" customHeight="1" x14ac:dyDescent="0.2">
      <c r="A34" s="328" t="s">
        <v>1816</v>
      </c>
      <c r="B34" s="328"/>
      <c r="C34" s="1286">
        <v>0</v>
      </c>
      <c r="D34" s="1903" t="s">
        <v>1589</v>
      </c>
      <c r="E34" s="2439">
        <f>+C33+C34</f>
        <v>32734</v>
      </c>
      <c r="F34" s="244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1728</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hidden="1" customHeight="1" x14ac:dyDescent="0.2">
      <c r="A49" s="1296">
        <v>5</v>
      </c>
      <c r="B49" s="2441" t="s">
        <v>1590</v>
      </c>
      <c r="C49" s="2441"/>
      <c r="D49" s="2441"/>
      <c r="E49" s="1396"/>
    </row>
    <row r="50" spans="1:5" s="1297" customFormat="1" ht="3.75" hidden="1" customHeight="1" x14ac:dyDescent="0.2">
      <c r="A50" s="1296"/>
      <c r="B50" s="1845"/>
      <c r="C50" s="1845"/>
      <c r="D50" s="1845"/>
      <c r="E50" s="1396"/>
    </row>
    <row r="51" spans="1:5" s="1297" customFormat="1" ht="20.25" hidden="1" customHeight="1" x14ac:dyDescent="0.2">
      <c r="A51" s="1298">
        <v>6</v>
      </c>
      <c r="B51" s="2436" t="s">
        <v>1551</v>
      </c>
      <c r="C51" s="2436"/>
      <c r="D51" s="2436"/>
    </row>
    <row r="52" spans="1:5" ht="14.25" customHeight="1" x14ac:dyDescent="0.2">
      <c r="A52" s="1298"/>
      <c r="B52" s="2436"/>
      <c r="C52" s="2436"/>
      <c r="D52" s="243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5" header="0.26" footer="0.5"/>
  <pageSetup scale="94" firstPageNumber="39" orientation="portrait" useFirstPageNumber="1" r:id="rId1"/>
  <headerFooter alignWithMargins="0">
    <oddFooter>&amp;C62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4"/>
  <sheetViews>
    <sheetView showGridLines="0" topLeftCell="A10" zoomScale="110" zoomScaleNormal="110" workbookViewId="0">
      <selection activeCell="G39" sqref="G39:I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Princeton ESD 115</v>
      </c>
      <c r="C1" s="2460"/>
      <c r="D1" s="2460"/>
      <c r="E1" s="2460"/>
      <c r="F1" s="2460"/>
      <c r="G1" s="2460"/>
      <c r="H1" s="2460"/>
      <c r="I1" s="2460"/>
      <c r="J1" s="1406"/>
    </row>
    <row r="2" spans="2:10" s="317" customFormat="1" ht="12.75" customHeight="1" x14ac:dyDescent="0.2">
      <c r="B2" s="2461">
        <f>'Single Audit Cover'!E7</f>
        <v>28006115002</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t="s">
        <v>1164</v>
      </c>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2042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2042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2042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2042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2042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t="s">
        <v>2122</v>
      </c>
      <c r="E29" s="2466"/>
      <c r="F29" s="2466"/>
      <c r="G29" s="2466"/>
      <c r="H29" s="2466"/>
      <c r="I29" s="2466"/>
    </row>
    <row r="30" spans="2:9" s="317" customFormat="1" x14ac:dyDescent="0.2">
      <c r="B30" s="1365"/>
      <c r="C30" s="322"/>
      <c r="D30" s="1417" t="s">
        <v>1442</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2042</v>
      </c>
      <c r="H33" s="1297" t="s">
        <v>99</v>
      </c>
    </row>
    <row r="35" spans="2:9" x14ac:dyDescent="0.2">
      <c r="B35" s="1425" t="s">
        <v>2149</v>
      </c>
      <c r="C35" s="1426"/>
      <c r="D35" s="1264"/>
    </row>
    <row r="36" spans="2:9" ht="6" customHeight="1" x14ac:dyDescent="0.2">
      <c r="B36" s="1425"/>
      <c r="C36" s="1426"/>
      <c r="D36" s="1264"/>
    </row>
    <row r="37" spans="2:9" ht="17.25" customHeight="1" x14ac:dyDescent="0.2">
      <c r="B37" s="1427" t="s">
        <v>2148</v>
      </c>
      <c r="C37" s="2467" t="s">
        <v>2150</v>
      </c>
      <c r="D37" s="2468"/>
      <c r="E37" s="2468"/>
      <c r="F37" s="2469"/>
      <c r="G37" s="2467" t="s">
        <v>1592</v>
      </c>
      <c r="H37" s="2468"/>
      <c r="I37" s="2469"/>
    </row>
    <row r="38" spans="2:9" ht="16.5" customHeight="1" x14ac:dyDescent="0.2">
      <c r="B38" s="1428" t="s">
        <v>2094</v>
      </c>
      <c r="C38" s="2455" t="s">
        <v>918</v>
      </c>
      <c r="D38" s="2456"/>
      <c r="E38" s="2456"/>
      <c r="F38" s="2457"/>
      <c r="G38" s="2470">
        <v>400296</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1593</v>
      </c>
      <c r="D43" s="2449"/>
      <c r="E43" s="2449"/>
      <c r="F43" s="2450"/>
      <c r="G43" s="2451">
        <f>SUM(G38:I42)</f>
        <v>400296</v>
      </c>
      <c r="H43" s="2451"/>
      <c r="I43" s="2451"/>
    </row>
    <row r="44" spans="2:9" ht="12.75" customHeight="1" x14ac:dyDescent="0.2"/>
    <row r="45" spans="2:9" ht="12.75" customHeight="1" x14ac:dyDescent="0.2">
      <c r="B45" s="1419" t="s">
        <v>2051</v>
      </c>
      <c r="D45" s="2452">
        <v>810288</v>
      </c>
      <c r="E45" s="2453"/>
    </row>
    <row r="46" spans="2:9" ht="5.25" customHeight="1" x14ac:dyDescent="0.2">
      <c r="B46" s="1429"/>
      <c r="D46" s="1430"/>
      <c r="E46" s="1431"/>
    </row>
    <row r="47" spans="2:9" ht="12.75" customHeight="1" x14ac:dyDescent="0.2">
      <c r="B47" s="1297" t="s">
        <v>1594</v>
      </c>
      <c r="C47" s="1297"/>
      <c r="D47" s="1432">
        <f>+G43/D45</f>
        <v>0.49401694212428171</v>
      </c>
      <c r="E47" s="1433"/>
      <c r="F47" s="1434"/>
      <c r="I47" s="1435"/>
    </row>
    <row r="48" spans="2:9" ht="9.9499999999999993" customHeight="1" x14ac:dyDescent="0.2"/>
    <row r="49" spans="1:9" x14ac:dyDescent="0.2">
      <c r="B49" s="1365" t="s">
        <v>1273</v>
      </c>
      <c r="C49" s="1279"/>
      <c r="D49" s="1279"/>
      <c r="E49" s="2454">
        <v>750000</v>
      </c>
      <c r="F49" s="2454"/>
      <c r="G49" s="2454"/>
      <c r="H49" s="322"/>
    </row>
    <row r="51" spans="1:9" ht="13.5" customHeight="1" x14ac:dyDescent="0.2">
      <c r="B51" s="1365" t="s">
        <v>1272</v>
      </c>
      <c r="C51" s="1279"/>
      <c r="E51" s="1422"/>
      <c r="F51" s="1297" t="s">
        <v>885</v>
      </c>
      <c r="G51" s="1422" t="s">
        <v>2042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hidden="1" x14ac:dyDescent="0.2">
      <c r="A54" s="1442"/>
      <c r="B54" s="1443" t="s">
        <v>1737</v>
      </c>
      <c r="C54" s="1444"/>
      <c r="D54" s="1444"/>
    </row>
    <row r="55" spans="1:9" s="1445" customFormat="1" ht="12.75" hidden="1" customHeight="1" x14ac:dyDescent="0.2">
      <c r="A55" s="1442"/>
      <c r="B55" s="1446" t="s">
        <v>1595</v>
      </c>
      <c r="C55" s="1442"/>
      <c r="D55" s="1442"/>
    </row>
    <row r="56" spans="1:9" s="1445" customFormat="1" ht="12.75" hidden="1" customHeight="1" x14ac:dyDescent="0.2">
      <c r="A56" s="1442"/>
      <c r="B56" s="1446" t="s">
        <v>1596</v>
      </c>
      <c r="C56" s="1442"/>
      <c r="D56" s="1442"/>
    </row>
    <row r="57" spans="1:9" s="1445" customFormat="1" ht="3.95" hidden="1" customHeight="1" x14ac:dyDescent="0.2">
      <c r="A57" s="1442"/>
      <c r="B57" s="1446"/>
      <c r="C57" s="1442"/>
      <c r="D57" s="1442"/>
    </row>
    <row r="58" spans="1:9" s="1445" customFormat="1" ht="13.5" hidden="1" customHeight="1" x14ac:dyDescent="0.2">
      <c r="A58" s="1442"/>
      <c r="B58" s="1447" t="s">
        <v>1738</v>
      </c>
      <c r="C58" s="1448"/>
      <c r="D58" s="1448"/>
    </row>
    <row r="59" spans="1:9" s="1445" customFormat="1" ht="3.95" hidden="1" customHeight="1" x14ac:dyDescent="0.2">
      <c r="A59" s="1442"/>
      <c r="B59" s="1447"/>
      <c r="C59" s="1448"/>
      <c r="D59" s="1448"/>
    </row>
    <row r="60" spans="1:9" s="1445" customFormat="1" ht="13.5" hidden="1" customHeight="1" x14ac:dyDescent="0.2">
      <c r="A60" s="1442"/>
      <c r="B60" s="1447" t="s">
        <v>1739</v>
      </c>
      <c r="C60" s="1448"/>
      <c r="D60" s="1448"/>
    </row>
    <row r="61" spans="1:9" s="1445" customFormat="1" ht="3.95" hidden="1" customHeight="1" x14ac:dyDescent="0.2">
      <c r="A61" s="1442"/>
      <c r="B61" s="1447"/>
      <c r="C61" s="1448"/>
      <c r="D61" s="1448"/>
    </row>
    <row r="62" spans="1:9" s="1445" customFormat="1" ht="12.75" hidden="1" customHeight="1" x14ac:dyDescent="0.2">
      <c r="A62" s="1442"/>
      <c r="B62" s="1447" t="s">
        <v>1740</v>
      </c>
      <c r="C62" s="1448"/>
      <c r="D62" s="1448"/>
    </row>
    <row r="63" spans="1:9" s="1445" customFormat="1" ht="13.5" hidden="1" customHeight="1" x14ac:dyDescent="0.2">
      <c r="A63" s="1442"/>
      <c r="B63" s="1446" t="s">
        <v>1597</v>
      </c>
      <c r="C63" s="1442"/>
      <c r="D63" s="1442"/>
    </row>
    <row r="64" spans="1:9" hidden="1" x14ac:dyDescent="0.2"/>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&amp;C63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35" sqref="A35:XFD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Princeton ESD 115</v>
      </c>
      <c r="C1" s="2459"/>
      <c r="D1" s="2459"/>
      <c r="E1" s="2459"/>
      <c r="F1" s="2459"/>
      <c r="G1" s="2459"/>
      <c r="H1" s="2459"/>
      <c r="I1" s="2459"/>
      <c r="J1" s="2459"/>
      <c r="K1" s="2459"/>
      <c r="L1" s="1371"/>
      <c r="M1" s="1371"/>
    </row>
    <row r="2" spans="1:13" ht="12" customHeight="1" x14ac:dyDescent="0.2">
      <c r="B2" s="2461">
        <f>'Single Audit Cover'!E7</f>
        <v>28006115002</v>
      </c>
      <c r="C2" s="2461"/>
      <c r="D2" s="2461"/>
      <c r="E2" s="2461"/>
      <c r="F2" s="2461"/>
      <c r="G2" s="2461"/>
      <c r="H2" s="2461"/>
      <c r="I2" s="2461"/>
      <c r="J2" s="2461"/>
      <c r="K2" s="2461"/>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2151</v>
      </c>
      <c r="C10" s="1382" t="s">
        <v>1968</v>
      </c>
      <c r="D10" s="1383" t="s">
        <v>2123</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2152</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2153</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hidden="1" customHeight="1" x14ac:dyDescent="0.2">
      <c r="B35" s="1403" t="s">
        <v>1734</v>
      </c>
      <c r="C35" s="1403"/>
      <c r="D35" s="322"/>
      <c r="E35" s="322"/>
      <c r="F35" s="322"/>
      <c r="L35" s="1378"/>
    </row>
    <row r="36" spans="1:13" ht="9.6" hidden="1" customHeight="1" x14ac:dyDescent="0.2">
      <c r="B36" s="1297" t="s">
        <v>1819</v>
      </c>
      <c r="C36" s="1297"/>
      <c r="L36" s="1378"/>
    </row>
    <row r="37" spans="1:13" ht="9.6" hidden="1" customHeight="1" x14ac:dyDescent="0.2">
      <c r="B37" s="1297" t="s">
        <v>1820</v>
      </c>
      <c r="C37" s="1297"/>
    </row>
    <row r="38" spans="1:13" ht="11.85" hidden="1" customHeight="1" x14ac:dyDescent="0.2">
      <c r="B38" s="1404" t="s">
        <v>1735</v>
      </c>
      <c r="C38" s="1404"/>
    </row>
    <row r="39" spans="1:13" ht="9.6" hidden="1" customHeight="1" x14ac:dyDescent="0.2">
      <c r="B39" s="1297" t="s">
        <v>1286</v>
      </c>
      <c r="C39" s="1297"/>
      <c r="M39" s="1405"/>
    </row>
    <row r="40" spans="1:13" ht="12.6" hidden="1" customHeight="1" x14ac:dyDescent="0.2">
      <c r="B40" s="1404" t="s">
        <v>1736</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&amp;C64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R38" sqref="R3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Princeton ESD 115</v>
      </c>
      <c r="C1" s="2482"/>
      <c r="D1" s="2482"/>
      <c r="E1" s="2482"/>
      <c r="F1" s="2482"/>
      <c r="G1" s="2482"/>
      <c r="H1" s="2482"/>
      <c r="I1" s="2482"/>
      <c r="J1" s="2482"/>
      <c r="K1" s="2482"/>
      <c r="L1" s="1449"/>
    </row>
    <row r="2" spans="1:12" ht="12.75" customHeight="1" x14ac:dyDescent="0.2">
      <c r="B2" s="2483">
        <f>'Single Audit Cover'!E7</f>
        <v>28006115002</v>
      </c>
      <c r="C2" s="2483"/>
      <c r="D2" s="2483"/>
      <c r="E2" s="2483"/>
      <c r="F2" s="2483"/>
      <c r="G2" s="2483"/>
      <c r="H2" s="2483"/>
      <c r="I2" s="2483"/>
      <c r="J2" s="2483"/>
      <c r="K2" s="2483"/>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2154</v>
      </c>
      <c r="C8" s="1451" t="s">
        <v>1968</v>
      </c>
      <c r="D8" s="1452" t="s">
        <v>2123</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9"/>
      <c r="E14" s="2479"/>
      <c r="F14" s="2479"/>
      <c r="H14" s="1459" t="s">
        <v>1303</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0"/>
      <c r="E16" s="2480"/>
      <c r="F16" s="2480"/>
      <c r="G16" s="2480"/>
      <c r="H16" s="2480"/>
      <c r="I16" s="2480"/>
      <c r="J16" s="2480"/>
      <c r="K16" s="2480"/>
      <c r="L16" s="322"/>
    </row>
    <row r="17" spans="2:12" ht="13.5" customHeight="1" x14ac:dyDescent="0.2">
      <c r="B17" s="1384" t="s">
        <v>1301</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2155</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2156</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2157</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2158</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hidden="1" customHeight="1" x14ac:dyDescent="0.2">
      <c r="B44" s="1403" t="s">
        <v>1741</v>
      </c>
      <c r="C44" s="1403"/>
      <c r="D44" s="322"/>
      <c r="E44" s="322"/>
      <c r="F44" s="322"/>
    </row>
    <row r="45" spans="2:12" ht="10.5" hidden="1" customHeight="1" x14ac:dyDescent="0.2">
      <c r="B45" s="1404" t="s">
        <v>1742</v>
      </c>
      <c r="C45" s="1404"/>
      <c r="G45" s="317"/>
      <c r="I45" s="317"/>
    </row>
    <row r="46" spans="2:12" ht="11.1" hidden="1" customHeight="1" x14ac:dyDescent="0.2">
      <c r="B46" s="1404" t="s">
        <v>1743</v>
      </c>
      <c r="C46" s="1404"/>
      <c r="G46" s="317"/>
      <c r="I46" s="317"/>
    </row>
    <row r="47" spans="2:12" ht="11.1" hidden="1" customHeight="1" x14ac:dyDescent="0.2">
      <c r="B47" s="1404" t="s">
        <v>1744</v>
      </c>
      <c r="C47" s="1404"/>
      <c r="G47" s="317"/>
      <c r="I47" s="317"/>
    </row>
    <row r="48" spans="2:12" ht="11.1" hidden="1" customHeight="1" x14ac:dyDescent="0.2">
      <c r="B48" s="1404" t="s">
        <v>1745</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&amp;C65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37" sqref="C3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Princeton ESD 115</v>
      </c>
      <c r="C1" s="2459"/>
      <c r="D1" s="2459"/>
      <c r="E1" s="1469"/>
    </row>
    <row r="2" spans="2:5" s="1279" customFormat="1" ht="12.75" customHeight="1" x14ac:dyDescent="0.2">
      <c r="B2" s="2461">
        <f>'Single Audit Cover'!E7</f>
        <v>28006115002</v>
      </c>
      <c r="C2" s="2461"/>
      <c r="D2" s="2461"/>
      <c r="E2" s="1470"/>
    </row>
    <row r="3" spans="2:5" ht="12.75" customHeight="1" x14ac:dyDescent="0.2">
      <c r="B3" s="2475" t="s">
        <v>2159</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1746</v>
      </c>
      <c r="C5" s="328"/>
      <c r="D5" s="328"/>
      <c r="E5" s="328"/>
    </row>
    <row r="6" spans="2:5" s="1279" customFormat="1" ht="13.5" customHeight="1" x14ac:dyDescent="0.2">
      <c r="B6" s="1473" t="s">
        <v>1315</v>
      </c>
      <c r="C6" s="1473" t="s">
        <v>1314</v>
      </c>
      <c r="D6" s="1473" t="s">
        <v>2160</v>
      </c>
    </row>
    <row r="7" spans="2:5" ht="13.5" customHeight="1" x14ac:dyDescent="0.2">
      <c r="B7" s="1474"/>
      <c r="C7" s="324"/>
      <c r="D7" s="324"/>
      <c r="E7" s="324"/>
    </row>
    <row r="8" spans="2:5" ht="13.5" customHeight="1" x14ac:dyDescent="0.2">
      <c r="B8" s="1474" t="s">
        <v>2124</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hidden="1" customHeight="1" x14ac:dyDescent="0.2">
      <c r="B44" s="1254" t="s">
        <v>1313</v>
      </c>
      <c r="C44" s="322"/>
    </row>
    <row r="45" spans="2:5" ht="12.2" hidden="1" customHeight="1" x14ac:dyDescent="0.2">
      <c r="B45" s="1483" t="s">
        <v>1747</v>
      </c>
    </row>
    <row r="46" spans="2:5" ht="12.2" hidden="1" customHeight="1" x14ac:dyDescent="0.2">
      <c r="B46" s="1483" t="s">
        <v>1748</v>
      </c>
    </row>
    <row r="47" spans="2:5" ht="12.2" hidden="1" customHeight="1" x14ac:dyDescent="0.2">
      <c r="B47" s="1484" t="s">
        <v>1312</v>
      </c>
    </row>
    <row r="48" spans="2:5" ht="12.2" hidden="1" customHeight="1" x14ac:dyDescent="0.2">
      <c r="B48" s="1484" t="s">
        <v>1311</v>
      </c>
    </row>
    <row r="49" spans="2:5" ht="12.2" hidden="1" customHeight="1" x14ac:dyDescent="0.2">
      <c r="B49" s="1484" t="s">
        <v>1310</v>
      </c>
    </row>
    <row r="50" spans="2:5" ht="12.2" hidden="1"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&amp;C66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1925</v>
      </c>
      <c r="E7" s="222"/>
      <c r="F7" s="351" t="s">
        <v>272</v>
      </c>
      <c r="G7" s="222"/>
      <c r="H7" s="222"/>
      <c r="I7" s="222"/>
      <c r="J7" s="352">
        <v>247878311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2.1000000000000001E-2</v>
      </c>
      <c r="E10" s="356" t="s">
        <v>1005</v>
      </c>
      <c r="F10" s="355">
        <v>2.5000000000000001E-3</v>
      </c>
      <c r="G10" s="356" t="s">
        <v>1005</v>
      </c>
      <c r="H10" s="355">
        <v>1.1999999999999999E-3</v>
      </c>
      <c r="I10" s="356" t="s">
        <v>1006</v>
      </c>
      <c r="J10" s="1732">
        <f>ROUND(D10+F10+H10,5)</f>
        <v>2.47E-2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11091179</v>
      </c>
      <c r="E16" s="356"/>
      <c r="F16" s="1733">
        <f>SUM('Acct Summary 7-8'!C17,'Acct Summary 7-8'!D17,'Acct Summary 7-8'!F17)</f>
        <v>9859918</v>
      </c>
      <c r="G16" s="356"/>
      <c r="H16" s="1733">
        <f>SUM(D16-F16)</f>
        <v>1231261</v>
      </c>
      <c r="I16" s="222"/>
      <c r="J16" s="1733">
        <f>SUM('Acct Summary 7-8'!C81,'Acct Summary 7-8'!D81,'Acct Summary 7-8'!F81,'Acct Summary 7-8'!I81)</f>
        <v>2498958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2042</v>
      </c>
      <c r="C31" s="367" t="s">
        <v>586</v>
      </c>
      <c r="D31" s="237" t="s">
        <v>1072</v>
      </c>
      <c r="E31" s="222"/>
      <c r="F31" s="222"/>
      <c r="G31" s="363"/>
      <c r="H31" s="1735">
        <f>IF(B31="X",(J7*0.069),IF(B32="X",(J7*0.138),"Enter x in a.or b."))</f>
        <v>17103603.459000003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Princeton ESD 115</v>
      </c>
      <c r="E7" s="391"/>
      <c r="G7" s="252"/>
      <c r="H7" s="387"/>
      <c r="I7" s="387"/>
      <c r="J7" s="387"/>
      <c r="K7" s="387"/>
      <c r="L7" s="329"/>
      <c r="M7" s="329"/>
      <c r="N7" s="329"/>
      <c r="O7" s="329"/>
      <c r="P7" s="329"/>
    </row>
    <row r="8" spans="1:18" ht="12.75" x14ac:dyDescent="0.2">
      <c r="A8" s="329"/>
      <c r="B8" s="329"/>
      <c r="C8" s="389" t="s">
        <v>1125</v>
      </c>
      <c r="D8" s="392">
        <f>COVER!A13</f>
        <v>28006115002</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2498958</v>
      </c>
      <c r="I12" s="404"/>
      <c r="J12" s="404"/>
      <c r="K12" s="405">
        <f>TRUNC((H12/H13*100000),5)/100000</f>
        <v>0.22531040199999999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11091179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9859918</v>
      </c>
      <c r="I17" s="404"/>
      <c r="J17" s="416"/>
      <c r="K17" s="405">
        <f>TRUNC((H17/H18*100000),5)/100000</f>
        <v>0.88898736550000002</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11091179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2498958</v>
      </c>
      <c r="I24" s="422"/>
      <c r="J24" s="422"/>
      <c r="K24" s="423">
        <f>TRUNC(((H24/H25*100000)/100000),2)</f>
        <v>91.24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27388.661110000001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5204205.1394499997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17103603.459000003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1672541</v>
      </c>
      <c r="D4" s="466">
        <f>16717+82067</f>
        <v>98784</v>
      </c>
      <c r="E4" s="466">
        <v>65779</v>
      </c>
      <c r="F4" s="466">
        <v>446106</v>
      </c>
      <c r="G4" s="466">
        <v>251996</v>
      </c>
      <c r="H4" s="466"/>
      <c r="I4" s="466">
        <v>281527</v>
      </c>
      <c r="J4" s="467">
        <v>162136</v>
      </c>
      <c r="K4" s="466">
        <v>597244</v>
      </c>
      <c r="L4" s="466">
        <v>179487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1672541</v>
      </c>
      <c r="D13" s="1737">
        <f t="shared" ref="D13:L13" si="0">SUM(D4:D12)</f>
        <v>98784</v>
      </c>
      <c r="E13" s="1737">
        <f t="shared" si="0"/>
        <v>65779</v>
      </c>
      <c r="F13" s="1737">
        <f t="shared" si="0"/>
        <v>446106</v>
      </c>
      <c r="G13" s="1737">
        <f t="shared" si="0"/>
        <v>251996</v>
      </c>
      <c r="H13" s="1737">
        <f t="shared" si="0"/>
        <v>0</v>
      </c>
      <c r="I13" s="1737">
        <f t="shared" si="0"/>
        <v>281527</v>
      </c>
      <c r="J13" s="1737">
        <f t="shared" si="0"/>
        <v>162136</v>
      </c>
      <c r="K13" s="1737">
        <f t="shared" si="0"/>
        <v>597244</v>
      </c>
      <c r="L13" s="1737">
        <f t="shared" si="0"/>
        <v>179487</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144067</v>
      </c>
      <c r="N16" s="484"/>
    </row>
    <row r="17" spans="1:14" s="485" customFormat="1" ht="12.75" customHeight="1" x14ac:dyDescent="0.2">
      <c r="A17" s="482" t="s">
        <v>1403</v>
      </c>
      <c r="B17" s="483">
        <v>230</v>
      </c>
      <c r="C17" s="477"/>
      <c r="D17" s="477"/>
      <c r="E17" s="477"/>
      <c r="F17" s="477"/>
      <c r="G17" s="477"/>
      <c r="H17" s="477"/>
      <c r="I17" s="477"/>
      <c r="J17" s="477"/>
      <c r="K17" s="477"/>
      <c r="L17" s="477"/>
      <c r="M17" s="467">
        <v>8893634</v>
      </c>
      <c r="N17" s="484"/>
    </row>
    <row r="18" spans="1:14" s="485" customFormat="1" ht="12.75" customHeight="1" x14ac:dyDescent="0.2">
      <c r="A18" s="482" t="s">
        <v>1404</v>
      </c>
      <c r="B18" s="483">
        <v>240</v>
      </c>
      <c r="C18" s="477"/>
      <c r="D18" s="477"/>
      <c r="E18" s="477"/>
      <c r="F18" s="477"/>
      <c r="G18" s="477"/>
      <c r="H18" s="477"/>
      <c r="I18" s="477"/>
      <c r="J18" s="477"/>
      <c r="K18" s="477"/>
      <c r="L18" s="477"/>
      <c r="M18" s="467">
        <v>174406</v>
      </c>
      <c r="N18" s="484"/>
    </row>
    <row r="19" spans="1:14" s="485" customFormat="1" ht="12.75" customHeight="1" x14ac:dyDescent="0.2">
      <c r="A19" s="482" t="s">
        <v>1405</v>
      </c>
      <c r="B19" s="483">
        <v>250</v>
      </c>
      <c r="C19" s="477"/>
      <c r="D19" s="477"/>
      <c r="E19" s="477"/>
      <c r="F19" s="477"/>
      <c r="G19" s="477"/>
      <c r="H19" s="477"/>
      <c r="I19" s="477"/>
      <c r="J19" s="477"/>
      <c r="K19" s="477"/>
      <c r="L19" s="477"/>
      <c r="M19" s="467">
        <f>2912399+2657272+185853</f>
        <v>5755524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14967631</v>
      </c>
      <c r="N23" s="1688">
        <f>SUM(N21:N22)</f>
        <v>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179487-80153</f>
        <v>99334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99334</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41540</v>
      </c>
      <c r="D38" s="466"/>
      <c r="E38" s="466"/>
      <c r="F38" s="466"/>
      <c r="G38" s="466"/>
      <c r="H38" s="466"/>
      <c r="I38" s="466"/>
      <c r="J38" s="467"/>
      <c r="K38" s="466"/>
      <c r="L38" s="481">
        <v>80153</v>
      </c>
      <c r="M38" s="497"/>
      <c r="N38" s="497"/>
    </row>
    <row r="39" spans="1:14" s="329" customFormat="1" ht="13.5" customHeight="1" x14ac:dyDescent="0.2">
      <c r="A39" s="496" t="s">
        <v>342</v>
      </c>
      <c r="B39" s="483">
        <v>730</v>
      </c>
      <c r="C39" s="466">
        <f>1672541-41540</f>
        <v>1631001</v>
      </c>
      <c r="D39" s="466">
        <v>98784</v>
      </c>
      <c r="E39" s="466">
        <v>65779</v>
      </c>
      <c r="F39" s="466">
        <v>446106</v>
      </c>
      <c r="G39" s="466">
        <v>251996</v>
      </c>
      <c r="H39" s="466"/>
      <c r="I39" s="466">
        <v>281527</v>
      </c>
      <c r="J39" s="467">
        <v>162136</v>
      </c>
      <c r="K39" s="466">
        <v>597244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14967631</v>
      </c>
      <c r="N40" s="497"/>
    </row>
    <row r="41" spans="1:14" ht="13.5" customHeight="1" thickBot="1" x14ac:dyDescent="0.25">
      <c r="A41" s="1736" t="s">
        <v>655</v>
      </c>
      <c r="B41" s="1706"/>
      <c r="C41" s="1688">
        <f>(SUM(C34,C37,C38,C39))</f>
        <v>1672541</v>
      </c>
      <c r="D41" s="1688">
        <f t="shared" ref="D41:L41" si="2">SUM(D34,D37,D38:D39)</f>
        <v>98784</v>
      </c>
      <c r="E41" s="1688">
        <f t="shared" si="2"/>
        <v>65779</v>
      </c>
      <c r="F41" s="1688">
        <f t="shared" si="2"/>
        <v>446106</v>
      </c>
      <c r="G41" s="1688">
        <f t="shared" si="2"/>
        <v>251996</v>
      </c>
      <c r="H41" s="1688">
        <f t="shared" si="2"/>
        <v>0</v>
      </c>
      <c r="I41" s="1688">
        <f t="shared" si="2"/>
        <v>281527</v>
      </c>
      <c r="J41" s="1688">
        <f t="shared" si="2"/>
        <v>162136</v>
      </c>
      <c r="K41" s="1688">
        <f t="shared" si="2"/>
        <v>597244</v>
      </c>
      <c r="L41" s="1688">
        <f t="shared" si="2"/>
        <v>179487</v>
      </c>
      <c r="M41" s="1688">
        <f>SUM(M40)</f>
        <v>14967631</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pane="bottomLeft" activeCell="E79" sqref="E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5891902</v>
      </c>
      <c r="D4" s="1742">
        <f>'Revenues 9-14'!D109</f>
        <v>702501</v>
      </c>
      <c r="E4" s="1742">
        <f>'Revenues 9-14'!E109</f>
        <v>140614</v>
      </c>
      <c r="F4" s="1742">
        <f>'Revenues 9-14'!F109</f>
        <v>440710</v>
      </c>
      <c r="G4" s="1742">
        <f>'Revenues 9-14'!G109</f>
        <v>479812</v>
      </c>
      <c r="H4" s="1742">
        <f>'Revenues 9-14'!H109</f>
        <v>0</v>
      </c>
      <c r="I4" s="1742">
        <f>'Revenues 9-14'!I109</f>
        <v>125071</v>
      </c>
      <c r="J4" s="1742">
        <f>'Revenues 9-14'!J109</f>
        <v>770325</v>
      </c>
      <c r="K4" s="1742">
        <f>'Revenues 9-14'!K109</f>
        <v>129286</v>
      </c>
      <c r="L4" s="347"/>
    </row>
    <row r="5" spans="1:13" ht="15.75" customHeight="1" x14ac:dyDescent="0.2">
      <c r="A5" s="1576" t="s">
        <v>1500</v>
      </c>
      <c r="B5" s="1577">
        <v>2000</v>
      </c>
      <c r="C5" s="1743">
        <f>'Revenues 9-14'!C114</f>
        <v>35283</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2720784</v>
      </c>
      <c r="D6" s="1743">
        <f>'Revenues 9-14'!D170</f>
        <v>0</v>
      </c>
      <c r="E6" s="1743">
        <f>'Revenues 9-14'!E170</f>
        <v>0</v>
      </c>
      <c r="F6" s="1743">
        <f>'Revenues 9-14'!F170</f>
        <v>274233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900695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9548664</v>
      </c>
      <c r="D8" s="1688">
        <f t="shared" ref="D8:K8" si="0">SUM(D4:D7)</f>
        <v>702501</v>
      </c>
      <c r="E8" s="1688">
        <f t="shared" si="0"/>
        <v>140614</v>
      </c>
      <c r="F8" s="1688">
        <f t="shared" si="0"/>
        <v>714943</v>
      </c>
      <c r="G8" s="1688">
        <f t="shared" si="0"/>
        <v>479812</v>
      </c>
      <c r="H8" s="1688">
        <f t="shared" si="0"/>
        <v>0</v>
      </c>
      <c r="I8" s="1688">
        <f t="shared" si="0"/>
        <v>125071</v>
      </c>
      <c r="J8" s="1688">
        <f t="shared" si="0"/>
        <v>770325</v>
      </c>
      <c r="K8" s="1688">
        <f t="shared" si="0"/>
        <v>129286</v>
      </c>
      <c r="L8" s="347"/>
    </row>
    <row r="9" spans="1:13" ht="15.75" thickTop="1" x14ac:dyDescent="0.2">
      <c r="A9" s="514" t="s">
        <v>1653</v>
      </c>
      <c r="B9" s="515">
        <v>3998</v>
      </c>
      <c r="C9" s="481">
        <v>3816364</v>
      </c>
      <c r="D9" s="516"/>
      <c r="E9" s="481"/>
      <c r="F9" s="481"/>
      <c r="G9" s="517"/>
      <c r="H9" s="481"/>
      <c r="I9" s="509" t="s">
        <v>1169</v>
      </c>
      <c r="J9" s="478"/>
      <c r="K9" s="481"/>
      <c r="L9" s="347"/>
    </row>
    <row r="10" spans="1:13" s="519" customFormat="1" ht="13.5" thickBot="1" x14ac:dyDescent="0.25">
      <c r="A10" s="1736" t="s">
        <v>1173</v>
      </c>
      <c r="B10" s="1709"/>
      <c r="C10" s="1688">
        <f>SUM(C8:C9)</f>
        <v>13365028</v>
      </c>
      <c r="D10" s="1688">
        <f t="shared" ref="D10:K10" si="1">SUM(D8:D9)</f>
        <v>702501</v>
      </c>
      <c r="E10" s="1688">
        <f t="shared" si="1"/>
        <v>140614</v>
      </c>
      <c r="F10" s="1688">
        <f t="shared" si="1"/>
        <v>714943</v>
      </c>
      <c r="G10" s="1688">
        <f t="shared" si="1"/>
        <v>479812</v>
      </c>
      <c r="H10" s="1688">
        <f t="shared" si="1"/>
        <v>0</v>
      </c>
      <c r="I10" s="1688">
        <f t="shared" si="1"/>
        <v>125071</v>
      </c>
      <c r="J10" s="1688">
        <f t="shared" si="1"/>
        <v>770325</v>
      </c>
      <c r="K10" s="1688">
        <f t="shared" si="1"/>
        <v>129286</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6168047</v>
      </c>
      <c r="D12" s="520" t="s">
        <v>1169</v>
      </c>
      <c r="E12" s="468" t="s">
        <v>1169</v>
      </c>
      <c r="F12" s="468" t="s">
        <v>1169</v>
      </c>
      <c r="G12" s="1742">
        <f>'Expenditures 15-22'!K229</f>
        <v>190016</v>
      </c>
      <c r="H12" s="521"/>
      <c r="I12" s="468" t="s">
        <v>1169</v>
      </c>
      <c r="J12" s="468" t="s">
        <v>1169</v>
      </c>
      <c r="K12" s="521" t="s">
        <v>1169</v>
      </c>
      <c r="L12" s="347"/>
    </row>
    <row r="13" spans="1:13" ht="15.75" customHeight="1" x14ac:dyDescent="0.2">
      <c r="A13" s="1576" t="s">
        <v>457</v>
      </c>
      <c r="B13" s="1578">
        <v>2000</v>
      </c>
      <c r="C13" s="1743">
        <f>'Expenditures 15-22'!K74</f>
        <v>2005313</v>
      </c>
      <c r="D13" s="1743">
        <f>'Expenditures 15-22'!K129</f>
        <v>713789</v>
      </c>
      <c r="E13" s="469" t="s">
        <v>1169</v>
      </c>
      <c r="F13" s="1743">
        <f>'Expenditures 15-22'!K184</f>
        <v>619803</v>
      </c>
      <c r="G13" s="1743">
        <f>'Expenditures 15-22'!K279</f>
        <v>224348</v>
      </c>
      <c r="H13" s="1743">
        <f>'Expenditures 15-22'!K303</f>
        <v>0</v>
      </c>
      <c r="I13" s="468" t="s">
        <v>1169</v>
      </c>
      <c r="J13" s="1743">
        <f>'Expenditures 15-22'!K330</f>
        <v>773180</v>
      </c>
      <c r="K13" s="1747">
        <f>'Expenditures 15-22'!K352</f>
        <v>68428</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352966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137531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8526326</v>
      </c>
      <c r="D17" s="1688">
        <f t="shared" si="2"/>
        <v>713789</v>
      </c>
      <c r="E17" s="1688">
        <f t="shared" si="2"/>
        <v>137531</v>
      </c>
      <c r="F17" s="1688">
        <f t="shared" si="2"/>
        <v>619803</v>
      </c>
      <c r="G17" s="1688">
        <f t="shared" si="2"/>
        <v>414364</v>
      </c>
      <c r="H17" s="1688">
        <f t="shared" si="2"/>
        <v>0</v>
      </c>
      <c r="I17" s="468"/>
      <c r="J17" s="1688">
        <f>SUM(J12:J16)</f>
        <v>773180</v>
      </c>
      <c r="K17" s="1688">
        <f>SUM(K12:K16)</f>
        <v>68428</v>
      </c>
      <c r="L17" s="347"/>
    </row>
    <row r="18" spans="1:12" ht="15" customHeight="1" thickTop="1" x14ac:dyDescent="0.2">
      <c r="A18" s="1744" t="s">
        <v>1654</v>
      </c>
      <c r="B18" s="1745">
        <v>4180</v>
      </c>
      <c r="C18" s="1742">
        <f t="shared" ref="C18:H18" si="3">C9</f>
        <v>3816364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12342690</v>
      </c>
      <c r="D19" s="1688">
        <f t="shared" si="4"/>
        <v>713789</v>
      </c>
      <c r="E19" s="1688">
        <f t="shared" si="4"/>
        <v>137531</v>
      </c>
      <c r="F19" s="1688">
        <f t="shared" si="4"/>
        <v>619803</v>
      </c>
      <c r="G19" s="1688">
        <f t="shared" si="4"/>
        <v>414364</v>
      </c>
      <c r="H19" s="1688">
        <f t="shared" si="4"/>
        <v>0</v>
      </c>
      <c r="I19" s="468"/>
      <c r="J19" s="1688">
        <f>SUM(J17:J18)</f>
        <v>773180</v>
      </c>
      <c r="K19" s="1688">
        <f>SUM(K17:K18)</f>
        <v>68428</v>
      </c>
      <c r="L19" s="347"/>
    </row>
    <row r="20" spans="1:12" ht="16.5" thickTop="1" thickBot="1" x14ac:dyDescent="0.25">
      <c r="A20" s="2125" t="s">
        <v>1655</v>
      </c>
      <c r="B20" s="2126"/>
      <c r="C20" s="1746">
        <f>C8-C17</f>
        <v>1022338</v>
      </c>
      <c r="D20" s="1746">
        <f t="shared" ref="D20:K20" si="5">D8-D17</f>
        <v>-11288</v>
      </c>
      <c r="E20" s="1746">
        <f t="shared" si="5"/>
        <v>3083</v>
      </c>
      <c r="F20" s="1746">
        <f t="shared" si="5"/>
        <v>95140</v>
      </c>
      <c r="G20" s="1746">
        <f t="shared" si="5"/>
        <v>65448</v>
      </c>
      <c r="H20" s="1746">
        <f t="shared" si="5"/>
        <v>0</v>
      </c>
      <c r="I20" s="1746">
        <f t="shared" si="5"/>
        <v>125071</v>
      </c>
      <c r="J20" s="1746">
        <f t="shared" si="5"/>
        <v>-2855</v>
      </c>
      <c r="K20" s="1746">
        <f t="shared" si="5"/>
        <v>60858</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1772</v>
      </c>
      <c r="B30" s="527">
        <v>7160</v>
      </c>
      <c r="C30" s="477"/>
      <c r="D30" s="467"/>
      <c r="E30" s="477"/>
      <c r="F30" s="477"/>
      <c r="G30" s="477"/>
      <c r="H30" s="477"/>
      <c r="I30" s="477"/>
      <c r="J30" s="477"/>
      <c r="K30" s="477"/>
      <c r="L30" s="524"/>
    </row>
    <row r="31" spans="1:12" s="485" customFormat="1" ht="26.25" x14ac:dyDescent="0.2">
      <c r="A31" s="1489" t="s">
        <v>1776</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1775</v>
      </c>
      <c r="B52" s="483">
        <v>8160</v>
      </c>
      <c r="C52" s="477"/>
      <c r="D52" s="477"/>
      <c r="E52" s="477"/>
      <c r="F52" s="477"/>
      <c r="G52" s="477"/>
      <c r="H52" s="477"/>
      <c r="I52" s="477"/>
      <c r="J52" s="477"/>
      <c r="K52" s="1743">
        <f>D30</f>
        <v>0</v>
      </c>
      <c r="L52" s="524"/>
    </row>
    <row r="53" spans="1:12" s="485" customFormat="1" ht="26.25" x14ac:dyDescent="0.2">
      <c r="A53" s="1490" t="s">
        <v>1774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1022338</v>
      </c>
      <c r="D78" s="1702">
        <f t="shared" si="9"/>
        <v>-11288</v>
      </c>
      <c r="E78" s="1702">
        <f t="shared" si="9"/>
        <v>3083</v>
      </c>
      <c r="F78" s="1702">
        <f t="shared" si="9"/>
        <v>95140</v>
      </c>
      <c r="G78" s="1702">
        <f t="shared" si="9"/>
        <v>65448</v>
      </c>
      <c r="H78" s="1702">
        <f t="shared" si="9"/>
        <v>0</v>
      </c>
      <c r="I78" s="1702">
        <f t="shared" si="9"/>
        <v>125071</v>
      </c>
      <c r="J78" s="1702">
        <f t="shared" si="9"/>
        <v>-2855</v>
      </c>
      <c r="K78" s="1702">
        <f t="shared" si="9"/>
        <v>60858</v>
      </c>
      <c r="L78" s="533"/>
    </row>
    <row r="79" spans="1:12" ht="13.5" thickTop="1" x14ac:dyDescent="0.2">
      <c r="A79" s="1494" t="s">
        <v>1926</v>
      </c>
      <c r="B79" s="534"/>
      <c r="C79" s="478">
        <v>650203</v>
      </c>
      <c r="D79" s="535">
        <v>110072</v>
      </c>
      <c r="E79" s="535">
        <v>62696</v>
      </c>
      <c r="F79" s="535">
        <v>350966</v>
      </c>
      <c r="G79" s="535">
        <v>186548</v>
      </c>
      <c r="H79" s="535"/>
      <c r="I79" s="535">
        <v>156456</v>
      </c>
      <c r="J79" s="535">
        <v>164991</v>
      </c>
      <c r="K79" s="535">
        <v>536386</v>
      </c>
      <c r="L79" s="347"/>
    </row>
    <row r="80" spans="1:12" x14ac:dyDescent="0.2">
      <c r="A80" s="2127" t="s">
        <v>1773</v>
      </c>
      <c r="B80" s="2128"/>
      <c r="C80" s="467"/>
      <c r="D80" s="467"/>
      <c r="E80" s="467"/>
      <c r="F80" s="467"/>
      <c r="G80" s="467"/>
      <c r="H80" s="467"/>
      <c r="I80" s="467"/>
      <c r="J80" s="467"/>
      <c r="K80" s="467"/>
      <c r="L80" s="347"/>
    </row>
    <row r="81" spans="1:12" ht="13.5" thickBot="1" x14ac:dyDescent="0.25">
      <c r="A81" s="2119" t="s">
        <v>1927</v>
      </c>
      <c r="B81" s="2120"/>
      <c r="C81" s="1688">
        <f>(SUM(C78:C80))</f>
        <v>1672541</v>
      </c>
      <c r="D81" s="1688">
        <f>SUM(D78:D80)</f>
        <v>98784</v>
      </c>
      <c r="E81" s="1688">
        <f t="shared" ref="E81:K81" si="10">SUM(E78:E80)</f>
        <v>65779</v>
      </c>
      <c r="F81" s="1688">
        <f t="shared" si="10"/>
        <v>446106</v>
      </c>
      <c r="G81" s="1688">
        <f t="shared" si="10"/>
        <v>251996</v>
      </c>
      <c r="H81" s="1688">
        <f t="shared" si="10"/>
        <v>0</v>
      </c>
      <c r="I81" s="1688">
        <f t="shared" si="10"/>
        <v>281527</v>
      </c>
      <c r="J81" s="1688">
        <f t="shared" si="10"/>
        <v>162136</v>
      </c>
      <c r="K81" s="1688">
        <f t="shared" si="10"/>
        <v>597244</v>
      </c>
      <c r="L81" s="347"/>
    </row>
    <row r="82" spans="1:12" ht="0.75" customHeight="1" thickTop="1" thickBot="1" x14ac:dyDescent="0.25">
      <c r="A82" s="536" t="s">
        <v>343</v>
      </c>
      <c r="B82" s="537"/>
      <c r="C82" s="538">
        <f>(C81-C79)</f>
        <v>1022338</v>
      </c>
      <c r="D82" s="538">
        <f t="shared" ref="D82:K82" si="11">(D81-D79)</f>
        <v>-11288</v>
      </c>
      <c r="E82" s="538">
        <f t="shared" si="11"/>
        <v>3083</v>
      </c>
      <c r="F82" s="538">
        <f t="shared" si="11"/>
        <v>95140</v>
      </c>
      <c r="G82" s="538">
        <f t="shared" si="11"/>
        <v>65448</v>
      </c>
      <c r="H82" s="538">
        <f t="shared" si="11"/>
        <v>0</v>
      </c>
      <c r="I82" s="538">
        <f t="shared" si="11"/>
        <v>125071</v>
      </c>
      <c r="J82" s="538">
        <f t="shared" si="11"/>
        <v>-2855</v>
      </c>
      <c r="K82" s="538">
        <f t="shared" si="11"/>
        <v>60858</v>
      </c>
    </row>
    <row r="83" spans="1:12" ht="14.25" hidden="1" thickTop="1" thickBot="1" x14ac:dyDescent="0.25">
      <c r="A83" s="539" t="s">
        <v>344</v>
      </c>
      <c r="B83" s="464"/>
      <c r="C83" s="540">
        <f>C82/C81</f>
        <v>0.61124839391082186</v>
      </c>
      <c r="D83" s="540">
        <f t="shared" ref="D83:K83" si="12">D82/D81</f>
        <v>-0.11426951733074182</v>
      </c>
      <c r="E83" s="540">
        <f t="shared" si="12"/>
        <v>4.6869061554599495E-2</v>
      </c>
      <c r="F83" s="540">
        <f t="shared" si="12"/>
        <v>0.21326769870837872</v>
      </c>
      <c r="G83" s="540">
        <f t="shared" si="12"/>
        <v>0.25971840822870207</v>
      </c>
      <c r="H83" s="540" t="e">
        <f t="shared" si="12"/>
        <v>#DIV/0!</v>
      </c>
      <c r="I83" s="540">
        <f t="shared" si="12"/>
        <v>0.4442593427983817</v>
      </c>
      <c r="J83" s="540">
        <f t="shared" si="12"/>
        <v>-1.7608674199437509E-2</v>
      </c>
      <c r="K83" s="540">
        <f t="shared" si="12"/>
        <v>0.10189805171755598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31"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1780</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5051867</v>
      </c>
      <c r="D5" s="481">
        <v>609098</v>
      </c>
      <c r="E5" s="466">
        <v>138951</v>
      </c>
      <c r="F5" s="548">
        <v>292368</v>
      </c>
      <c r="G5" s="466"/>
      <c r="H5" s="466"/>
      <c r="I5" s="466">
        <v>121819</v>
      </c>
      <c r="J5" s="467">
        <v>765731</v>
      </c>
      <c r="K5" s="466">
        <v>121819</v>
      </c>
    </row>
    <row r="6" spans="1:12" ht="15" x14ac:dyDescent="0.2">
      <c r="A6" s="463" t="s">
        <v>1662</v>
      </c>
      <c r="B6" s="470">
        <v>1130</v>
      </c>
      <c r="C6" s="466">
        <v>121819</v>
      </c>
      <c r="D6" s="466"/>
      <c r="E6" s="475"/>
      <c r="F6" s="475"/>
      <c r="G6" s="468"/>
      <c r="H6" s="468"/>
      <c r="I6" s="468"/>
      <c r="J6" s="468"/>
      <c r="K6" s="468"/>
    </row>
    <row r="7" spans="1:12" x14ac:dyDescent="0.2">
      <c r="A7" s="463" t="s">
        <v>110</v>
      </c>
      <c r="B7" s="549">
        <v>1140</v>
      </c>
      <c r="C7" s="466">
        <v>48728</v>
      </c>
      <c r="D7" s="466"/>
      <c r="E7" s="468"/>
      <c r="F7" s="467"/>
      <c r="G7" s="467"/>
      <c r="H7" s="467"/>
      <c r="I7" s="468"/>
      <c r="J7" s="468"/>
      <c r="K7" s="468"/>
    </row>
    <row r="8" spans="1:12" x14ac:dyDescent="0.2">
      <c r="A8" s="463" t="s">
        <v>413</v>
      </c>
      <c r="B8" s="470">
        <v>1150</v>
      </c>
      <c r="C8" s="475"/>
      <c r="D8" s="475"/>
      <c r="E8" s="477"/>
      <c r="F8" s="477"/>
      <c r="G8" s="481">
        <v>463303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5222414</v>
      </c>
      <c r="D12" s="1707">
        <f t="shared" si="0"/>
        <v>609098</v>
      </c>
      <c r="E12" s="1707">
        <f t="shared" si="0"/>
        <v>138951</v>
      </c>
      <c r="F12" s="1707">
        <f t="shared" si="0"/>
        <v>292368</v>
      </c>
      <c r="G12" s="1707">
        <f t="shared" si="0"/>
        <v>463303</v>
      </c>
      <c r="H12" s="1707">
        <f t="shared" si="0"/>
        <v>0</v>
      </c>
      <c r="I12" s="1707">
        <f t="shared" si="0"/>
        <v>121819</v>
      </c>
      <c r="J12" s="1707">
        <f t="shared" si="0"/>
        <v>765731</v>
      </c>
      <c r="K12" s="1688">
        <f t="shared" si="0"/>
        <v>121819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301126</v>
      </c>
      <c r="D16" s="466"/>
      <c r="E16" s="466"/>
      <c r="F16" s="466"/>
      <c r="G16" s="466">
        <v>12146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301126</v>
      </c>
      <c r="D18" s="1710">
        <f t="shared" ref="D18:K18" si="1">SUM(D14:D17)</f>
        <v>0</v>
      </c>
      <c r="E18" s="1710">
        <f t="shared" si="1"/>
        <v>0</v>
      </c>
      <c r="F18" s="1710">
        <f t="shared" si="1"/>
        <v>0</v>
      </c>
      <c r="G18" s="1710">
        <f t="shared" si="1"/>
        <v>12146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24678</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24678</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4656</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240</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137073</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141969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246+30775</f>
        <v>31021</v>
      </c>
      <c r="D65" s="466">
        <v>3421</v>
      </c>
      <c r="E65" s="466">
        <v>1663</v>
      </c>
      <c r="F65" s="467">
        <v>5771</v>
      </c>
      <c r="G65" s="466">
        <v>4363</v>
      </c>
      <c r="H65" s="466"/>
      <c r="I65" s="466">
        <v>3252</v>
      </c>
      <c r="J65" s="467">
        <v>4594</v>
      </c>
      <c r="K65" s="466">
        <v>7467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31021</v>
      </c>
      <c r="D67" s="1688">
        <f t="shared" ref="D67:K67" si="2">SUM(D65:D66)</f>
        <v>3421</v>
      </c>
      <c r="E67" s="1688">
        <f t="shared" si="2"/>
        <v>1663</v>
      </c>
      <c r="F67" s="1688">
        <f t="shared" si="2"/>
        <v>5771</v>
      </c>
      <c r="G67" s="1688">
        <f t="shared" si="2"/>
        <v>4363</v>
      </c>
      <c r="H67" s="1688">
        <f t="shared" si="2"/>
        <v>0</v>
      </c>
      <c r="I67" s="1688">
        <f t="shared" si="2"/>
        <v>3252</v>
      </c>
      <c r="J67" s="1688">
        <f t="shared" si="2"/>
        <v>4594</v>
      </c>
      <c r="K67" s="1688">
        <f t="shared" si="2"/>
        <v>7467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144830</v>
      </c>
      <c r="D69" s="468"/>
      <c r="E69" s="468"/>
      <c r="F69" s="468"/>
      <c r="G69" s="468"/>
      <c r="H69" s="468"/>
      <c r="I69" s="468"/>
      <c r="J69" s="468"/>
      <c r="K69" s="468"/>
    </row>
    <row r="70" spans="1:11" ht="12.75" customHeight="1" x14ac:dyDescent="0.2">
      <c r="A70" s="463" t="s">
        <v>997</v>
      </c>
      <c r="B70" s="470">
        <v>1612</v>
      </c>
      <c r="C70" s="551">
        <v>29198</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35127</v>
      </c>
      <c r="D74" s="468"/>
      <c r="E74" s="468"/>
      <c r="F74" s="468"/>
      <c r="G74" s="468"/>
      <c r="H74" s="468"/>
      <c r="I74" s="468"/>
      <c r="J74" s="468"/>
      <c r="K74" s="468"/>
    </row>
    <row r="75" spans="1:11" ht="12.75" customHeight="1" thickBot="1" x14ac:dyDescent="0.25">
      <c r="A75" s="1708" t="s">
        <v>548</v>
      </c>
      <c r="B75" s="1709"/>
      <c r="C75" s="1688">
        <f>SUM(C69:C74)</f>
        <v>209155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9448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19636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29084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19635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19635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82577</v>
      </c>
      <c r="E95" s="521"/>
      <c r="F95" s="521"/>
      <c r="G95" s="521"/>
      <c r="H95" s="521"/>
      <c r="I95" s="521"/>
      <c r="J95" s="521"/>
      <c r="K95" s="521"/>
    </row>
    <row r="96" spans="1:11" ht="12.75" customHeight="1" x14ac:dyDescent="0.2">
      <c r="A96" s="463" t="s">
        <v>391</v>
      </c>
      <c r="B96" s="470">
        <v>1920</v>
      </c>
      <c r="C96" s="551">
        <v>36256</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8041</v>
      </c>
      <c r="D98" s="466"/>
      <c r="E98" s="512"/>
      <c r="F98" s="466">
        <f>634-32</f>
        <v>602</v>
      </c>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3511</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3499</v>
      </c>
      <c r="D106" s="489"/>
      <c r="E106" s="467"/>
      <c r="F106" s="467"/>
      <c r="G106" s="467"/>
      <c r="H106" s="467"/>
      <c r="I106" s="521"/>
      <c r="J106" s="467"/>
      <c r="K106" s="467"/>
    </row>
    <row r="107" spans="1:12" ht="12.75" customHeight="1" x14ac:dyDescent="0.2">
      <c r="A107" s="463" t="s">
        <v>78</v>
      </c>
      <c r="B107" s="470">
        <v>1999</v>
      </c>
      <c r="C107" s="551">
        <v>3482</v>
      </c>
      <c r="D107" s="466">
        <v>7405</v>
      </c>
      <c r="E107" s="466"/>
      <c r="F107" s="466"/>
      <c r="G107" s="466"/>
      <c r="H107" s="466"/>
      <c r="I107" s="466"/>
      <c r="J107" s="467"/>
      <c r="K107" s="466"/>
    </row>
    <row r="108" spans="1:12" ht="12.75" customHeight="1" thickBot="1" x14ac:dyDescent="0.25">
      <c r="A108" s="1708" t="s">
        <v>487</v>
      </c>
      <c r="B108" s="1712"/>
      <c r="C108" s="1707">
        <f>SUM(C95:C107)</f>
        <v>54789</v>
      </c>
      <c r="D108" s="1707">
        <f t="shared" ref="D108:K108" si="3">SUM(D95:D107)</f>
        <v>89982</v>
      </c>
      <c r="E108" s="1707">
        <f t="shared" si="3"/>
        <v>0</v>
      </c>
      <c r="F108" s="1707">
        <f t="shared" si="3"/>
        <v>602</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5891902</v>
      </c>
      <c r="D109" s="1715">
        <f t="shared" si="4"/>
        <v>702501</v>
      </c>
      <c r="E109" s="1715">
        <f t="shared" si="4"/>
        <v>140614</v>
      </c>
      <c r="F109" s="1715">
        <f t="shared" si="4"/>
        <v>440710</v>
      </c>
      <c r="G109" s="1715">
        <f t="shared" si="4"/>
        <v>479812</v>
      </c>
      <c r="H109" s="1715">
        <f t="shared" si="4"/>
        <v>0</v>
      </c>
      <c r="I109" s="1715">
        <f t="shared" si="4"/>
        <v>125071</v>
      </c>
      <c r="J109" s="1715">
        <f t="shared" si="4"/>
        <v>770325</v>
      </c>
      <c r="K109" s="1702">
        <f t="shared" si="4"/>
        <v>129286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35283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35283</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1825748</v>
      </c>
      <c r="D117" s="481"/>
      <c r="E117" s="466"/>
      <c r="F117" s="481"/>
      <c r="G117" s="481"/>
      <c r="H117" s="466"/>
      <c r="I117" s="468"/>
      <c r="J117" s="467"/>
      <c r="K117" s="466"/>
    </row>
    <row r="118" spans="1:11" ht="12.75" customHeight="1" x14ac:dyDescent="0.2">
      <c r="A118" s="463" t="s">
        <v>1777</v>
      </c>
      <c r="B118" s="562">
        <v>3002</v>
      </c>
      <c r="C118" s="551"/>
      <c r="D118" s="466"/>
      <c r="E118" s="466"/>
      <c r="F118" s="466"/>
      <c r="G118" s="466"/>
      <c r="H118" s="466"/>
      <c r="I118" s="468"/>
      <c r="J118" s="467"/>
      <c r="K118" s="466"/>
    </row>
    <row r="119" spans="1:11" ht="12.75" customHeight="1" x14ac:dyDescent="0.2">
      <c r="A119" s="463" t="s">
        <v>1778</v>
      </c>
      <c r="B119" s="562">
        <v>3005</v>
      </c>
      <c r="C119" s="551"/>
      <c r="D119" s="466"/>
      <c r="E119" s="466"/>
      <c r="F119" s="466"/>
      <c r="G119" s="466"/>
      <c r="H119" s="466"/>
      <c r="I119" s="468"/>
      <c r="J119" s="467"/>
      <c r="K119" s="466"/>
    </row>
    <row r="120" spans="1:11" ht="12.75" customHeight="1" x14ac:dyDescent="0.2">
      <c r="A120" s="1930" t="s">
        <v>1913</v>
      </c>
      <c r="B120" s="562">
        <v>3030</v>
      </c>
      <c r="C120" s="551"/>
      <c r="D120" s="466"/>
      <c r="E120" s="466"/>
      <c r="F120" s="466"/>
      <c r="G120" s="466"/>
      <c r="H120" s="466"/>
      <c r="I120" s="468"/>
      <c r="J120" s="467"/>
      <c r="K120" s="466"/>
    </row>
    <row r="121" spans="1:11" x14ac:dyDescent="0.2">
      <c r="A121" s="1496" t="s">
        <v>1779</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1825748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41263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33553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74816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4258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42162</v>
      </c>
      <c r="G152" s="467"/>
      <c r="H152" s="468"/>
      <c r="I152" s="468"/>
      <c r="J152" s="468"/>
      <c r="K152" s="468"/>
    </row>
    <row r="153" spans="1:11" ht="12.75" customHeight="1" x14ac:dyDescent="0.2">
      <c r="A153" s="463" t="s">
        <v>1057</v>
      </c>
      <c r="B153" s="562">
        <v>3510</v>
      </c>
      <c r="C153" s="551"/>
      <c r="D153" s="466"/>
      <c r="E153" s="561"/>
      <c r="F153" s="466">
        <v>232071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274233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f>517290+215893+20441+61588</f>
        <v>815212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895036</v>
      </c>
      <c r="D169" s="1722">
        <f t="shared" si="6"/>
        <v>0</v>
      </c>
      <c r="E169" s="1722">
        <f t="shared" si="6"/>
        <v>0</v>
      </c>
      <c r="F169" s="1722">
        <f t="shared" si="6"/>
        <v>274233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2720784</v>
      </c>
      <c r="D170" s="1715">
        <f t="shared" si="7"/>
        <v>0</v>
      </c>
      <c r="E170" s="1715">
        <f t="shared" si="7"/>
        <v>0</v>
      </c>
      <c r="F170" s="1715">
        <f t="shared" si="7"/>
        <v>274233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1781</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15875</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15875</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192525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50083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242608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457114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457114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32960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32960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v>2596</v>
      </c>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2596</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59611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1914</v>
      </c>
      <c r="B261" s="470">
        <v>4981</v>
      </c>
      <c r="C261" s="575"/>
      <c r="D261" s="576"/>
      <c r="E261" s="468"/>
      <c r="F261" s="576"/>
      <c r="G261" s="576"/>
      <c r="H261" s="468"/>
      <c r="I261" s="468"/>
      <c r="J261" s="468"/>
      <c r="K261" s="468"/>
    </row>
    <row r="262" spans="1:11" ht="12.75" customHeight="1" thickTop="1" thickBot="1" x14ac:dyDescent="0.25">
      <c r="A262" s="1931" t="s">
        <v>1915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5884</v>
      </c>
      <c r="D263" s="576"/>
      <c r="E263" s="468"/>
      <c r="F263" s="576"/>
      <c r="G263" s="576"/>
      <c r="H263" s="468"/>
      <c r="I263" s="468"/>
      <c r="J263" s="468"/>
      <c r="K263" s="468"/>
    </row>
    <row r="264" spans="1:11" ht="12.75" customHeight="1" thickTop="1" thickBot="1" x14ac:dyDescent="0.25">
      <c r="A264" s="463" t="s">
        <v>377</v>
      </c>
      <c r="B264" s="470">
        <v>4992</v>
      </c>
      <c r="C264" s="575">
        <v>84047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900695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900695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9548664</v>
      </c>
      <c r="D268" s="1715">
        <f t="shared" si="12"/>
        <v>702501</v>
      </c>
      <c r="E268" s="1715">
        <f t="shared" si="12"/>
        <v>140614</v>
      </c>
      <c r="F268" s="1715">
        <f t="shared" si="12"/>
        <v>714943</v>
      </c>
      <c r="G268" s="1715">
        <f t="shared" si="12"/>
        <v>479812</v>
      </c>
      <c r="H268" s="1715">
        <f t="shared" si="12"/>
        <v>0</v>
      </c>
      <c r="I268" s="1715">
        <f t="shared" si="12"/>
        <v>125071</v>
      </c>
      <c r="J268" s="1715">
        <f t="shared" si="12"/>
        <v>770325</v>
      </c>
      <c r="K268" s="1702">
        <f t="shared" si="12"/>
        <v>129286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204" activePane="bottomLeft" state="frozen"/>
      <selection pane="bottomLeft" activeCell="D220" sqref="D22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1780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304763+503025+495131+985690+56123+89318</f>
        <v>2434050</v>
      </c>
      <c r="D5" s="466">
        <f>24890+50326+49441+97372+5604+326+5930+11784+11866+23593+1345+393+1592+3164+3186+6264+361+56285+68505+57980+116487+204672+8674+2863+59+11209-3162</f>
        <v>821009</v>
      </c>
      <c r="E5" s="466">
        <v>33380</v>
      </c>
      <c r="F5" s="466">
        <f>8799+4730+5795+3145+950+21393+56+258+20908+1448+5493+92677</f>
        <v>165652</v>
      </c>
      <c r="G5" s="466"/>
      <c r="H5" s="466"/>
      <c r="I5" s="467"/>
      <c r="J5" s="467"/>
      <c r="K5" s="1671">
        <f>SUM(C5:J5)</f>
        <v>3454091</v>
      </c>
      <c r="L5" s="466">
        <v>3481128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241653+427+13121+29304+100256+95557</f>
        <v>480318</v>
      </c>
      <c r="D7" s="467">
        <f>16951+4243+1203+5313+56152+19779+478+3587</f>
        <v>107706</v>
      </c>
      <c r="E7" s="467">
        <f>873+1350+4504+1650+4253+14881+810+1271+3419</f>
        <v>33011</v>
      </c>
      <c r="F7" s="467">
        <f>6747+220+5625+3931+1196</f>
        <v>17719</v>
      </c>
      <c r="G7" s="467"/>
      <c r="H7" s="467"/>
      <c r="I7" s="467"/>
      <c r="J7" s="467"/>
      <c r="K7" s="1671">
        <f t="shared" ref="K7:K32" si="0">SUM(C7:J7)</f>
        <v>638754</v>
      </c>
      <c r="L7" s="466">
        <v>740394</v>
      </c>
    </row>
    <row r="8" spans="1:14" x14ac:dyDescent="0.2">
      <c r="A8" s="1504" t="s">
        <v>164</v>
      </c>
      <c r="B8" s="614">
        <v>1200</v>
      </c>
      <c r="C8" s="466">
        <f>556335+413843</f>
        <v>970178</v>
      </c>
      <c r="D8" s="466">
        <f>13014+3484+131857+730+54219</f>
        <v>203304</v>
      </c>
      <c r="E8" s="466">
        <v>9030</v>
      </c>
      <c r="F8" s="466"/>
      <c r="G8" s="466"/>
      <c r="H8" s="466"/>
      <c r="I8" s="467"/>
      <c r="J8" s="467"/>
      <c r="K8" s="1671">
        <f t="shared" si="0"/>
        <v>1182512</v>
      </c>
      <c r="L8" s="466">
        <v>1510089</v>
      </c>
    </row>
    <row r="9" spans="1:14" x14ac:dyDescent="0.2">
      <c r="A9" s="1504" t="s">
        <v>721</v>
      </c>
      <c r="B9" s="614" t="s">
        <v>968</v>
      </c>
      <c r="C9" s="467">
        <f>37557+10766</f>
        <v>48323</v>
      </c>
      <c r="D9" s="467">
        <f>3256+782+210+8313+50</f>
        <v>12611</v>
      </c>
      <c r="E9" s="467"/>
      <c r="F9" s="467">
        <v>39</v>
      </c>
      <c r="G9" s="467"/>
      <c r="H9" s="467"/>
      <c r="I9" s="467"/>
      <c r="J9" s="467"/>
      <c r="K9" s="1671">
        <f t="shared" si="0"/>
        <v>60973</v>
      </c>
      <c r="L9" s="466">
        <v>66116</v>
      </c>
    </row>
    <row r="10" spans="1:14" x14ac:dyDescent="0.2">
      <c r="A10" s="1504" t="s">
        <v>722</v>
      </c>
      <c r="B10" s="614">
        <v>1250</v>
      </c>
      <c r="C10" s="466">
        <f>224383+4793</f>
        <v>229176</v>
      </c>
      <c r="D10" s="466">
        <f>29383+5208+1398+21004+38427+217</f>
        <v>95637</v>
      </c>
      <c r="E10" s="466">
        <f>27085+532</f>
        <v>27617</v>
      </c>
      <c r="F10" s="466">
        <v>38445</v>
      </c>
      <c r="G10" s="466"/>
      <c r="H10" s="466"/>
      <c r="I10" s="467"/>
      <c r="J10" s="467"/>
      <c r="K10" s="1671">
        <f t="shared" si="0"/>
        <v>390875</v>
      </c>
      <c r="L10" s="466">
        <v>364708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v>7159</v>
      </c>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f>52743+7373+115644+68464</f>
        <v>244224</v>
      </c>
      <c r="D14" s="466">
        <f>3658+878+236+721+5+11720+2813+755+23860+157+4514+1083+423+7953+52</f>
        <v>58828</v>
      </c>
      <c r="E14" s="466">
        <f>3450+2467</f>
        <v>5917</v>
      </c>
      <c r="F14" s="466">
        <f>5784+2643+90+771+2371+1042</f>
        <v>12701</v>
      </c>
      <c r="G14" s="466"/>
      <c r="H14" s="466">
        <f>1045+1427</f>
        <v>2472</v>
      </c>
      <c r="I14" s="467"/>
      <c r="J14" s="467"/>
      <c r="K14" s="1671">
        <f t="shared" si="0"/>
        <v>324142</v>
      </c>
      <c r="L14" s="466">
        <v>330420</v>
      </c>
    </row>
    <row r="15" spans="1:14" x14ac:dyDescent="0.2">
      <c r="A15" s="1504" t="s">
        <v>964</v>
      </c>
      <c r="B15" s="614">
        <v>1600</v>
      </c>
      <c r="C15" s="466">
        <v>3704</v>
      </c>
      <c r="D15" s="466">
        <f>325+78+21</f>
        <v>424</v>
      </c>
      <c r="E15" s="466"/>
      <c r="F15" s="466"/>
      <c r="G15" s="466"/>
      <c r="H15" s="466"/>
      <c r="I15" s="467"/>
      <c r="J15" s="467"/>
      <c r="K15" s="1671">
        <f t="shared" si="0"/>
        <v>4128</v>
      </c>
      <c r="L15" s="466">
        <v>7903</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112572</v>
      </c>
      <c r="I22" s="616"/>
      <c r="J22" s="477"/>
      <c r="K22" s="1671">
        <f t="shared" si="0"/>
        <v>112572</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4409973</v>
      </c>
      <c r="D33" s="1670">
        <f t="shared" ref="D33:L33" si="1">SUM(D5:D32)</f>
        <v>1299519</v>
      </c>
      <c r="E33" s="1670">
        <f t="shared" si="1"/>
        <v>108955</v>
      </c>
      <c r="F33" s="1670">
        <f t="shared" si="1"/>
        <v>234556</v>
      </c>
      <c r="G33" s="1670">
        <f t="shared" si="1"/>
        <v>0</v>
      </c>
      <c r="H33" s="1670">
        <f t="shared" si="1"/>
        <v>115044</v>
      </c>
      <c r="I33" s="1670">
        <f t="shared" si="1"/>
        <v>0</v>
      </c>
      <c r="J33" s="1670">
        <f t="shared" si="1"/>
        <v>0</v>
      </c>
      <c r="K33" s="1670">
        <f t="shared" si="1"/>
        <v>6168047</v>
      </c>
      <c r="L33" s="1670">
        <f t="shared" si="1"/>
        <v>6507917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113410</v>
      </c>
      <c r="D37" s="466">
        <f>7988+1917+515+14227+114</f>
        <v>24761</v>
      </c>
      <c r="E37" s="466"/>
      <c r="F37" s="466">
        <f>498+489</f>
        <v>987</v>
      </c>
      <c r="G37" s="466"/>
      <c r="H37" s="466"/>
      <c r="I37" s="467"/>
      <c r="J37" s="467"/>
      <c r="K37" s="1671">
        <f t="shared" si="2"/>
        <v>139158</v>
      </c>
      <c r="L37" s="466">
        <v>148203</v>
      </c>
    </row>
    <row r="38" spans="1:14" x14ac:dyDescent="0.2">
      <c r="A38" s="1504" t="s">
        <v>198</v>
      </c>
      <c r="B38" s="614">
        <v>2130</v>
      </c>
      <c r="C38" s="466"/>
      <c r="D38" s="466"/>
      <c r="E38" s="466">
        <v>40294</v>
      </c>
      <c r="F38" s="466"/>
      <c r="G38" s="466"/>
      <c r="H38" s="466"/>
      <c r="I38" s="467"/>
      <c r="J38" s="467"/>
      <c r="K38" s="1671">
        <f t="shared" si="2"/>
        <v>40294</v>
      </c>
      <c r="L38" s="466">
        <v>55800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132286</v>
      </c>
      <c r="D40" s="466">
        <f>13768+3304+887+30134+161</f>
        <v>48254</v>
      </c>
      <c r="E40" s="466">
        <f>32078</f>
        <v>32078</v>
      </c>
      <c r="F40" s="466">
        <v>594</v>
      </c>
      <c r="G40" s="466"/>
      <c r="H40" s="466"/>
      <c r="I40" s="467"/>
      <c r="J40" s="467"/>
      <c r="K40" s="1671">
        <f t="shared" si="2"/>
        <v>213212</v>
      </c>
      <c r="L40" s="466">
        <v>225449</v>
      </c>
    </row>
    <row r="41" spans="1:14" x14ac:dyDescent="0.2">
      <c r="A41" s="1504" t="s">
        <v>1669</v>
      </c>
      <c r="B41" s="614">
        <v>2190</v>
      </c>
      <c r="C41" s="466">
        <f>9+16359</f>
        <v>16368</v>
      </c>
      <c r="D41" s="466">
        <f>738+177+47</f>
        <v>962</v>
      </c>
      <c r="E41" s="466"/>
      <c r="F41" s="466"/>
      <c r="G41" s="466"/>
      <c r="H41" s="466"/>
      <c r="I41" s="467"/>
      <c r="J41" s="467"/>
      <c r="K41" s="1671">
        <f t="shared" si="2"/>
        <v>17330</v>
      </c>
      <c r="L41" s="466">
        <v>40875</v>
      </c>
    </row>
    <row r="42" spans="1:14" ht="12.75" customHeight="1" thickBot="1" x14ac:dyDescent="0.25">
      <c r="A42" s="1668" t="s">
        <v>560</v>
      </c>
      <c r="B42" s="1669" t="s">
        <v>716</v>
      </c>
      <c r="C42" s="1670">
        <f>SUM(C36:C41)</f>
        <v>262064</v>
      </c>
      <c r="D42" s="1670">
        <f t="shared" ref="D42:L42" si="3">SUM(D36:D41)</f>
        <v>73977</v>
      </c>
      <c r="E42" s="1670">
        <f t="shared" si="3"/>
        <v>72372</v>
      </c>
      <c r="F42" s="1670">
        <f t="shared" si="3"/>
        <v>1581</v>
      </c>
      <c r="G42" s="1670">
        <f t="shared" si="3"/>
        <v>0</v>
      </c>
      <c r="H42" s="1670">
        <f t="shared" si="3"/>
        <v>0</v>
      </c>
      <c r="I42" s="1670">
        <f t="shared" si="3"/>
        <v>0</v>
      </c>
      <c r="J42" s="1670">
        <f t="shared" si="3"/>
        <v>0</v>
      </c>
      <c r="K42" s="1670">
        <f t="shared" si="3"/>
        <v>409994</v>
      </c>
      <c r="L42" s="1670">
        <f t="shared" si="3"/>
        <v>470327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f>50168+63313+57738</f>
        <v>171219</v>
      </c>
      <c r="D45" s="466">
        <f>4970+1193+320+8674+165+15158+57</f>
        <v>30537</v>
      </c>
      <c r="E45" s="466">
        <f>4455+11884</f>
        <v>16339</v>
      </c>
      <c r="F45" s="466">
        <f>5157+2320+3375+555+24283+3200</f>
        <v>38890</v>
      </c>
      <c r="G45" s="466">
        <v>70899</v>
      </c>
      <c r="H45" s="466"/>
      <c r="I45" s="467"/>
      <c r="J45" s="467"/>
      <c r="K45" s="1672">
        <f>SUM(C45:J45)</f>
        <v>327884</v>
      </c>
      <c r="L45" s="466">
        <v>371380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171219</v>
      </c>
      <c r="D47" s="1670">
        <f t="shared" ref="D47:K47" si="4">SUM(D44:D46)</f>
        <v>30537</v>
      </c>
      <c r="E47" s="1670">
        <f t="shared" si="4"/>
        <v>16339</v>
      </c>
      <c r="F47" s="1670">
        <f t="shared" si="4"/>
        <v>38890</v>
      </c>
      <c r="G47" s="1670">
        <f t="shared" si="4"/>
        <v>70899</v>
      </c>
      <c r="H47" s="1670">
        <f t="shared" si="4"/>
        <v>0</v>
      </c>
      <c r="I47" s="1670">
        <f t="shared" si="4"/>
        <v>0</v>
      </c>
      <c r="J47" s="1670">
        <f t="shared" si="4"/>
        <v>0</v>
      </c>
      <c r="K47" s="1670">
        <f t="shared" si="4"/>
        <v>327884</v>
      </c>
      <c r="L47" s="1670">
        <f>SUM(L44:L46)</f>
        <v>371380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10350+12564+2753+1521+31539+1432+2513</f>
        <v>62672</v>
      </c>
      <c r="F49" s="481">
        <v>1128</v>
      </c>
      <c r="G49" s="481"/>
      <c r="H49" s="481">
        <v>4057</v>
      </c>
      <c r="I49" s="467"/>
      <c r="J49" s="467"/>
      <c r="K49" s="1672">
        <f>SUM(C49:J49)</f>
        <v>67857</v>
      </c>
      <c r="L49" s="481">
        <v>104372</v>
      </c>
    </row>
    <row r="50" spans="1:14" x14ac:dyDescent="0.2">
      <c r="A50" s="1504" t="s">
        <v>818</v>
      </c>
      <c r="B50" s="614">
        <v>2320</v>
      </c>
      <c r="C50" s="466">
        <f>121205+29233</f>
        <v>150438</v>
      </c>
      <c r="D50" s="466">
        <f>11987+2877+773+24062+309</f>
        <v>40008</v>
      </c>
      <c r="E50" s="466">
        <v>1736</v>
      </c>
      <c r="F50" s="466">
        <v>2719</v>
      </c>
      <c r="G50" s="466"/>
      <c r="H50" s="466">
        <v>1448</v>
      </c>
      <c r="I50" s="467"/>
      <c r="J50" s="467"/>
      <c r="K50" s="1672">
        <f>SUM(C50:J50)</f>
        <v>196349</v>
      </c>
      <c r="L50" s="466">
        <v>209201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30000</v>
      </c>
      <c r="F52" s="474"/>
      <c r="G52" s="474"/>
      <c r="H52" s="474"/>
      <c r="I52" s="474"/>
      <c r="J52" s="474"/>
      <c r="K52" s="1672">
        <f>SUM(C52:J52)</f>
        <v>30000</v>
      </c>
      <c r="L52" s="474"/>
    </row>
    <row r="53" spans="1:14" ht="12.75" customHeight="1" thickBot="1" x14ac:dyDescent="0.25">
      <c r="A53" s="1668" t="s">
        <v>717</v>
      </c>
      <c r="B53" s="1669" t="s">
        <v>33</v>
      </c>
      <c r="C53" s="1670">
        <f>SUM(C49:C52)</f>
        <v>150438</v>
      </c>
      <c r="D53" s="1670">
        <f t="shared" ref="D53:L53" si="5">SUM(D49:D52)</f>
        <v>40008</v>
      </c>
      <c r="E53" s="1670">
        <f t="shared" si="5"/>
        <v>94408</v>
      </c>
      <c r="F53" s="1670">
        <f t="shared" si="5"/>
        <v>3847</v>
      </c>
      <c r="G53" s="1670">
        <f t="shared" si="5"/>
        <v>0</v>
      </c>
      <c r="H53" s="1670">
        <f t="shared" si="5"/>
        <v>5505</v>
      </c>
      <c r="I53" s="1670">
        <f t="shared" si="5"/>
        <v>0</v>
      </c>
      <c r="J53" s="1670">
        <f t="shared" si="5"/>
        <v>0</v>
      </c>
      <c r="K53" s="1670">
        <f t="shared" si="5"/>
        <v>294206</v>
      </c>
      <c r="L53" s="1670">
        <f t="shared" si="5"/>
        <v>313573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49433+83312+49433+124257+19222+23292+21076+38129</f>
        <v>408154</v>
      </c>
      <c r="D55" s="481">
        <f>4889+8240+4889+12289+1173+1978+1173+1978+1173+2949+315+531+315+792+12160+11120+8403+738</f>
        <v>75105</v>
      </c>
      <c r="E55" s="481">
        <f>19+44+673+110+279+284+1410</f>
        <v>2819</v>
      </c>
      <c r="F55" s="481">
        <f>809+574+698+2259</f>
        <v>4340</v>
      </c>
      <c r="G55" s="481"/>
      <c r="H55" s="481">
        <f>198+395+593+879</f>
        <v>2065</v>
      </c>
      <c r="I55" s="467"/>
      <c r="J55" s="467"/>
      <c r="K55" s="1672">
        <f>SUM(C55:J55)</f>
        <v>492483</v>
      </c>
      <c r="L55" s="481">
        <v>515074</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408154</v>
      </c>
      <c r="D57" s="1674">
        <f t="shared" ref="D57:K57" si="6">SUM(D55:D56)</f>
        <v>75105</v>
      </c>
      <c r="E57" s="1674">
        <f t="shared" si="6"/>
        <v>2819</v>
      </c>
      <c r="F57" s="1674">
        <f t="shared" si="6"/>
        <v>4340</v>
      </c>
      <c r="G57" s="1674">
        <f t="shared" si="6"/>
        <v>0</v>
      </c>
      <c r="H57" s="1674">
        <f t="shared" si="6"/>
        <v>2065</v>
      </c>
      <c r="I57" s="1674">
        <f t="shared" si="6"/>
        <v>0</v>
      </c>
      <c r="J57" s="1674">
        <f t="shared" si="6"/>
        <v>0</v>
      </c>
      <c r="K57" s="1674">
        <f t="shared" si="6"/>
        <v>492483</v>
      </c>
      <c r="L57" s="1670">
        <f>SUM(L55:L56)</f>
        <v>515074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75115</v>
      </c>
      <c r="D60" s="466">
        <f>19044+114</f>
        <v>19158</v>
      </c>
      <c r="E60" s="466">
        <f>2034+211+3294</f>
        <v>5539</v>
      </c>
      <c r="F60" s="466">
        <v>1270</v>
      </c>
      <c r="G60" s="466"/>
      <c r="H60" s="466"/>
      <c r="I60" s="467"/>
      <c r="J60" s="467"/>
      <c r="K60" s="1672">
        <f t="shared" si="7"/>
        <v>101082</v>
      </c>
      <c r="L60" s="466">
        <v>99626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143719</v>
      </c>
      <c r="D63" s="466">
        <v>428</v>
      </c>
      <c r="E63" s="466">
        <v>7400</v>
      </c>
      <c r="F63" s="466">
        <f>193609+30293+1961</f>
        <v>225863</v>
      </c>
      <c r="G63" s="466"/>
      <c r="H63" s="466">
        <v>2254</v>
      </c>
      <c r="I63" s="467"/>
      <c r="J63" s="467"/>
      <c r="K63" s="1672">
        <f t="shared" si="7"/>
        <v>379664</v>
      </c>
      <c r="L63" s="466">
        <v>452400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218834</v>
      </c>
      <c r="D65" s="1670">
        <f t="shared" ref="D65:L65" si="8">SUM(D59:D64)</f>
        <v>19586</v>
      </c>
      <c r="E65" s="1670">
        <f t="shared" si="8"/>
        <v>12939</v>
      </c>
      <c r="F65" s="1670">
        <f t="shared" si="8"/>
        <v>227133</v>
      </c>
      <c r="G65" s="1670">
        <f t="shared" si="8"/>
        <v>0</v>
      </c>
      <c r="H65" s="1670">
        <f t="shared" si="8"/>
        <v>2254</v>
      </c>
      <c r="I65" s="1670">
        <f t="shared" si="8"/>
        <v>0</v>
      </c>
      <c r="J65" s="1670">
        <f t="shared" si="8"/>
        <v>0</v>
      </c>
      <c r="K65" s="1670">
        <f t="shared" si="8"/>
        <v>480746</v>
      </c>
      <c r="L65" s="1670">
        <f t="shared" si="8"/>
        <v>552026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1210709</v>
      </c>
      <c r="D74" s="1677">
        <f t="shared" ref="D74:K74" si="10">SUM(D42,D47,D53,D57,D65,D72,D73)</f>
        <v>239213</v>
      </c>
      <c r="E74" s="1677">
        <f t="shared" si="10"/>
        <v>198877</v>
      </c>
      <c r="F74" s="1677">
        <f t="shared" si="10"/>
        <v>275791</v>
      </c>
      <c r="G74" s="1677">
        <f t="shared" si="10"/>
        <v>70899</v>
      </c>
      <c r="H74" s="1677">
        <f t="shared" si="10"/>
        <v>9824</v>
      </c>
      <c r="I74" s="1677">
        <f t="shared" si="10"/>
        <v>0</v>
      </c>
      <c r="J74" s="1677">
        <f t="shared" si="10"/>
        <v>0</v>
      </c>
      <c r="K74" s="1677">
        <f t="shared" si="10"/>
        <v>2005313</v>
      </c>
      <c r="L74" s="1677">
        <f>SUM(L42,L47,L53,L57,L65,L72,L73)</f>
        <v>2222380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20000</v>
      </c>
    </row>
    <row r="79" spans="1:14" x14ac:dyDescent="0.2">
      <c r="A79" s="1504" t="s">
        <v>304</v>
      </c>
      <c r="B79" s="614">
        <v>4120</v>
      </c>
      <c r="C79" s="616"/>
      <c r="D79" s="616"/>
      <c r="E79" s="466">
        <v>14795</v>
      </c>
      <c r="F79" s="616"/>
      <c r="G79" s="616"/>
      <c r="H79" s="466">
        <v>113801</v>
      </c>
      <c r="I79" s="477"/>
      <c r="J79" s="477"/>
      <c r="K79" s="1671">
        <f t="shared" si="11"/>
        <v>128596</v>
      </c>
      <c r="L79" s="466">
        <v>350000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14795</v>
      </c>
      <c r="F84" s="616"/>
      <c r="G84" s="616"/>
      <c r="H84" s="1670">
        <f>SUM(H78:H83)</f>
        <v>113801</v>
      </c>
      <c r="I84" s="477"/>
      <c r="J84" s="477"/>
      <c r="K84" s="1670">
        <f>SUM(K78:K83)</f>
        <v>128596</v>
      </c>
      <c r="L84" s="1670">
        <f>SUM(L78:L83)</f>
        <v>370000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127731</v>
      </c>
      <c r="I86" s="477"/>
      <c r="J86" s="477"/>
      <c r="K86" s="1677">
        <f t="shared" ref="K86:K98" si="12">H86</f>
        <v>127731</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127731</v>
      </c>
      <c r="I92" s="477"/>
      <c r="J92" s="477"/>
      <c r="K92" s="1677">
        <f t="shared" si="12"/>
        <v>127731</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v>96639</v>
      </c>
      <c r="I94" s="477"/>
      <c r="J94" s="477"/>
      <c r="K94" s="1677">
        <f t="shared" si="12"/>
        <v>96639</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96639</v>
      </c>
      <c r="I100" s="477"/>
      <c r="J100" s="477"/>
      <c r="K100" s="1677">
        <f>SUM(K93:K99)</f>
        <v>96639</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14795</v>
      </c>
      <c r="F102" s="616"/>
      <c r="G102" s="616"/>
      <c r="H102" s="1677">
        <f>SUM(H84,H92,H100,H101)</f>
        <v>338171</v>
      </c>
      <c r="I102" s="477"/>
      <c r="J102" s="477"/>
      <c r="K102" s="1677">
        <f>SUM(K84,K92,K100,K101)</f>
        <v>352966</v>
      </c>
      <c r="L102" s="1677">
        <f>SUM(L84,L92,L100,L101)</f>
        <v>370000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5000</v>
      </c>
      <c r="M113" s="613"/>
      <c r="N113" s="613"/>
    </row>
    <row r="114" spans="1:14" ht="12.75" customHeight="1" thickTop="1" thickBot="1" x14ac:dyDescent="0.25">
      <c r="A114" s="1668" t="s">
        <v>48</v>
      </c>
      <c r="B114" s="1682"/>
      <c r="C114" s="1670">
        <f>SUM(C33,C74,C75,C102,C112,C113)</f>
        <v>5620682</v>
      </c>
      <c r="D114" s="1670">
        <f t="shared" ref="D114:K114" si="13">SUM(D33,D74,D75,D102,D112,D113)</f>
        <v>1538732</v>
      </c>
      <c r="E114" s="1670">
        <f t="shared" si="13"/>
        <v>322627</v>
      </c>
      <c r="F114" s="1670">
        <f t="shared" si="13"/>
        <v>510347</v>
      </c>
      <c r="G114" s="1670">
        <f t="shared" si="13"/>
        <v>70899</v>
      </c>
      <c r="H114" s="1670">
        <f>SUM(H33,H74,H75,H102,H112,H113)</f>
        <v>463039</v>
      </c>
      <c r="I114" s="1670">
        <f t="shared" si="13"/>
        <v>0</v>
      </c>
      <c r="J114" s="1670">
        <f t="shared" si="13"/>
        <v>0</v>
      </c>
      <c r="K114" s="1670">
        <f t="shared" si="13"/>
        <v>8526326</v>
      </c>
      <c r="L114" s="1670">
        <f>SUM(L33,L74,L75,L102,L112,L113)</f>
        <v>9105297</v>
      </c>
    </row>
    <row r="115" spans="1:14" ht="13.5" thickTop="1" x14ac:dyDescent="0.2">
      <c r="A115" s="2180" t="s">
        <v>996</v>
      </c>
      <c r="B115" s="2181"/>
      <c r="C115" s="618"/>
      <c r="D115" s="618"/>
      <c r="E115" s="618"/>
      <c r="F115" s="618"/>
      <c r="G115" s="618"/>
      <c r="H115" s="618"/>
      <c r="I115" s="618"/>
      <c r="J115" s="618"/>
      <c r="K115" s="1684">
        <f>'Revenues 9-14'!C268-'Expenditures 15-22'!K114</f>
        <v>1022338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2037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34915+21267+26222+22014+70794+32582+48332+5865</f>
        <v>261991</v>
      </c>
      <c r="D124" s="466">
        <f>7305+7305+7305+7305+21914+7305+407</f>
        <v>58846</v>
      </c>
      <c r="E124" s="466">
        <f>218+3459+4151+6794+13434+9152+9030+37814+4911+4945+4115+4226+8948+4165+638+3614+3457+2361+6575+884+23498</f>
        <v>156389</v>
      </c>
      <c r="F124" s="466">
        <f>1304+7915+10307+11048+21725+6087+2045+8000+9477+6974+24503+11515+2602+9207+26345+16534+40825+7687</f>
        <v>224100</v>
      </c>
      <c r="G124" s="466">
        <f>2499+2499+2498+2498+2470-1</f>
        <v>12463</v>
      </c>
      <c r="H124" s="466"/>
      <c r="I124" s="467"/>
      <c r="J124" s="467"/>
      <c r="K124" s="1670">
        <f>SUM(C124:J124)</f>
        <v>713789</v>
      </c>
      <c r="L124" s="466">
        <v>774838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v>10000</v>
      </c>
    </row>
    <row r="127" spans="1:14" ht="12.75" customHeight="1" thickTop="1" thickBot="1" x14ac:dyDescent="0.25">
      <c r="A127" s="1668" t="s">
        <v>719</v>
      </c>
      <c r="B127" s="1669" t="s">
        <v>35</v>
      </c>
      <c r="C127" s="1670">
        <f>SUM(C122:C126)</f>
        <v>261991</v>
      </c>
      <c r="D127" s="1670">
        <f t="shared" ref="D127:L127" si="14">SUM(D122:D126)</f>
        <v>58846</v>
      </c>
      <c r="E127" s="1670">
        <f t="shared" si="14"/>
        <v>156389</v>
      </c>
      <c r="F127" s="1670">
        <f t="shared" si="14"/>
        <v>224100</v>
      </c>
      <c r="G127" s="1670">
        <f t="shared" si="14"/>
        <v>12463</v>
      </c>
      <c r="H127" s="1670">
        <f t="shared" si="14"/>
        <v>0</v>
      </c>
      <c r="I127" s="1670">
        <f t="shared" si="14"/>
        <v>0</v>
      </c>
      <c r="J127" s="1670">
        <f t="shared" si="14"/>
        <v>0</v>
      </c>
      <c r="K127" s="1670">
        <f t="shared" si="14"/>
        <v>713789</v>
      </c>
      <c r="L127" s="1670">
        <f t="shared" si="14"/>
        <v>784838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261991</v>
      </c>
      <c r="D129" s="1677">
        <f t="shared" ref="D129:L129" si="15">SUM(D120,D127,D128)</f>
        <v>58846</v>
      </c>
      <c r="E129" s="1677">
        <f t="shared" si="15"/>
        <v>156389</v>
      </c>
      <c r="F129" s="1677">
        <f t="shared" si="15"/>
        <v>224100</v>
      </c>
      <c r="G129" s="1677">
        <f t="shared" si="15"/>
        <v>12463</v>
      </c>
      <c r="H129" s="1677">
        <f t="shared" si="15"/>
        <v>0</v>
      </c>
      <c r="I129" s="1677">
        <f t="shared" si="15"/>
        <v>0</v>
      </c>
      <c r="J129" s="1677">
        <f t="shared" si="15"/>
        <v>0</v>
      </c>
      <c r="K129" s="1677">
        <f t="shared" si="15"/>
        <v>713789</v>
      </c>
      <c r="L129" s="1677">
        <f t="shared" si="15"/>
        <v>784838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1822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2"/>
      <c r="C151" s="1670">
        <f>SUM(C129,C130,C139,C149,C150)</f>
        <v>261991</v>
      </c>
      <c r="D151" s="1670">
        <f t="shared" ref="D151:K151" si="16">SUM(D129,D130,D139,D149,D150)</f>
        <v>58846</v>
      </c>
      <c r="E151" s="1670">
        <f t="shared" si="16"/>
        <v>156389</v>
      </c>
      <c r="F151" s="1670">
        <f t="shared" si="16"/>
        <v>224100</v>
      </c>
      <c r="G151" s="1670">
        <f t="shared" si="16"/>
        <v>12463</v>
      </c>
      <c r="H151" s="1670">
        <f t="shared" si="16"/>
        <v>0</v>
      </c>
      <c r="I151" s="1670">
        <f t="shared" si="16"/>
        <v>0</v>
      </c>
      <c r="J151" s="1670">
        <f t="shared" si="16"/>
        <v>0</v>
      </c>
      <c r="K151" s="1670">
        <f t="shared" si="16"/>
        <v>713789</v>
      </c>
      <c r="L151" s="1670">
        <f>SUM(L129,L130,L139,L149,L150)</f>
        <v>784838</v>
      </c>
    </row>
    <row r="152" spans="1:14" ht="12.75" customHeight="1" thickTop="1" x14ac:dyDescent="0.2">
      <c r="A152" s="2173" t="s">
        <v>1178</v>
      </c>
      <c r="B152" s="2174"/>
      <c r="C152" s="618"/>
      <c r="D152" s="618"/>
      <c r="E152" s="618"/>
      <c r="F152" s="618"/>
      <c r="G152" s="618"/>
      <c r="H152" s="618"/>
      <c r="I152" s="618"/>
      <c r="J152" s="616"/>
      <c r="K152" s="1684">
        <f>'Revenues 9-14'!D268-'Expenditures 15-22'!K151</f>
        <v>-11288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1823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1822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1824</v>
      </c>
      <c r="C158" s="616"/>
      <c r="D158" s="616"/>
      <c r="E158" s="616"/>
      <c r="F158" s="616"/>
      <c r="G158" s="616"/>
      <c r="H158" s="467"/>
      <c r="I158" s="616"/>
      <c r="J158" s="616"/>
      <c r="K158" s="1671">
        <f>H158</f>
        <v>0</v>
      </c>
      <c r="L158" s="467"/>
      <c r="M158" s="619"/>
      <c r="N158" s="619"/>
    </row>
    <row r="159" spans="1:14" s="620" customFormat="1" ht="12" x14ac:dyDescent="0.2">
      <c r="A159" s="1826" t="s">
        <v>1825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1826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2531</v>
      </c>
      <c r="I169" s="616"/>
      <c r="J169" s="616"/>
      <c r="K169" s="1671">
        <f>SUM(C169:H169)</f>
        <v>2531</v>
      </c>
      <c r="L169" s="656"/>
    </row>
    <row r="170" spans="1:14" ht="33.75" customHeight="1" x14ac:dyDescent="0.2">
      <c r="A170" s="669" t="s">
        <v>1670</v>
      </c>
      <c r="B170" s="671" t="s">
        <v>31</v>
      </c>
      <c r="C170" s="616"/>
      <c r="D170" s="616"/>
      <c r="E170" s="616"/>
      <c r="F170" s="616"/>
      <c r="G170" s="616"/>
      <c r="H170" s="569">
        <v>135000</v>
      </c>
      <c r="I170" s="616"/>
      <c r="J170" s="616"/>
      <c r="K170" s="1671">
        <f>SUM(C170:J170)</f>
        <v>135000</v>
      </c>
      <c r="L170" s="569">
        <v>137532</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137531</v>
      </c>
      <c r="I172" s="638"/>
      <c r="J172" s="616"/>
      <c r="K172" s="1677">
        <f>SUM(K168,K169,K170,K171)</f>
        <v>137531</v>
      </c>
      <c r="L172" s="1677">
        <f>SUM(L168,L169,L170,L171)</f>
        <v>137532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137531</v>
      </c>
      <c r="I174" s="638"/>
      <c r="J174" s="616"/>
      <c r="K174" s="1677">
        <f>SUM(K160,K172,K173)</f>
        <v>137531</v>
      </c>
      <c r="L174" s="1677">
        <f>SUM(L160,L172,L173)</f>
        <v>137532</v>
      </c>
    </row>
    <row r="175" spans="1:14" ht="13.5" thickTop="1" x14ac:dyDescent="0.2">
      <c r="A175" s="2180" t="s">
        <v>996</v>
      </c>
      <c r="B175" s="2181"/>
      <c r="C175" s="616"/>
      <c r="D175" s="616"/>
      <c r="E175" s="616"/>
      <c r="F175" s="616"/>
      <c r="G175" s="616"/>
      <c r="H175" s="618"/>
      <c r="I175" s="616"/>
      <c r="J175" s="616"/>
      <c r="K175" s="1684">
        <f>'Revenues 9-14'!E268-'Expenditures 15-22'!K174</f>
        <v>3083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2037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214402+13669+59263+105815</f>
        <v>393149</v>
      </c>
      <c r="D182" s="466">
        <f>25238+114</f>
        <v>25352</v>
      </c>
      <c r="E182" s="466">
        <f>3314+77940+10757+4112+4020+300</f>
        <v>100443</v>
      </c>
      <c r="F182" s="466">
        <f>2075+2231+74479+2386</f>
        <v>81171</v>
      </c>
      <c r="G182" s="466">
        <v>18698</v>
      </c>
      <c r="H182" s="466">
        <v>990</v>
      </c>
      <c r="I182" s="467"/>
      <c r="J182" s="467"/>
      <c r="K182" s="1671">
        <f>SUM(C182:J182)</f>
        <v>619803</v>
      </c>
      <c r="L182" s="466">
        <v>720410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393149</v>
      </c>
      <c r="D184" s="1677">
        <f t="shared" ref="D184:J184" si="17">SUM(D180,D182,D183)</f>
        <v>25352</v>
      </c>
      <c r="E184" s="1677">
        <f t="shared" si="17"/>
        <v>100443</v>
      </c>
      <c r="F184" s="1677">
        <f t="shared" si="17"/>
        <v>81171</v>
      </c>
      <c r="G184" s="1677">
        <f t="shared" si="17"/>
        <v>18698</v>
      </c>
      <c r="H184" s="1677">
        <f t="shared" si="17"/>
        <v>990</v>
      </c>
      <c r="I184" s="1677">
        <f t="shared" si="17"/>
        <v>0</v>
      </c>
      <c r="J184" s="1677">
        <f t="shared" si="17"/>
        <v>0</v>
      </c>
      <c r="K184" s="1677">
        <f>SUM(K180,K182,K183)</f>
        <v>619803</v>
      </c>
      <c r="L184" s="1677">
        <f>SUM(L180, L182:L183)</f>
        <v>720410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393149</v>
      </c>
      <c r="D210" s="1670">
        <f>SUM(D184,D185)</f>
        <v>25352</v>
      </c>
      <c r="E210" s="1670">
        <f>SUM(E184,E185,E196)</f>
        <v>100443</v>
      </c>
      <c r="F210" s="1670">
        <f>SUM(F184,F185)</f>
        <v>81171</v>
      </c>
      <c r="G210" s="1670">
        <f>SUM(G184,G185)</f>
        <v>18698</v>
      </c>
      <c r="H210" s="1670">
        <f>SUM(H184,H185,H196,H208,H209)</f>
        <v>990</v>
      </c>
      <c r="I210" s="1670">
        <f>SUM(I184,I185)</f>
        <v>0</v>
      </c>
      <c r="J210" s="1670">
        <f>SUM(J184,J185)</f>
        <v>0</v>
      </c>
      <c r="K210" s="1671">
        <f>SUM(K184,K185,K196,K208,K209)</f>
        <v>619803</v>
      </c>
      <c r="L210" s="1670">
        <f>SUM(L184,L185,L196,L208,L209)</f>
        <v>720410</v>
      </c>
    </row>
    <row r="211" spans="1:14" ht="13.5" thickTop="1" x14ac:dyDescent="0.2">
      <c r="A211" s="2180" t="s">
        <v>996</v>
      </c>
      <c r="B211" s="2181"/>
      <c r="C211" s="618"/>
      <c r="D211" s="618"/>
      <c r="E211" s="618"/>
      <c r="F211" s="618"/>
      <c r="G211" s="618"/>
      <c r="H211" s="618"/>
      <c r="I211" s="616"/>
      <c r="J211" s="616"/>
      <c r="K211" s="1684">
        <f>'Revenues 9-14'!F268-'Expenditures 15-22'!K210</f>
        <v>95140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41+2451+1668+4381+4548+7278+7112+14170+814</f>
        <v>42463</v>
      </c>
      <c r="E215" s="616"/>
      <c r="F215" s="616"/>
      <c r="G215" s="616"/>
      <c r="H215" s="616"/>
      <c r="I215" s="616"/>
      <c r="J215" s="616"/>
      <c r="K215" s="1671">
        <f>D215</f>
        <v>42463</v>
      </c>
      <c r="L215" s="466">
        <v>40168</v>
      </c>
    </row>
    <row r="216" spans="1:14" x14ac:dyDescent="0.2">
      <c r="A216" s="1504" t="s">
        <v>163</v>
      </c>
      <c r="B216" s="614" t="s">
        <v>967</v>
      </c>
      <c r="C216" s="616"/>
      <c r="D216" s="467">
        <f>19189+9730+14216+7232+2746</f>
        <v>53113</v>
      </c>
      <c r="E216" s="616"/>
      <c r="F216" s="616"/>
      <c r="G216" s="616"/>
      <c r="H216" s="616"/>
      <c r="I216" s="616"/>
      <c r="J216" s="616"/>
      <c r="K216" s="1671">
        <f t="shared" ref="K216:K228" si="19">D216</f>
        <v>53113</v>
      </c>
      <c r="L216" s="466">
        <v>45489</v>
      </c>
    </row>
    <row r="217" spans="1:14" x14ac:dyDescent="0.2">
      <c r="A217" s="1504" t="s">
        <v>164</v>
      </c>
      <c r="B217" s="614">
        <v>1200</v>
      </c>
      <c r="C217" s="616"/>
      <c r="D217" s="466">
        <v>81863</v>
      </c>
      <c r="E217" s="616"/>
      <c r="F217" s="616"/>
      <c r="G217" s="616"/>
      <c r="H217" s="616"/>
      <c r="I217" s="616"/>
      <c r="J217" s="616"/>
      <c r="K217" s="1671">
        <f t="shared" si="19"/>
        <v>81863</v>
      </c>
      <c r="L217" s="466">
        <v>99277</v>
      </c>
    </row>
    <row r="218" spans="1:14" x14ac:dyDescent="0.2">
      <c r="A218" s="1504" t="s">
        <v>278</v>
      </c>
      <c r="B218" s="614" t="s">
        <v>968</v>
      </c>
      <c r="C218" s="616"/>
      <c r="D218" s="467">
        <v>3987</v>
      </c>
      <c r="E218" s="616"/>
      <c r="F218" s="616"/>
      <c r="G218" s="616"/>
      <c r="H218" s="616"/>
      <c r="I218" s="616"/>
      <c r="J218" s="616"/>
      <c r="K218" s="1671">
        <f t="shared" si="19"/>
        <v>3987</v>
      </c>
      <c r="L218" s="466">
        <v>5200</v>
      </c>
    </row>
    <row r="219" spans="1:14" x14ac:dyDescent="0.2">
      <c r="A219" s="1504" t="s">
        <v>279</v>
      </c>
      <c r="B219" s="614">
        <v>1250</v>
      </c>
      <c r="C219" s="616"/>
      <c r="D219" s="466">
        <v>3212</v>
      </c>
      <c r="E219" s="616"/>
      <c r="F219" s="616"/>
      <c r="G219" s="616"/>
      <c r="H219" s="616"/>
      <c r="I219" s="616"/>
      <c r="J219" s="616"/>
      <c r="K219" s="1671">
        <f t="shared" si="19"/>
        <v>3212</v>
      </c>
      <c r="L219" s="466">
        <v>3625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f>801+1124+552+107+1677+993</f>
        <v>5254</v>
      </c>
      <c r="E223" s="616"/>
      <c r="F223" s="616"/>
      <c r="G223" s="616"/>
      <c r="H223" s="616"/>
      <c r="I223" s="616"/>
      <c r="J223" s="616"/>
      <c r="K223" s="1671">
        <f t="shared" si="19"/>
        <v>5254</v>
      </c>
      <c r="L223" s="466">
        <v>6298</v>
      </c>
    </row>
    <row r="224" spans="1:14" x14ac:dyDescent="0.2">
      <c r="A224" s="1504" t="s">
        <v>964</v>
      </c>
      <c r="B224" s="614">
        <v>1600</v>
      </c>
      <c r="C224" s="616"/>
      <c r="D224" s="466">
        <f>44+32+48</f>
        <v>124</v>
      </c>
      <c r="E224" s="616"/>
      <c r="F224" s="616"/>
      <c r="G224" s="616"/>
      <c r="H224" s="616"/>
      <c r="I224" s="616"/>
      <c r="J224" s="616"/>
      <c r="K224" s="1671">
        <f t="shared" si="19"/>
        <v>124</v>
      </c>
      <c r="L224" s="466">
        <v>150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190016</v>
      </c>
      <c r="E229" s="616"/>
      <c r="F229" s="616"/>
      <c r="G229" s="616"/>
      <c r="H229" s="616"/>
      <c r="I229" s="616"/>
      <c r="J229" s="616"/>
      <c r="K229" s="1670">
        <f>SUM(K215:K228)</f>
        <v>190016</v>
      </c>
      <c r="L229" s="1670">
        <f>SUM(L215:L228)</f>
        <v>200207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f>1644+1880</f>
        <v>3524</v>
      </c>
      <c r="E233" s="616"/>
      <c r="F233" s="616"/>
      <c r="G233" s="616"/>
      <c r="H233" s="616"/>
      <c r="I233" s="616"/>
      <c r="J233" s="616"/>
      <c r="K233" s="1671">
        <f t="shared" si="20"/>
        <v>3524</v>
      </c>
      <c r="L233" s="466">
        <v>1782</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v>1940</v>
      </c>
    </row>
    <row r="237" spans="1:12" x14ac:dyDescent="0.2">
      <c r="A237" s="1504" t="s">
        <v>165</v>
      </c>
      <c r="B237" s="614">
        <v>2190</v>
      </c>
      <c r="C237" s="616"/>
      <c r="D237" s="466">
        <f>736+682+108</f>
        <v>1526</v>
      </c>
      <c r="E237" s="616"/>
      <c r="F237" s="616"/>
      <c r="G237" s="616"/>
      <c r="H237" s="616"/>
      <c r="I237" s="616"/>
      <c r="J237" s="616"/>
      <c r="K237" s="1671">
        <f t="shared" si="20"/>
        <v>1526</v>
      </c>
      <c r="L237" s="466">
        <v>2100</v>
      </c>
    </row>
    <row r="238" spans="1:12" ht="12.75" customHeight="1" thickBot="1" x14ac:dyDescent="0.25">
      <c r="A238" s="1668" t="s">
        <v>560</v>
      </c>
      <c r="B238" s="1675" t="s">
        <v>716</v>
      </c>
      <c r="C238" s="616"/>
      <c r="D238" s="1670">
        <f>SUM(D232:D237)</f>
        <v>5050</v>
      </c>
      <c r="E238" s="616"/>
      <c r="F238" s="616"/>
      <c r="G238" s="616"/>
      <c r="H238" s="616"/>
      <c r="I238" s="616"/>
      <c r="J238" s="616"/>
      <c r="K238" s="1670">
        <f>SUM(K232:K237)</f>
        <v>5050</v>
      </c>
      <c r="L238" s="1670">
        <f>SUM(L232:L237)</f>
        <v>5822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f>6467+4844+727+4726+4379</f>
        <v>21143</v>
      </c>
      <c r="E241" s="616"/>
      <c r="F241" s="616"/>
      <c r="G241" s="616"/>
      <c r="H241" s="616"/>
      <c r="I241" s="616"/>
      <c r="J241" s="616"/>
      <c r="K241" s="1672">
        <f>D241</f>
        <v>21143</v>
      </c>
      <c r="L241" s="466">
        <v>11900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21143</v>
      </c>
      <c r="E243" s="616"/>
      <c r="F243" s="616"/>
      <c r="G243" s="616"/>
      <c r="H243" s="616"/>
      <c r="I243" s="616"/>
      <c r="J243" s="616"/>
      <c r="K243" s="1670">
        <f>SUM(K240:K242)</f>
        <v>21143</v>
      </c>
      <c r="L243" s="1670">
        <f>SUM(L240:L242)</f>
        <v>11900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f>2585+2215+1723</f>
        <v>6523</v>
      </c>
      <c r="E246" s="616"/>
      <c r="F246" s="616"/>
      <c r="G246" s="616"/>
      <c r="H246" s="616"/>
      <c r="I246" s="616"/>
      <c r="J246" s="616"/>
      <c r="K246" s="1672">
        <f t="shared" ref="K246:K256" si="21">D246</f>
        <v>6523</v>
      </c>
      <c r="L246" s="466">
        <v>9775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1783</v>
      </c>
      <c r="B249" s="683" t="s">
        <v>282</v>
      </c>
      <c r="C249" s="616"/>
      <c r="D249" s="474"/>
      <c r="E249" s="616"/>
      <c r="F249" s="616"/>
      <c r="G249" s="616"/>
      <c r="H249" s="616"/>
      <c r="I249" s="616"/>
      <c r="J249" s="616"/>
      <c r="K249" s="1672">
        <f t="shared" si="21"/>
        <v>0</v>
      </c>
      <c r="L249" s="466"/>
    </row>
    <row r="250" spans="1:12" x14ac:dyDescent="0.2">
      <c r="A250" s="1505" t="s">
        <v>1784</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f>18372+16022+4387</f>
        <v>38781</v>
      </c>
      <c r="E254" s="616"/>
      <c r="F254" s="616"/>
      <c r="G254" s="616"/>
      <c r="H254" s="616"/>
      <c r="I254" s="616"/>
      <c r="J254" s="616"/>
      <c r="K254" s="1672">
        <f t="shared" si="21"/>
        <v>38781</v>
      </c>
      <c r="L254" s="466">
        <v>20000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45304</v>
      </c>
      <c r="E257" s="616"/>
      <c r="F257" s="616"/>
      <c r="G257" s="616"/>
      <c r="H257" s="616"/>
      <c r="I257" s="616"/>
      <c r="J257" s="616"/>
      <c r="K257" s="1670">
        <f>SUM(K245:K256)</f>
        <v>45304</v>
      </c>
      <c r="L257" s="1670">
        <f>SUM(L245:L256)</f>
        <v>29775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1909+2415+2187+3951+1471+1782+1612+2917+717+1187+717+1802</f>
        <v>22667</v>
      </c>
      <c r="E259" s="616"/>
      <c r="F259" s="616"/>
      <c r="G259" s="616"/>
      <c r="H259" s="616"/>
      <c r="I259" s="616"/>
      <c r="J259" s="616"/>
      <c r="K259" s="1672">
        <f>D259</f>
        <v>22667</v>
      </c>
      <c r="L259" s="481">
        <v>26617</v>
      </c>
    </row>
    <row r="260" spans="1:14" s="597" customFormat="1" x14ac:dyDescent="0.2">
      <c r="A260" s="1522" t="s">
        <v>1782</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22667</v>
      </c>
      <c r="E261" s="616"/>
      <c r="F261" s="616"/>
      <c r="G261" s="616"/>
      <c r="H261" s="616"/>
      <c r="I261" s="616"/>
      <c r="J261" s="616"/>
      <c r="K261" s="1670">
        <f>SUM(K259:K260)</f>
        <v>22667</v>
      </c>
      <c r="L261" s="1670">
        <f>SUM(L259:L260)</f>
        <v>26617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7849+5554</f>
        <v>13403</v>
      </c>
      <c r="E264" s="616"/>
      <c r="F264" s="616"/>
      <c r="G264" s="616"/>
      <c r="H264" s="616"/>
      <c r="I264" s="616"/>
      <c r="J264" s="616"/>
      <c r="K264" s="1672">
        <f t="shared" ref="K264:K269" si="22">D264</f>
        <v>13403</v>
      </c>
      <c r="L264" s="466">
        <v>14140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4534+2334+2743+2323+7911+2981+6297+1712+1859+1712+5839+2191</f>
        <v>42436</v>
      </c>
      <c r="E266" s="616"/>
      <c r="F266" s="616"/>
      <c r="G266" s="616"/>
      <c r="H266" s="616"/>
      <c r="I266" s="616"/>
      <c r="J266" s="616"/>
      <c r="K266" s="1672">
        <f t="shared" si="22"/>
        <v>42436</v>
      </c>
      <c r="L266" s="466">
        <v>49003</v>
      </c>
    </row>
    <row r="267" spans="1:14" x14ac:dyDescent="0.2">
      <c r="A267" s="1504" t="s">
        <v>953</v>
      </c>
      <c r="B267" s="614">
        <v>2550</v>
      </c>
      <c r="C267" s="616"/>
      <c r="D267" s="466">
        <f>23711+30005</f>
        <v>53716</v>
      </c>
      <c r="E267" s="616"/>
      <c r="F267" s="616"/>
      <c r="G267" s="616"/>
      <c r="H267" s="616"/>
      <c r="I267" s="616"/>
      <c r="J267" s="616"/>
      <c r="K267" s="1672">
        <f t="shared" si="22"/>
        <v>53716</v>
      </c>
      <c r="L267" s="466">
        <v>64000</v>
      </c>
    </row>
    <row r="268" spans="1:14" x14ac:dyDescent="0.2">
      <c r="A268" s="1504" t="s">
        <v>100</v>
      </c>
      <c r="B268" s="614">
        <v>2560</v>
      </c>
      <c r="C268" s="616"/>
      <c r="D268" s="466">
        <f>9635+10994</f>
        <v>20629</v>
      </c>
      <c r="E268" s="616"/>
      <c r="F268" s="616"/>
      <c r="G268" s="616"/>
      <c r="H268" s="616"/>
      <c r="I268" s="616"/>
      <c r="J268" s="616"/>
      <c r="K268" s="1672">
        <f t="shared" si="22"/>
        <v>20629</v>
      </c>
      <c r="L268" s="466">
        <v>23445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130184</v>
      </c>
      <c r="E270" s="616"/>
      <c r="F270" s="616"/>
      <c r="G270" s="616"/>
      <c r="H270" s="616"/>
      <c r="I270" s="616"/>
      <c r="J270" s="616"/>
      <c r="K270" s="1670">
        <f>SUM(K263:K269)</f>
        <v>130184</v>
      </c>
      <c r="L270" s="1670">
        <f>SUM(L263:L269)</f>
        <v>150588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224348</v>
      </c>
      <c r="E279" s="616"/>
      <c r="F279" s="616"/>
      <c r="G279" s="616"/>
      <c r="H279" s="616"/>
      <c r="I279" s="616"/>
      <c r="J279" s="616"/>
      <c r="K279" s="1677">
        <f>SUM(K238,K243,K257,K261,K270,K277,K278)</f>
        <v>224348</v>
      </c>
      <c r="L279" s="1677">
        <f>SUM(L238,L243,L257,L261,L270,L277,L278)</f>
        <v>224702</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1822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414364</v>
      </c>
      <c r="E295" s="616"/>
      <c r="F295" s="616"/>
      <c r="G295" s="616"/>
      <c r="H295" s="1670">
        <f>H293</f>
        <v>0</v>
      </c>
      <c r="I295" s="616"/>
      <c r="J295" s="616"/>
      <c r="K295" s="1670">
        <f>SUM(K229,K279,K280,K285,K293,K294)</f>
        <v>414364</v>
      </c>
      <c r="L295" s="1670">
        <f>SUM(L229,L279,L280,L285,L293,L294)</f>
        <v>424909</v>
      </c>
    </row>
    <row r="296" spans="1:14" ht="13.5" thickTop="1" x14ac:dyDescent="0.2">
      <c r="A296" s="2180" t="s">
        <v>996</v>
      </c>
      <c r="B296" s="2181"/>
      <c r="C296" s="616"/>
      <c r="D296" s="618"/>
      <c r="E296" s="616"/>
      <c r="F296" s="616"/>
      <c r="G296" s="616"/>
      <c r="H296" s="687"/>
      <c r="I296" s="616"/>
      <c r="J296" s="616"/>
      <c r="K296" s="1684">
        <f>'Revenues 9-14'!G268-'Expenditures 15-22'!K295</f>
        <v>65448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1827</v>
      </c>
      <c r="B306" s="690" t="s">
        <v>1822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1783</v>
      </c>
      <c r="B320" s="698" t="s">
        <v>282</v>
      </c>
      <c r="C320" s="467"/>
      <c r="D320" s="467"/>
      <c r="E320" s="467">
        <v>73417</v>
      </c>
      <c r="F320" s="467"/>
      <c r="G320" s="467"/>
      <c r="H320" s="467"/>
      <c r="I320" s="467"/>
      <c r="J320" s="467"/>
      <c r="K320" s="1671">
        <f t="shared" ref="K320:K327" si="24">SUM(C320:J320)</f>
        <v>73417</v>
      </c>
      <c r="L320" s="467">
        <v>78000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19979</v>
      </c>
      <c r="F322" s="467"/>
      <c r="G322" s="467"/>
      <c r="H322" s="467"/>
      <c r="I322" s="467"/>
      <c r="J322" s="467"/>
      <c r="K322" s="1671">
        <f t="shared" si="24"/>
        <v>19979</v>
      </c>
      <c r="L322" s="467">
        <v>75628</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f>327329+69571+5301+60779+49526</f>
        <v>512506</v>
      </c>
      <c r="D325" s="467">
        <f>29484+7076+1907+53862+6310+14697-1</f>
        <v>113335</v>
      </c>
      <c r="E325" s="467"/>
      <c r="F325" s="467"/>
      <c r="G325" s="467"/>
      <c r="H325" s="467"/>
      <c r="I325" s="467"/>
      <c r="J325" s="467"/>
      <c r="K325" s="1671">
        <f t="shared" si="24"/>
        <v>625841</v>
      </c>
      <c r="L325" s="467">
        <v>660560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5000</v>
      </c>
      <c r="M327" s="665"/>
      <c r="N327" s="665"/>
    </row>
    <row r="328" spans="1:14" s="674" customFormat="1" x14ac:dyDescent="0.2">
      <c r="A328" s="1520" t="s">
        <v>472</v>
      </c>
      <c r="B328" s="690" t="s">
        <v>1132</v>
      </c>
      <c r="C328" s="474"/>
      <c r="D328" s="474"/>
      <c r="E328" s="474">
        <v>34217</v>
      </c>
      <c r="F328" s="474"/>
      <c r="G328" s="474"/>
      <c r="H328" s="474"/>
      <c r="I328" s="474"/>
      <c r="J328" s="474"/>
      <c r="K328" s="1699">
        <f>SUM(C328:J328)</f>
        <v>34217</v>
      </c>
      <c r="L328" s="474"/>
      <c r="M328" s="665"/>
      <c r="N328" s="665"/>
    </row>
    <row r="329" spans="1:14" s="674" customFormat="1" x14ac:dyDescent="0.2">
      <c r="A329" s="1520" t="s">
        <v>1133</v>
      </c>
      <c r="B329" s="690" t="s">
        <v>1134</v>
      </c>
      <c r="C329" s="474"/>
      <c r="D329" s="474"/>
      <c r="E329" s="474">
        <v>19726</v>
      </c>
      <c r="F329" s="474"/>
      <c r="G329" s="474"/>
      <c r="H329" s="474"/>
      <c r="I329" s="474"/>
      <c r="J329" s="474"/>
      <c r="K329" s="1699">
        <f>SUM(C329:J329)</f>
        <v>19726</v>
      </c>
      <c r="L329" s="474"/>
      <c r="M329" s="665"/>
      <c r="N329" s="665"/>
    </row>
    <row r="330" spans="1:14" s="674" customFormat="1" ht="12.75" customHeight="1" thickBot="1" x14ac:dyDescent="0.25">
      <c r="A330" s="1700" t="s">
        <v>717</v>
      </c>
      <c r="B330" s="1669" t="s">
        <v>569</v>
      </c>
      <c r="C330" s="1670">
        <f>SUM(C319:C329)</f>
        <v>512506</v>
      </c>
      <c r="D330" s="1670">
        <f t="shared" ref="D330:J330" si="25">SUM(D319:D329)</f>
        <v>113335</v>
      </c>
      <c r="E330" s="1670">
        <f t="shared" si="25"/>
        <v>147339</v>
      </c>
      <c r="F330" s="1670">
        <f t="shared" si="25"/>
        <v>0</v>
      </c>
      <c r="G330" s="1670">
        <f t="shared" si="25"/>
        <v>0</v>
      </c>
      <c r="H330" s="1670">
        <f t="shared" si="25"/>
        <v>0</v>
      </c>
      <c r="I330" s="1670">
        <f t="shared" si="25"/>
        <v>0</v>
      </c>
      <c r="J330" s="1670">
        <f t="shared" si="25"/>
        <v>0</v>
      </c>
      <c r="K330" s="1670">
        <f>SUM(K319:K329)</f>
        <v>773180</v>
      </c>
      <c r="L330" s="1670">
        <f>SUM(L319:L329)</f>
        <v>819188</v>
      </c>
      <c r="M330" s="665"/>
      <c r="N330" s="665"/>
    </row>
    <row r="331" spans="1:14" s="674" customFormat="1" ht="12.75" customHeight="1" thickTop="1" x14ac:dyDescent="0.2">
      <c r="A331" s="1831" t="s">
        <v>1828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1822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1824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1829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512506</v>
      </c>
      <c r="D342" s="1670">
        <f>SUM(D330)</f>
        <v>113335</v>
      </c>
      <c r="E342" s="1670">
        <f>SUM(E330)</f>
        <v>147339</v>
      </c>
      <c r="F342" s="1670">
        <f>SUM(F330)</f>
        <v>0</v>
      </c>
      <c r="G342" s="1670">
        <f>SUM(G330)</f>
        <v>0</v>
      </c>
      <c r="H342" s="1670">
        <f>SUM(H330,H334,H340)</f>
        <v>0</v>
      </c>
      <c r="I342" s="1670">
        <f>SUM(I330)</f>
        <v>0</v>
      </c>
      <c r="J342" s="1670">
        <f>SUM(J330)</f>
        <v>0</v>
      </c>
      <c r="K342" s="1670">
        <f>SUM(K330,K334,K340)</f>
        <v>773180</v>
      </c>
      <c r="L342" s="1677">
        <f>SUM(L330,L340,L341)</f>
        <v>819188</v>
      </c>
    </row>
    <row r="343" spans="1:14" ht="12.75" customHeight="1" thickTop="1" x14ac:dyDescent="0.2">
      <c r="A343" s="2166" t="s">
        <v>996</v>
      </c>
      <c r="B343" s="2167"/>
      <c r="C343" s="616"/>
      <c r="D343" s="616"/>
      <c r="E343" s="616"/>
      <c r="F343" s="616"/>
      <c r="G343" s="616"/>
      <c r="H343" s="616"/>
      <c r="I343" s="616"/>
      <c r="J343" s="616"/>
      <c r="K343" s="1684">
        <f>'Revenues 9-14'!J268-'Expenditures 15-22'!K342</f>
        <v>-2855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68428</v>
      </c>
      <c r="H348" s="466"/>
      <c r="I348" s="467"/>
      <c r="J348" s="467"/>
      <c r="K348" s="1671">
        <f>SUM(C348:J348)</f>
        <v>68428</v>
      </c>
      <c r="L348" s="466">
        <v>125000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68428</v>
      </c>
      <c r="H350" s="1670">
        <f t="shared" si="26"/>
        <v>0</v>
      </c>
      <c r="I350" s="1670">
        <f t="shared" si="26"/>
        <v>0</v>
      </c>
      <c r="J350" s="1670">
        <f t="shared" si="26"/>
        <v>0</v>
      </c>
      <c r="K350" s="1670">
        <f t="shared" si="26"/>
        <v>68428</v>
      </c>
      <c r="L350" s="1670">
        <f t="shared" si="26"/>
        <v>125000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68428</v>
      </c>
      <c r="H352" s="1670">
        <f t="shared" si="27"/>
        <v>0</v>
      </c>
      <c r="I352" s="1670">
        <f t="shared" si="27"/>
        <v>0</v>
      </c>
      <c r="J352" s="1670">
        <f t="shared" si="27"/>
        <v>0</v>
      </c>
      <c r="K352" s="1670">
        <f t="shared" si="27"/>
        <v>68428</v>
      </c>
      <c r="L352" s="1670">
        <f t="shared" si="27"/>
        <v>125000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1830</v>
      </c>
      <c r="B354" s="683" t="s">
        <v>1822</v>
      </c>
      <c r="C354" s="616"/>
      <c r="D354" s="616"/>
      <c r="E354" s="616"/>
      <c r="F354" s="616"/>
      <c r="G354" s="616"/>
      <c r="H354" s="474"/>
      <c r="I354" s="701"/>
      <c r="J354" s="616"/>
      <c r="K354" s="1699">
        <f>H354</f>
        <v>0</v>
      </c>
      <c r="L354" s="471"/>
    </row>
    <row r="355" spans="1:14" ht="12.75" customHeight="1" x14ac:dyDescent="0.2">
      <c r="A355" s="1513" t="s">
        <v>1831</v>
      </c>
      <c r="B355" s="690" t="s">
        <v>1824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68428</v>
      </c>
      <c r="H367" s="1670">
        <f t="shared" si="28"/>
        <v>0</v>
      </c>
      <c r="I367" s="1670">
        <f t="shared" si="28"/>
        <v>0</v>
      </c>
      <c r="J367" s="1670">
        <f t="shared" si="28"/>
        <v>0</v>
      </c>
      <c r="K367" s="1670">
        <f t="shared" si="28"/>
        <v>68428</v>
      </c>
      <c r="L367" s="1670">
        <f t="shared" si="28"/>
        <v>125000</v>
      </c>
    </row>
    <row r="368" spans="1:14" ht="13.5" thickTop="1" x14ac:dyDescent="0.2">
      <c r="A368" s="2180" t="s">
        <v>996</v>
      </c>
      <c r="B368" s="2181"/>
      <c r="C368" s="654"/>
      <c r="D368" s="654"/>
      <c r="E368" s="626"/>
      <c r="F368" s="626"/>
      <c r="G368" s="626"/>
      <c r="H368" s="626"/>
      <c r="I368" s="626"/>
      <c r="J368" s="623"/>
      <c r="K368" s="1671">
        <f>'Revenues 9-14'!K268-'Expenditures 15-22'!K367</f>
        <v>60858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microsoft.com/office/2006/documentManagement/types"/>
    <ds:schemaRef ds:uri="http://schemas.microsoft.com/office/2006/metadata/properties"/>
    <ds:schemaRef ds:uri="4d435f69-8686-490b-bd6d-b153bf22ab50"/>
    <ds:schemaRef ds:uri="http://schemas.microsoft.com/office/infopath/2007/PartnerControls"/>
    <ds:schemaRef ds:uri="http://schemas.openxmlformats.org/package/2006/metadata/core-properties"/>
    <ds:schemaRef ds:uri="d21dc803-237d-4c68-8692-8d731fd29118"/>
    <ds:schemaRef ds:uri="http://purl.org/dc/elements/1.1/"/>
    <ds:schemaRef ds:uri="6ce3111e-7420-4802-b50a-75d4e9a0b980"/>
    <ds:schemaRef ds:uri="http://purl.org/dc/dcmityp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2019-09-11T16:29:00Z</cp:lastPrinted>
  <dcterms:created xsi:type="dcterms:W3CDTF">2003-10-29T19:06:34Z</dcterms:created>
  <dcterms:modified xsi:type="dcterms:W3CDTF">2019-11-07T20:00:06Z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