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A568A0B-EEA9-48A8-A27E-AD018FE5AB6C}"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9" i="3" l="1"/>
  <c r="C9" i="4" l="1"/>
  <c r="G39" i="3" l="1"/>
  <c r="C73" i="5" l="1"/>
  <c r="D21" i="181" l="1"/>
  <c r="D18" i="181"/>
  <c r="D17" i="181"/>
  <c r="H182" i="29" l="1"/>
  <c r="H169" i="29"/>
  <c r="H170" i="29"/>
  <c r="D75" i="29"/>
  <c r="C75" i="29"/>
  <c r="F75" i="29"/>
  <c r="F45" i="29"/>
  <c r="C45" i="29"/>
  <c r="F139" i="181" l="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8" i="181"/>
  <c r="E138" i="181"/>
  <c r="G137" i="181"/>
  <c r="E137" i="181"/>
  <c r="G136" i="181"/>
  <c r="E136" i="181"/>
  <c r="G135" i="181"/>
  <c r="E135" i="181"/>
  <c r="G134" i="181"/>
  <c r="E134" i="181"/>
  <c r="G133" i="181"/>
  <c r="E133" i="181"/>
  <c r="G132" i="181"/>
  <c r="E132" i="181"/>
  <c r="E131" i="181"/>
  <c r="G131" i="181" s="1"/>
  <c r="G130" i="181"/>
  <c r="E130" i="181"/>
  <c r="G129" i="181"/>
  <c r="E129" i="181"/>
  <c r="G128" i="181"/>
  <c r="E128" i="181"/>
  <c r="G127" i="181"/>
  <c r="E127" i="181"/>
  <c r="E126" i="181"/>
  <c r="G126" i="181" s="1"/>
  <c r="G125" i="181"/>
  <c r="E125" i="181"/>
  <c r="G124" i="181"/>
  <c r="E124" i="181"/>
  <c r="G123" i="181"/>
  <c r="E123" i="181"/>
  <c r="E122" i="181"/>
  <c r="G122" i="181" s="1"/>
  <c r="G121" i="181"/>
  <c r="E121" i="181"/>
  <c r="G120" i="181"/>
  <c r="E120" i="181"/>
  <c r="G119" i="181"/>
  <c r="E119" i="181"/>
  <c r="G118" i="181"/>
  <c r="E118" i="181"/>
  <c r="G117" i="181"/>
  <c r="E117" i="181"/>
  <c r="G116" i="181"/>
  <c r="E116" i="181"/>
  <c r="G115" i="181"/>
  <c r="E115" i="181"/>
  <c r="G114" i="181"/>
  <c r="E114" i="181"/>
  <c r="E113" i="181"/>
  <c r="G113" i="181" s="1"/>
  <c r="G112" i="181"/>
  <c r="E112" i="181"/>
  <c r="G111" i="181"/>
  <c r="E111" i="181"/>
  <c r="G110" i="181"/>
  <c r="E110" i="181"/>
  <c r="E109" i="181"/>
  <c r="G109" i="181" s="1"/>
  <c r="G108" i="181"/>
  <c r="E108" i="181"/>
  <c r="G107" i="181"/>
  <c r="E107" i="181"/>
  <c r="G106" i="181"/>
  <c r="E106" i="181"/>
  <c r="G105" i="181"/>
  <c r="E105" i="181"/>
  <c r="G104" i="181"/>
  <c r="E104" i="181"/>
  <c r="G103" i="181"/>
  <c r="E103" i="181"/>
  <c r="G98" i="181"/>
  <c r="E98" i="181"/>
  <c r="G102" i="181"/>
  <c r="E102" i="181"/>
  <c r="E101" i="181"/>
  <c r="G101" i="181" s="1"/>
  <c r="G100" i="181"/>
  <c r="E100" i="181"/>
  <c r="E99" i="181"/>
  <c r="G99" i="181" s="1"/>
  <c r="G97" i="181"/>
  <c r="E97" i="181"/>
  <c r="E96" i="181"/>
  <c r="G96" i="181" s="1"/>
  <c r="G95" i="181"/>
  <c r="E95" i="181"/>
  <c r="E94" i="181"/>
  <c r="G94" i="181" s="1"/>
  <c r="G92" i="181"/>
  <c r="E92" i="181"/>
  <c r="G91" i="181"/>
  <c r="E91" i="181"/>
  <c r="E90" i="181"/>
  <c r="G90" i="181" s="1"/>
  <c r="G89" i="181"/>
  <c r="E89" i="181"/>
  <c r="G88" i="181"/>
  <c r="E88" i="181"/>
  <c r="E87" i="181"/>
  <c r="G87" i="181" s="1"/>
  <c r="G86" i="181"/>
  <c r="E86" i="181"/>
  <c r="E85" i="181"/>
  <c r="G85" i="181" s="1"/>
  <c r="G83" i="181"/>
  <c r="E83" i="181"/>
  <c r="G82" i="181"/>
  <c r="E82" i="181"/>
  <c r="G81" i="181"/>
  <c r="E81" i="181"/>
  <c r="G80" i="181"/>
  <c r="E80" i="181"/>
  <c r="G79" i="181"/>
  <c r="E79" i="181"/>
  <c r="G78" i="181"/>
  <c r="E78" i="181"/>
  <c r="G77" i="181"/>
  <c r="E77" i="181"/>
  <c r="G76" i="181"/>
  <c r="E76" i="181"/>
  <c r="G75" i="181"/>
  <c r="E75" i="181"/>
  <c r="E74" i="181"/>
  <c r="G74" i="181" s="1"/>
  <c r="G73" i="181"/>
  <c r="E73" i="181"/>
  <c r="G72" i="181"/>
  <c r="E72" i="181"/>
  <c r="G139" i="181"/>
  <c r="E139" i="181"/>
  <c r="G93" i="181"/>
  <c r="E93" i="181"/>
  <c r="G84" i="181"/>
  <c r="E84" i="181"/>
  <c r="E71" i="181"/>
  <c r="G71" i="181" s="1"/>
  <c r="G70" i="181"/>
  <c r="E70" i="181"/>
  <c r="G69" i="181"/>
  <c r="E69" i="181"/>
  <c r="G68" i="181"/>
  <c r="E68" i="181"/>
  <c r="G67" i="181"/>
  <c r="E67" i="181"/>
  <c r="G66" i="181"/>
  <c r="E66" i="181"/>
  <c r="G65" i="181"/>
  <c r="E65" i="181"/>
  <c r="E64" i="181"/>
  <c r="G64" i="181" s="1"/>
  <c r="E63" i="181"/>
  <c r="G63" i="181" s="1"/>
  <c r="G62" i="181"/>
  <c r="E62" i="181"/>
  <c r="G61" i="181"/>
  <c r="E61" i="181"/>
  <c r="G60" i="181"/>
  <c r="E60" i="181"/>
  <c r="E59" i="181"/>
  <c r="G59" i="181" s="1"/>
  <c r="G58" i="181"/>
  <c r="E58" i="181"/>
  <c r="E57" i="181"/>
  <c r="G57" i="181" s="1"/>
  <c r="G56" i="181"/>
  <c r="E56" i="181"/>
  <c r="E55" i="181"/>
  <c r="G55" i="181" s="1"/>
  <c r="G54" i="181"/>
  <c r="E54" i="181"/>
  <c r="E53" i="181"/>
  <c r="G53" i="181" s="1"/>
  <c r="G52" i="181"/>
  <c r="E52" i="181"/>
  <c r="G51" i="181"/>
  <c r="E51" i="181"/>
  <c r="G50" i="181"/>
  <c r="E50" i="181"/>
  <c r="G49" i="181"/>
  <c r="E49" i="181"/>
  <c r="G48" i="181"/>
  <c r="E48" i="181"/>
  <c r="E47" i="181"/>
  <c r="G47" i="181" s="1"/>
  <c r="G46" i="181"/>
  <c r="E46" i="181"/>
  <c r="G45" i="181"/>
  <c r="E45" i="181"/>
  <c r="E44" i="181"/>
  <c r="F44" i="181" s="1"/>
  <c r="G44" i="181" s="1"/>
  <c r="E43" i="181"/>
  <c r="F43" i="181" s="1"/>
  <c r="G43" i="181" s="1"/>
  <c r="E42" i="18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E31" i="181"/>
  <c r="F31" i="181" s="1"/>
  <c r="G31" i="181" s="1"/>
  <c r="E30" i="181"/>
  <c r="F30" i="181" s="1"/>
  <c r="G30" i="181" s="1"/>
  <c r="E29" i="181"/>
  <c r="F29" i="181" s="1"/>
  <c r="G29" i="181" s="1"/>
  <c r="E28" i="181"/>
  <c r="E27" i="181"/>
  <c r="F27" i="181" s="1"/>
  <c r="G27" i="181" s="1"/>
  <c r="E26" i="181"/>
  <c r="E25" i="181"/>
  <c r="F25" i="181" s="1"/>
  <c r="G25" i="181" s="1"/>
  <c r="E24" i="181"/>
  <c r="E23" i="181"/>
  <c r="F23" i="181" s="1"/>
  <c r="G23" i="181" s="1"/>
  <c r="E22" i="181"/>
  <c r="F22" i="181" s="1"/>
  <c r="G22" i="181" s="1"/>
  <c r="E21" i="181"/>
  <c r="F21" i="181" s="1"/>
  <c r="G21" i="181" s="1"/>
  <c r="E20" i="181"/>
  <c r="F20" i="181" s="1"/>
  <c r="G20" i="181" s="1"/>
  <c r="E19" i="181"/>
  <c r="F19" i="181" s="1"/>
  <c r="G19" i="181" s="1"/>
  <c r="E18" i="181"/>
  <c r="E17" i="181"/>
  <c r="F42" i="181" l="1"/>
  <c r="G42" i="181" s="1"/>
  <c r="F41" i="181"/>
  <c r="G41" i="181" s="1"/>
  <c r="F32" i="181"/>
  <c r="G32" i="181" s="1"/>
  <c r="F28" i="181"/>
  <c r="G28" i="181" s="1"/>
  <c r="F26" i="181"/>
  <c r="G26" i="181" s="1"/>
  <c r="F24" i="181"/>
  <c r="G24" i="181" s="1"/>
  <c r="F18" i="181"/>
  <c r="G18" i="181" s="1"/>
  <c r="F17" i="181"/>
  <c r="G17" i="181" s="1"/>
  <c r="D140" i="181"/>
  <c r="D80" i="36" l="1"/>
  <c r="B7797" i="106"/>
  <c r="E140" i="181"/>
  <c r="E16" i="181"/>
  <c r="F16" i="181" l="1"/>
  <c r="G16" i="181" s="1"/>
  <c r="G140" i="181"/>
  <c r="G40" i="108" l="1"/>
  <c r="B7799" i="106"/>
  <c r="F14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C342" i="29" l="1"/>
  <c r="B7216" i="106" s="1"/>
  <c r="D7216" i="106" s="1"/>
  <c r="B6995" i="106"/>
  <c r="D6995" i="106" s="1"/>
  <c r="D11" i="37"/>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C151" i="29"/>
  <c r="B1226" i="106" s="1"/>
  <c r="D1226" i="106" s="1"/>
  <c r="F41" i="108"/>
  <c r="G43" i="108" s="1"/>
  <c r="D44" i="36"/>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<sst xmlns="http://schemas.openxmlformats.org/spreadsheetml/2006/main" count="5076" uniqueCount="2098">
  <si>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</si>
  <si>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</si>
  <si>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</si>
  <si>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</si>
  <si>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</si>
  <si>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</si>
  <si>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</si>
  <si>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</si>
  <si>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</si>
  <si>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</si>
  <si>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</si>
  <si>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</si>
  <si>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</si>
  <si>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</si>
  <si>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</si>
  <si>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</si>
  <si>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</si>
  <si>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</si>
  <si>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</si>
  <si>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</si>
  <si>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</si>
  <si>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</si>
  <si>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</si>
  <si>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</si>
  <si>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</si>
  <si>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</si>
  <si>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</si>
  <si>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</si>
  <si>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</si>
  <si>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</si>
  <si>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</si>
  <si>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</si>
  <si>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</si>
  <si>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</si>
  <si>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</si>
  <si>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</si>
  <si>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</si>
  <si>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</si>
  <si>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</si>
  <si>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</si>
  <si>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</si>
  <si>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</si>
  <si>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</si>
  <si>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</si>
  <si>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</si>
  <si>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</si>
  <si>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</si>
  <si>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</si>
  <si>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</si>
  <si>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</si>
  <si>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</si>
  <si>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</si>
  <si>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</si>
  <si>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</si>
  <si>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</si>
  <si>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</si>
  <si>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</si>
  <si>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</si>
  <si>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</si>
  <si>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</si>
  <si>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</si>
  <si>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</si>
  <si>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</si>
  <si>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</si>
  <si>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</si>
  <si>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</si>
  <si>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</si>
  <si>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</si>
  <si>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</si>
  <si>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</si>
  <si>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</si>
  <si>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</si>
  <si>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</si>
  <si>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</si>
  <si>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</si>
  <si>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</si>
  <si>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</si>
  <si>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</si>
  <si>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</si>
  <si>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</si>
  <si>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</si>
  <si>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</si>
  <si>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</si>
  <si>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</si>
  <si>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</si>
  <si>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</si>
  <si>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</si>
  <si>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</si>
  <si>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</si>
  <si>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</si>
  <si>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</si>
  <si>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</si>
  <si>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</si>
  <si>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</si>
  <si>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</si>
  <si>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</si>
  <si>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</si>
  <si>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</si>
  <si>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</si>
  <si>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</si>
  <si>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</si>
  <si>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</si>
  <si>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</si>
  <si>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</si>
  <si>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</si>
  <si>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</si>
  <si>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</si>
  <si>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</si>
  <si>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</si>
  <si>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</si>
  <si>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</si>
  <si>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</si>
  <si>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</si>
  <si>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</si>
  <si>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</si>
  <si>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</si>
  <si>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</si>
  <si>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</si>
  <si>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</si>
  <si>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</si>
  <si>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</si>
  <si>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</si>
  <si>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</si>
  <si>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</si>
  <si>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</si>
  <si>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</si>
  <si>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</si>
  <si>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</si>
  <si>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</si>
  <si>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</si>
  <si>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</si>
  <si>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</si>
  <si>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</si>
  <si>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</si>
  <si>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</si>
  <si>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</si>
  <si>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</si>
  <si>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</si>
  <si>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</si>
  <si>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</si>
  <si>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</si>
  <si>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</si>
  <si>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</si>
  <si>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</si>
  <si>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</si>
  <si>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</si>
  <si>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</si>
  <si>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</si>
  <si>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</si>
  <si>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</si>
  <si>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</si>
  <si>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</si>
  <si>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</si>
  <si>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</si>
  <si>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</si>
  <si>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</si>
  <si>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</si>
  <si>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</si>
  <si>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</si>
  <si>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</si>
  <si>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</si>
  <si>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</si>
  <si>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</si>
  <si>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</si>
  <si>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</si>
  <si>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</si>
  <si>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</si>
  <si>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</si>
  <si>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</si>
  <si>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</si>
  <si>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</si>
  <si>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</si>
  <si>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</si>
  <si>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</si>
  <si>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</si>
  <si>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</si>
  <si>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</si>
  <si>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</si>
  <si>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</si>
  <si>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</si>
  <si>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</si>
  <si>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</si>
  <si>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</si>
  <si>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</si>
  <si>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</si>
  <si>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</si>
  <si>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</si>
  <si>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</si>
  <si>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</si>
  <si>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</si>
  <si>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</si>
  <si>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</si>
  <si>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</si>
  <si>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</si>
  <si>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</si>
  <si>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</si>
  <si>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</si>
  <si>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</si>
  <si>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</si>
  <si>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</si>
  <si>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</si>
  <si>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</si>
  <si>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</si>
  <si>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</si>
  <si>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</si>
  <si>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</si>
  <si>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</si>
  <si>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</si>
  <si>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</si>
  <si>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</si>
  <si>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</si>
  <si>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</si>
  <si>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</si>
  <si>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</si>
  <si>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</si>
  <si>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</si>
  <si>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</si>
  <si>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</si>
  <si>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</si>
  <si>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</si>
  <si>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</si>
  <si>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</si>
  <si>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</si>
  <si>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</si>
  <si>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</si>
  <si>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</si>
  <si>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</si>
  <si>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</si>
  <si>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</si>
  <si>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</si>
  <si>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</si>
  <si>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</si>
  <si>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</si>
  <si>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</si>
  <si>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</si>
  <si>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</si>
  <si>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</si>
  <si>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</si>
  <si>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</si>
  <si>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</si>
  <si>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</si>
  <si>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</si>
  <si>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</si>
  <si>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</si>
  <si>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</si>
  <si>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</si>
  <si>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</si>
  <si>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</si>
  <si>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</si>
  <si>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</si>
  <si>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</si>
  <si>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</si>
  <si>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</si>
  <si>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</si>
  <si>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</si>
  <si>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</si>
  <si>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</si>
  <si>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</si>
  <si>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</si>
  <si>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</si>
  <si>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</si>
  <si>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</si>
  <si>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</si>
  <si>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</si>
  <si>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</si>
  <si>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</si>
  <si>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</si>
  <si>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</si>
  <si>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</si>
  <si>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</si>
  <si>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</si>
  <si>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</si>
  <si>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</si>
  <si>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</si>
  <si>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</si>
  <si>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</si>
  <si>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</si>
  <si>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</si>
  <si>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</si>
  <si>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</si>
  <si>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</si>
  <si>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</si>
  <si>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</si>
  <si>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</si>
  <si>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</si>
  <si>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</si>
  <si>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</si>
  <si>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</si>
  <si>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</si>
  <si>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</si>
  <si>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</si>
  <si>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</si>
  <si>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</si>
  <si>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</si>
  <si>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</si>
  <si>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</si>
  <si>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</si>
  <si>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</si>
  <si>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</si>
  <si>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</si>
  <si>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</si>
  <si>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</si>
  <si>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</si>
  <si>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</si>
  <si>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</si>
  <si>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</si>
  <si>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</si>
  <si>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</si>
  <si>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</si>
  <si>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</si>
  <si>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</si>
  <si>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</si>
  <si>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</si>
  <si>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</si>
  <si>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</si>
  <si>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</si>
  <si>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</si>
  <si>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</si>
  <si>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</si>
  <si>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</si>
  <si>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</si>
  <si>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</si>
  <si>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</si>
  <si>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</si>
  <si>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</si>
  <si>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</si>
  <si>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</si>
  <si>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</si>
  <si>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</si>
  <si>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</si>
  <si>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</si>
  <si>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</si>
  <si>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</si>
  <si>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</si>
  <si>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</si>
  <si>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</si>
  <si>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</si>
  <si>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</si>
  <si>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</si>
  <si>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</si>
  <si>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</si>
  <si>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</si>
  <si>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</si>
  <si>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</si>
  <si>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</si>
  <si>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</si>
  <si>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</si>
  <si>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</si>
  <si>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</si>
  <si>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</si>
  <si>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</si>
  <si>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</si>
  <si>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</si>
  <si>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</si>
  <si>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</si>
  <si>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</si>
  <si>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</si>
  <si>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</si>
  <si>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</si>
  <si>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</si>
  <si>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</si>
  <si>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</si>
  <si>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</si>
  <si>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</si>
  <si>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</si>
  <si>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</si>
  <si>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</si>
  <si>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</si>
  <si>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</si>
  <si>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</si>
  <si>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</si>
  <si>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</si>
  <si>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</si>
  <si>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</si>
  <si>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</si>
  <si>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</si>
  <si>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</si>
  <si>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</si>
  <si>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</si>
  <si>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</si>
  <si>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</si>
  <si>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</si>
  <si>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</si>
  <si>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</si>
  <si>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</si>
  <si>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</si>
  <si>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</si>
  <si>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</si>
  <si>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</si>
  <si>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</si>
  <si>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</si>
  <si>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</si>
  <si>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</si>
  <si>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</si>
  <si>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</si>
  <si>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</si>
  <si>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</si>
  <si>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</si>
  <si>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</si>
  <si>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</si>
  <si>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</si>
  <si>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</si>
  <si>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</si>
  <si>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</si>
  <si>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</si>
  <si>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</si>
  <si>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</si>
  <si>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</si>
  <si>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</si>
  <si>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</si>
  <si>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</si>
  <si>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</si>
  <si>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</si>
  <si>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</si>
  <si>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</si>
  <si>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</si>
  <si>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</si>
  <si>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</si>
  <si>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</si>
  <si>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</si>
  <si>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</si>
  <si>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</si>
  <si>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</si>
  <si>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</si>
  <si>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</si>
  <si>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</si>
  <si>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</si>
  <si>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</si>
  <si>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</si>
  <si>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</si>
  <si>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</si>
  <si>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</si>
  <si>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</si>
  <si>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</si>
  <si>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</si>
  <si>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</si>
  <si>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</si>
  <si>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</si>
  <si>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</si>
  <si>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</si>
  <si>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</si>
  <si>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</si>
  <si>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</si>
  <si>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</si>
  <si>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</si>
  <si>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</si>
  <si>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</si>
  <si>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</si>
  <si>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</si>
  <si>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</si>
  <si>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</si>
  <si>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</si>
  <si>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</si>
  <si>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</si>
  <si>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</si>
  <si>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</si>
  <si>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</si>
  <si>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</si>
  <si>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</si>
  <si>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</si>
  <si>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</si>
  <si>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</si>
  <si>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</si>
  <si>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</si>
  <si>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</si>
  <si>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</si>
  <si>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</si>
  <si>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</si>
  <si>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</si>
  <si>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</si>
  <si>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</si>
  <si>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</si>
  <si>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</si>
  <si>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</si>
  <si>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</si>
  <si>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</si>
  <si>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</si>
  <si>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</si>
  <si>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</si>
  <si>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</si>
  <si>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</si>
  <si>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</si>
  <si>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</si>
  <si>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</si>
  <si>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</si>
  <si>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</si>
  <si>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</si>
  <si>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</si>
  <si>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</si>
  <si>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</si>
  <si>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</si>
  <si>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</si>
  <si>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</si>
  <si>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</si>
  <si>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</si>
  <si>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</si>
  <si>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</si>
  <si>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</si>
  <si>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</si>
  <si>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</si>
  <si>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</si>
  <si>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</si>
  <si>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</si>
  <si>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</si>
  <si>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</si>
  <si>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</si>
  <si>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</si>
  <si>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</si>
  <si>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</si>
  <si>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</si>
  <si>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</si>
  <si>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</si>
  <si>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</si>
  <si>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</si>
  <si>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</si>
  <si>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</si>
  <si>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</si>
  <si>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</si>
  <si>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</si>
  <si>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</si>
  <si>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</si>
  <si>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</si>
  <si>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</si>
  <si>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</si>
  <si>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</si>
  <si>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</si>
  <si>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</si>
  <si>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</si>
  <si>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</si>
  <si>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</si>
  <si>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</si>
  <si>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</si>
  <si>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</si>
  <si>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</si>
  <si>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</si>
  <si>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</si>
  <si>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</si>
  <si>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</si>
  <si>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</si>
  <si>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</si>
  <si>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</si>
  <si>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</si>
  <si>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</si>
  <si>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</si>
  <si>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</si>
  <si>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</si>
  <si>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</si>
  <si>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</si>
  <si>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</si>
  <si>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</si>
  <si>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</si>
  <si>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</si>
  <si>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</si>
  <si>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</si>
  <si>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</si>
  <si>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</si>
  <si>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</si>
  <si>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</si>
  <si>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</si>
  <si>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</si>
  <si>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</si>
  <si>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</si>
  <si>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</si>
  <si>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</si>
  <si>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</si>
  <si>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</si>
  <si>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</si>
  <si>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</si>
  <si>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</si>
  <si>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</si>
  <si>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</si>
  <si>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</si>
  <si>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</si>
  <si>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</si>
  <si>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</si>
  <si>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</si>
  <si>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</si>
  <si>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</si>
  <si>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</si>
  <si>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</si>
  <si>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</si>
  <si>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</si>
  <si>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</si>
  <si>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</si>
  <si>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</si>
  <si>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</si>
  <si>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</si>
  <si>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</si>
  <si>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</si>
  <si>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</si>
  <si>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</si>
  <si>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</si>
  <si>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</si>
  <si>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</si>
  <si>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</si>
  <si>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</si>
  <si>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</si>
  <si>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</si>
  <si>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</si>
  <si>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</si>
  <si>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</si>
  <si>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</si>
  <si>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</si>
  <si>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</si>
  <si>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</si>
  <si>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</si>
  <si>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</si>
  <si>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</si>
  <si>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</si>
  <si>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</si>
  <si>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</si>
  <si>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</si>
  <si>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</si>
  <si>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</si>
  <si>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</si>
  <si>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</si>
  <si>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</si>
  <si>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</si>
  <si>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</si>
  <si>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</si>
  <si>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</si>
  <si>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</si>
  <si>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</si>
  <si>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</si>
  <si>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</si>
  <si>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</si>
  <si>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</si>
  <si>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</si>
  <si>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</si>
  <si>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</si>
  <si>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</si>
  <si>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</si>
  <si>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</si>
  <si>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</si>
  <si>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</si>
  <si>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</si>
  <si>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</si>
  <si>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</si>
  <si>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</si>
  <si>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</si>
  <si>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</si>
  <si>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</si>
  <si>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</si>
  <si>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</si>
  <si>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</si>
  <si>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</si>
  <si>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</si>
  <si>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</si>
  <si>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</si>
  <si>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</si>
  <si>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</si>
  <si>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</si>
  <si>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</si>
  <si>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</si>
  <si>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</si>
  <si>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</si>
  <si>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</si>
  <si>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</si>
  <si>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</si>
  <si>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</si>
  <si>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</si>
  <si>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</si>
  <si>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</si>
  <si>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</si>
  <si>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</si>
  <si>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</si>
  <si>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</si>
  <si>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</si>
  <si>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</si>
  <si>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</si>
  <si>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</si>
  <si>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</si>
  <si>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</si>
  <si>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</si>
  <si>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</si>
  <si>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</si>
  <si>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</si>
  <si>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</si>
  <si>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</si>
  <si>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</si>
  <si>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</si>
  <si>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</si>
  <si>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</si>
  <si>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</si>
  <si>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</si>
  <si>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</si>
  <si>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</si>
  <si>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</si>
  <si>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</si>
  <si>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</si>
  <si>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</si>
  <si>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</si>
  <si>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</si>
  <si>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</si>
  <si>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</si>
  <si>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</si>
  <si>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</si>
  <si>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</si>
  <si>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</si>
  <si>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</si>
  <si>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</si>
  <si>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</si>
  <si>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</si>
  <si>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</si>
  <si>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</si>
  <si>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</si>
  <si>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</si>
  <si>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</si>
  <si>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</si>
  <si>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</si>
  <si>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</si>
  <si>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</si>
  <si>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</si>
  <si>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</si>
  <si>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</si>
  <si>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</si>
  <si>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</si>
  <si>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</si>
  <si>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</si>
  <si>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</si>
  <si>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</si>
  <si>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</si>
  <si>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</si>
  <si>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</si>
  <si>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</si>
  <si>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</si>
  <si>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</si>
  <si>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</si>
  <si>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</si>
  <si>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</si>
  <si>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</si>
  <si>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</si>
  <si>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</si>
  <si>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</si>
  <si>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</si>
  <si>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</si>
  <si>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</si>
  <si>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</si>
  <si>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</si>
  <si>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</si>
  <si>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</si>
  <si>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</si>
  <si>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</si>
  <si>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</si>
  <si>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</si>
  <si>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</si>
  <si>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</si>
  <si>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</si>
  <si>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</si>
  <si>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</si>
  <si>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</si>
  <si>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</si>
  <si>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</si>
  <si>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</si>
  <si>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</si>
  <si>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</si>
  <si>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</si>
  <si>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</si>
  <si>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</si>
  <si>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</si>
  <si>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</si>
  <si>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</si>
  <si>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</si>
  <si>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</si>
  <si>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</si>
  <si>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</si>
  <si>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</si>
  <si>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</si>
  <si>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</si>
  <si>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</si>
  <si>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</si>
  <si>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</si>
  <si>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</si>
  <si>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</si>
  <si>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</si>
  <si>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</si>
  <si>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</si>
  <si>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</si>
  <si>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</si>
  <si>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</si>
  <si>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</si>
  <si>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</si>
  <si>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</si>
  <si>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</si>
  <si>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</si>
  <si>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</si>
  <si>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</si>
  <si>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</si>
  <si>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</si>
  <si>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</si>
  <si>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</si>
  <si>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</si>
  <si>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</si>
  <si>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</si>
  <si>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</si>
  <si>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</si>
  <si>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</si>
  <si>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</si>
  <si>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</si>
  <si>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</si>
  <si>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</si>
  <si>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</si>
  <si>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</si>
  <si>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</si>
  <si>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</si>
  <si>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</si>
  <si>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</si>
  <si>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</si>
  <si>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</si>
  <si>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</si>
  <si>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</si>
  <si>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</si>
  <si>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</si>
  <si>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</si>
  <si>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</si>
  <si>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</si>
  <si>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</si>
  <si>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</si>
  <si>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</si>
  <si>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</si>
  <si>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</si>
  <si>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</si>
  <si>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</si>
  <si>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</si>
  <si>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</si>
  <si>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</si>
  <si>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</si>
  <si>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</si>
  <si>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</si>
  <si>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</si>
  <si>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</si>
  <si>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</si>
  <si>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</si>
  <si>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</si>
  <si>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</si>
  <si>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</si>
  <si>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</si>
  <si>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</si>
  <si>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</si>
  <si>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</si>
  <si>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</si>
  <si>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</si>
  <si>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</si>
  <si>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</si>
  <si>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</si>
  <si>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</si>
  <si>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</si>
  <si>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</si>
  <si>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</si>
  <si>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</si>
  <si>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</si>
  <si>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</si>
  <si>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</si>
  <si>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</si>
  <si>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</si>
  <si>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</si>
  <si>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</si>
  <si>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</si>
  <si>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</si>
  <si>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</si>
  <si>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</si>
  <si>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</si>
  <si>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</si>
  <si>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</si>
  <si>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</si>
  <si>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</si>
  <si>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</si>
  <si>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</si>
  <si>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</si>
  <si>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</si>
  <si>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</si>
  <si>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</si>
  <si>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</si>
  <si>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</si>
  <si>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</si>
  <si>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</si>
  <si>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</si>
  <si>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</si>
  <si>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</si>
  <si>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</si>
  <si>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</si>
  <si>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</si>
  <si>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</si>
  <si>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</si>
  <si>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</si>
  <si>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</si>
  <si>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</si>
  <si>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</si>
  <si>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</si>
  <si>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</si>
  <si>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</si>
  <si>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</si>
  <si>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</si>
  <si>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</si>
  <si>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</si>
  <si>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</si>
  <si>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</si>
  <si>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</si>
  <si>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</si>
  <si>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</si>
  <si>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</si>
  <si>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</si>
  <si>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</si>
  <si>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</si>
  <si>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</si>
  <si>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</si>
  <si>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</si>
  <si>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</si>
  <si>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</si>
  <si>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</si>
  <si>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</si>
  <si>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</si>
  <si>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</si>
  <si>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</si>
  <si>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</si>
  <si>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</si>
  <si>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</si>
  <si>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</si>
  <si>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</si>
  <si>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</si>
  <si>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</si>
  <si>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</si>
  <si>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</si>
  <si>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</si>
  <si>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</si>
  <si>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</si>
  <si>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</si>
  <si>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</si>
  <si>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</si>
  <si>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</si>
  <si>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</si>
  <si>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</si>
  <si>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</si>
  <si>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</si>
  <si>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</si>
  <si>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</si>
  <si>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</si>
  <si>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</si>
  <si>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</si>
  <si>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</si>
  <si>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</si>
  <si>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</si>
  <si>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</si>
  <si>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</si>
  <si>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</si>
  <si>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</si>
  <si>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</si>
  <si>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</si>
  <si>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</si>
  <si>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</si>
  <si>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</si>
  <si>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</si>
  <si>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</si>
  <si>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</si>
  <si>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</si>
  <si>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</si>
  <si>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</si>
  <si>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</si>
  <si>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</si>
  <si>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</si>
  <si>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</si>
  <si>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</si>
  <si>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</si>
  <si>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</si>
  <si>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</si>
  <si>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</si>
  <si>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</si>
  <si>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</si>
  <si>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</si>
  <si>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</si>
  <si>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</si>
  <si>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</si>
  <si>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</si>
  <si>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</si>
  <si>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</si>
  <si>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</si>
  <si>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</si>
  <si>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</si>
  <si>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</si>
  <si>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</si>
  <si>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</si>
  <si>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</si>
  <si>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</si>
  <si>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</si>
  <si>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</si>
  <si>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</si>
  <si>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</si>
  <si>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</si>
  <si>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</si>
  <si>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</si>
  <si>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</si>
  <si>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</si>
  <si>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</si>
  <si>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</si>
  <si>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</si>
  <si>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</si>
  <si>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</si>
  <si>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</si>
  <si>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</si>
  <si>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</si>
  <si>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</si>
  <si>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</si>
  <si>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</si>
  <si>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</si>
  <si>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</si>
  <si>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</si>
  <si>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</si>
  <si>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</si>
  <si>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</si>
  <si>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</si>
  <si>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</si>
  <si>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</si>
  <si>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</si>
  <si>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</si>
  <si>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</si>
  <si>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</si>
  <si>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</si>
  <si>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</si>
  <si>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</si>
  <si>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</si>
  <si>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</si>
  <si>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</si>
  <si>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</si>
  <si>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</si>
  <si>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</si>
  <si>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</si>
  <si>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</si>
  <si>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</si>
  <si>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</si>
  <si>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</si>
  <si>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</si>
  <si>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</si>
  <si>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</si>
  <si>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</si>
  <si>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</si>
  <si>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</si>
  <si>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</si>
  <si>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</si>
  <si>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</si>
  <si>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</si>
  <si>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</si>
  <si>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</si>
  <si>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</si>
  <si>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</si>
  <si>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</si>
  <si>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</si>
  <si>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</si>
  <si>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</si>
  <si>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</si>
  <si>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</si>
  <si>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</si>
  <si>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</si>
  <si>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</si>
  <si>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</si>
  <si>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</si>
  <si>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</si>
  <si>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</si>
  <si>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</si>
  <si>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</si>
  <si>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</si>
  <si>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</si>
  <si>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</si>
  <si>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</si>
  <si>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</si>
  <si>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</si>
  <si>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</si>
  <si>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</si>
  <si>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</si>
  <si>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</si>
  <si>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</si>
  <si>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</si>
  <si>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</si>
  <si>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</si>
  <si>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</si>
  <si>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</si>
  <si>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</si>
  <si>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</si>
  <si>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</si>
  <si>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</si>
  <si>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</si>
  <si>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</si>
  <si>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</si>
  <si>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</si>
  <si>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</si>
  <si>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</si>
  <si>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</si>
  <si>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</si>
  <si>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</si>
  <si>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</si>
  <si>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</si>
  <si>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</si>
  <si>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</si>
  <si>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</si>
  <si>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</si>
  <si>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</si>
  <si>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</si>
  <si>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</si>
  <si>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</si>
  <si>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</si>
  <si>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</si>
  <si>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</si>
  <si>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</si>
  <si>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</si>
  <si>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</si>
  <si>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</si>
  <si>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</si>
  <si>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</si>
  <si>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</si>
  <si>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</si>
  <si>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</si>
  <si>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</si>
  <si>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</si>
  <si>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</si>
  <si>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</si>
  <si>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</si>
  <si>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</si>
  <si>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</si>
  <si>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</si>
  <si>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</si>
  <si>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</si>
  <si>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</si>
  <si>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</si>
  <si>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</si>
  <si>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</si>
  <si>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</si>
  <si>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</si>
  <si>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</si>
  <si>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</si>
  <si>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</si>
  <si>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</si>
  <si>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</si>
  <si>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</si>
  <si>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</si>
  <si>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</si>
  <si>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</si>
  <si>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</si>
  <si>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</si>
  <si>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</si>
  <si>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</si>
  <si>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</si>
  <si>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</si>
  <si>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</si>
  <si>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</si>
  <si>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</si>
  <si>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</si>
  <si>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</si>
  <si>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</si>
  <si>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</si>
  <si>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</si>
  <si>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</si>
  <si>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</si>
  <si>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</si>
  <si>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</si>
  <si>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</si>
  <si>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</si>
  <si>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</si>
  <si>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</si>
  <si>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</si>
  <si>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</si>
  <si>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</si>
  <si>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</si>
  <si>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</si>
  <si>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</si>
  <si>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</si>
  <si>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</si>
  <si>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</si>
  <si>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</si>
  <si>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</si>
  <si>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</si>
  <si>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</si>
  <si>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</si>
  <si>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</si>
  <si>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</si>
  <si>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</si>
  <si>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</si>
  <si>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</si>
  <si>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</si>
  <si>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</si>
  <si>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</si>
  <si>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</si>
  <si>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</si>
  <si>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</si>
  <si>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</si>
  <si>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</si>
  <si>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</si>
  <si>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</si>
  <si>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</si>
  <si>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</si>
  <si>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</si>
  <si>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</si>
  <si>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</si>
  <si>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</si>
  <si>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</si>
  <si>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</si>
  <si>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</si>
  <si>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</si>
  <si>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</si>
  <si>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</si>
  <si>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</si>
  <si>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</si>
  <si>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</si>
  <si>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</si>
  <si>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</si>
  <si>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</si>
  <si>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</si>
  <si>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</si>
  <si>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</si>
  <si>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</si>
  <si>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</si>
  <si>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</si>
  <si>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</si>
  <si>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</si>
  <si>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</si>
  <si>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</si>
  <si>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</si>
  <si>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</si>
  <si>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</si>
  <si>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</si>
  <si>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</si>
  <si>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</si>
  <si>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</si>
  <si>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</si>
  <si>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</si>
  <si>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</si>
  <si>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</si>
  <si>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</si>
  <si>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</si>
  <si>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</si>
  <si>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</si>
  <si>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</si>
  <si>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</si>
  <si>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</si>
  <si>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</si>
  <si>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</si>
  <si>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</si>
  <si>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</si>
  <si>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</si>
  <si>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</si>
  <si>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</si>
  <si>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</si>
  <si>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</si>
  <si>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</si>
  <si>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</si>
  <si>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</si>
  <si>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</si>
  <si>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</si>
  <si>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</si>
  <si>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</si>
  <si>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</si>
  <si>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</si>
  <si>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</si>
  <si>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</si>
  <si>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</si>
  <si>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</si>
  <si>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</si>
  <si>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</si>
  <si>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</si>
  <si>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</si>
  <si>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</si>
  <si>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</si>
  <si>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</si>
  <si>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</si>
  <si>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</si>
  <si>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</si>
  <si>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</si>
  <si>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</si>
  <si>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</si>
  <si>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</si>
  <si>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</si>
  <si>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</si>
  <si>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</si>
  <si>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</si>
  <si>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</si>
  <si>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</si>
  <si>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</si>
  <si>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</si>
  <si>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</si>
  <si>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</si>
  <si>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</si>
  <si>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</si>
  <si>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</si>
  <si>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</si>
  <si>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</si>
  <si>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</si>
  <si>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</si>
  <si>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</si>
  <si>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</si>
  <si>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</si>
  <si>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</si>
  <si>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</si>
  <si>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</si>
  <si>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</si>
  <si>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</si>
  <si>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</si>
  <si>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</si>
  <si>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</si>
  <si>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</si>
  <si>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</si>
  <si>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</si>
  <si>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</si>
  <si>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</si>
  <si>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</si>
  <si>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</si>
  <si>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</si>
  <si>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</si>
  <si>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</si>
  <si>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</si>
  <si>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</si>
  <si>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</si>
  <si>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</si>
  <si>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</si>
  <si>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</si>
  <si>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</si>
  <si>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</si>
  <si>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</si>
  <si>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</si>
  <si>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</si>
  <si>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</si>
  <si>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</si>
  <si>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</si>
  <si>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</si>
  <si>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</si>
  <si>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</si>
  <si>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</si>
  <si>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</si>
  <si>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</si>
  <si>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</si>
  <si>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</si>
  <si>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</si>
  <si>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</si>
  <si>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</si>
  <si>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</si>
  <si>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</si>
  <si>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</si>
  <si>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</si>
  <si>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</si>
  <si>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</si>
  <si>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</si>
  <si>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</si>
  <si>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</si>
  <si>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</si>
  <si>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</si>
  <si>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</si>
  <si>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</si>
  <si>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</si>
  <si>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</si>
  <si>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</si>
  <si>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</si>
  <si>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</si>
  <si>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</si>
  <si>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</si>
  <si>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</si>
  <si>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</si>
  <si>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</si>
  <si>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</si>
  <si>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</si>
  <si>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</si>
  <si>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</si>
  <si>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</si>
  <si>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</si>
  <si>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</si>
  <si>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</si>
  <si>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</si>
  <si>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</si>
  <si>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</si>
  <si>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</si>
  <si>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</si>
  <si>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</si>
  <si>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</si>
  <si>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</si>
  <si>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</si>
  <si>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</si>
  <si>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</si>
  <si>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</si>
  <si>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</si>
  <si>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</si>
  <si>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</si>
  <si>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</si>
  <si>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</si>
  <si>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</si>
  <si>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</si>
  <si>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</si>
  <si>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</si>
  <si>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</si>
  <si>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</si>
  <si>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</si>
  <si>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</si>
  <si>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</si>
  <si>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</si>
  <si>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</si>
  <si>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</si>
  <si>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</si>
  <si>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</si>
  <si>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</si>
  <si>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</si>
  <si>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</si>
  <si>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</si>
  <si>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</si>
  <si>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</si>
  <si>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</si>
  <si>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</si>
  <si>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</si>
  <si>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</si>
  <si>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</si>
  <si>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</si>
  <si>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</si>
  <si>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</si>
  <si>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</si>
  <si>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</si>
  <si>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</si>
  <si>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</si>
  <si>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</si>
  <si>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</si>
  <si>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</si>
  <si>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</si>
  <si>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</si>
  <si>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</si>
  <si>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</si>
  <si>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</si>
  <si>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</si>
  <si>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</si>
  <si>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</si>
  <si>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</si>
  <si>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</si>
  <si>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</si>
  <si>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</si>
  <si>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</si>
  <si>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</si>
  <si>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</si>
  <si>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</si>
  <si>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</si>
  <si>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</si>
  <si>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</si>
  <si>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</si>
  <si>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</si>
  <si>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</si>
  <si>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</si>
  <si>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</si>
  <si>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</si>
  <si>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</si>
  <si>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</si>
  <si>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</si>
  <si>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</si>
  <si>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</si>
  <si>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</si>
  <si>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</si>
  <si>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</si>
  <si>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</si>
  <si>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</si>
  <si>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</si>
  <si>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</si>
  <si>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</si>
  <si>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</si>
  <si>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</si>
  <si>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</si>
  <si>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</si>
  <si>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</si>
  <si>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</si>
  <si>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</si>
  <si>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</si>
  <si>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</si>
  <si>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</si>
  <si>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</si>
  <si>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</si>
  <si>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</si>
  <si>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</si>
  <si>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</si>
  <si>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</si>
  <si>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</si>
  <si>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</si>
  <si>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</si>
  <si>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</si>
  <si>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</si>
  <si>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</si>
  <si>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</si>
  <si>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</si>
  <si>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</si>
  <si>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</si>
  <si>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</si>
  <si>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</si>
  <si>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</si>
  <si>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</si>
  <si>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</si>
  <si>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</si>
  <si>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</si>
  <si>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</si>
  <si>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</si>
  <si>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</si>
  <si>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</si>
  <si>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</si>
  <si>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</si>
  <si>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</si>
  <si>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</si>
  <si>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</si>
  <si>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</si>
  <si>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</si>
  <si>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</si>
  <si>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</si>
  <si>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</si>
  <si>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</si>
  <si>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</si>
  <si>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</si>
  <si>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</si>
  <si>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</si>
  <si>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</si>
  <si>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</si>
  <si>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</si>
  <si>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</si>
  <si>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</si>
  <si>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</si>
  <si>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</si>
  <si>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</si>
  <si>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</si>
  <si>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</si>
  <si>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</si>
  <si>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</si>
  <si>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</si>
  <si>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</si>
  <si>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</si>
  <si>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</si>
  <si>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</si>
  <si>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</si>
  <si>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</si>
  <si>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</si>
  <si>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</si>
  <si>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</si>
  <si>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</si>
  <si>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</si>
  <si>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</si>
  <si>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</si>
  <si>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</si>
  <si>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</si>
  <si>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</si>
  <si>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</si>
  <si>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</si>
  <si>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</si>
  <si>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</si>
  <si>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</si>
  <si>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</si>
  <si>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</si>
  <si>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</si>
  <si>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</si>
  <si>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</si>
  <si>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</si>
  <si>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</si>
  <si>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</si>
  <si>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</si>
  <si>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</si>
  <si>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</si>
  <si>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</si>
  <si>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</si>
  <si>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</si>
  <si>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</si>
  <si>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</si>
  <si>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</si>
  <si>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</si>
  <si>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</si>
  <si>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</si>
  <si>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</si>
  <si>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</si>
  <si>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</si>
  <si>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</si>
  <si>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</si>
  <si>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</si>
  <si>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</si>
  <si>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</si>
  <si>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</si>
  <si>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</si>
  <si>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</si>
  <si>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</si>
  <si>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</si>
  <si>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</si>
  <si>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</si>
  <si>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</si>
  <si>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</si>
  <si>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</si>
  <si>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</si>
  <si>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</si>
  <si>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</si>
  <si>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</si>
  <si>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</si>
  <si>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</si>
  <si>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</si>
  <si>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</si>
  <si>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</si>
  <si>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</si>
  <si>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</si>
  <si>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</si>
  <si>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</si>
  <si>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</si>
  <si>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</si>
  <si>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</si>
  <si>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</si>
  <si>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</si>
  <si>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</si>
  <si>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</si>
  <si>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</si>
  <si>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</si>
  <si>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</si>
  <si>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</si>
  <si>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</si>
  <si>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</si>
  <si>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</si>
  <si>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</si>
  <si>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</si>
  <si>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</si>
  <si>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</si>
  <si>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</si>
  <si>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</si>
  <si>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</si>
  <si>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</si>
  <si>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</si>
  <si>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</si>
  <si>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</si>
  <si>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</si>
  <si>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</si>
  <si>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</si>
  <si>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</si>
  <si>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</si>
  <si>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</si>
  <si>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</si>
  <si>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</si>
  <si>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</si>
  <si>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</si>
  <si>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</si>
  <si>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</si>
  <si>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</si>
  <si>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</si>
  <si>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</si>
  <si>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</si>
  <si>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</si>
  <si>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</si>
  <si>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</si>
  <si>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</si>
  <si>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</si>
  <si>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</si>
  <si>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</si>
  <si>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</si>
  <si>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</si>
  <si>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</si>
  <si>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</si>
  <si>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</si>
  <si>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</si>
  <si>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</si>
  <si>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</si>
  <si>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</si>
  <si>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</si>
  <si>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</si>
  <si>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</si>
  <si>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</si>
  <si>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</si>
  <si>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</si>
  <si>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</si>
  <si>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</si>
  <si>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</si>
  <si>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</si>
  <si>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</si>
  <si>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</si>
  <si>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</si>
  <si>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</si>
  <si>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</si>
  <si>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</si>
  <si>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</si>
  <si>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</si>
  <si>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</si>
  <si>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</si>
  <si>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</si>
  <si>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</si>
  <si>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</si>
  <si>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</si>
  <si>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</si>
  <si>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</si>
  <si>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</si>
  <si>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</si>
  <si>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</si>
  <si>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</si>
  <si>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</si>
  <si>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</si>
  <si>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</si>
  <si>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</si>
  <si>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</si>
  <si>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</si>
  <si>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</si>
  <si>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</si>
  <si>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</si>
  <si>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</si>
  <si>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</si>
  <si>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</si>
  <si>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</si>
  <si>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</si>
  <si>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</si>
  <si>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</si>
  <si>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</si>
  <si>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</si>
  <si>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</si>
  <si>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</si>
  <si>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</si>
  <si>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</si>
  <si>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</si>
  <si>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</si>
  <si>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</si>
  <si>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</si>
  <si>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</si>
  <si>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</si>
  <si>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</si>
  <si>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</si>
  <si>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</si>
  <si>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</si>
  <si>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</si>
  <si>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</si>
  <si>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</si>
  <si>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</si>
  <si>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</si>
  <si>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</si>
  <si>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</si>
  <si>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</si>
  <si>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</si>
  <si>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</si>
  <si>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</si>
  <si>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</si>
  <si>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</si>
  <si>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</si>
  <si>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</si>
  <si>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</si>
  <si>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</si>
  <si>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</si>
  <si>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</si>
  <si>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</si>
  <si>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</si>
  <si>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</si>
  <si>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</si>
  <si>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</si>
  <si>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</si>
  <si>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</si>
  <si>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</si>
  <si>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</si>
  <si>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</si>
  <si>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</si>
  <si>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</si>
  <si>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</si>
  <si>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</si>
  <si>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</si>
  <si>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</si>
  <si>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</si>
  <si>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</si>
  <si>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</si>
  <si>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</si>
  <si>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</si>
  <si>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</si>
  <si>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</si>
  <si>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</si>
  <si>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</si>
  <si>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</si>
  <si>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</si>
  <si>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</si>
  <si>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</si>
  <si>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</si>
  <si>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</si>
  <si>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</si>
  <si>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</si>
  <si>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</si>
  <si>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</si>
  <si>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</si>
  <si>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</si>
  <si>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</si>
  <si>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</si>
  <si>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</si>
  <si>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</si>
  <si>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</si>
  <si>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</si>
  <si>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</si>
  <si>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</si>
  <si>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</si>
  <si>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</si>
  <si>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</si>
  <si>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</si>
  <si>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</si>
  <si>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</si>
  <si>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</si>
  <si>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</si>
  <si>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</si>
  <si>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</si>
  <si>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</si>
  <si>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</si>
  <si>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</si>
  <si>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</si>
  <si>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</si>
  <si>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</si>
  <si>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</si>
  <si>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</si>
  <si>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</si>
  <si>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</si>
  <si>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</si>
  <si>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</si>
  <si>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</si>
  <si>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</si>
  <si>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</si>
  <si>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</si>
  <si>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</si>
  <si>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</si>
  <si>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</si>
  <si>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</si>
  <si>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</si>
  <si>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</si>
  <si>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</si>
  <si>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</si>
  <si>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</si>
  <si>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</si>
  <si>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</si>
  <si>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</si>
  <si>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</si>
  <si>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</si>
  <si>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</si>
  <si>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</si>
  <si>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</si>
  <si>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</si>
  <si>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</si>
  <si>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</si>
  <si>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</si>
  <si>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</si>
  <si>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</si>
  <si>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</si>
  <si>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</si>
  <si>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</si>
  <si>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</si>
  <si>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</si>
  <si>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</si>
  <si>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</si>
  <si>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</si>
  <si>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</si>
  <si>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</si>
  <si>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</si>
  <si>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</si>
  <si>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</si>
  <si>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</si>
  <si>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</si>
  <si>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</si>
  <si>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</si>
  <si>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</si>
  <si>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</si>
  <si>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</si>
  <si>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</si>
  <si>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</si>
  <si>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</si>
  <si>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</si>
  <si>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</si>
  <si>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</si>
  <si>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</si>
  <si>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</si>
  <si>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</si>
  <si>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</si>
  <si>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</si>
  <si>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</si>
  <si>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</si>
  <si>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</si>
  <si>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</si>
  <si>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</si>
  <si>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</si>
  <si>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</si>
  <si>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</si>
  <si>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</si>
  <si>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</si>
  <si>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</si>
  <si>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</si>
  <si>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</si>
  <si>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</si>
  <si>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</si>
  <si>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</si>
  <si>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</si>
  <si>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</si>
  <si>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</si>
  <si>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</si>
  <si>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</si>
  <si>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</si>
  <si>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</si>
  <si>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</si>
  <si>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</si>
  <si>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</si>
  <si>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</si>
  <si>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</si>
  <si>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</si>
  <si>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</si>
  <si>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</si>
  <si>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</si>
  <si>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</si>
  <si>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</si>
  <si>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</si>
  <si>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</si>
  <si>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</si>
  <si>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</si>
  <si>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</si>
  <si>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</si>
  <si>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</si>
  <si>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</si>
  <si>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</si>
  <si>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</si>
  <si>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</si>
  <si>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</si>
  <si>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</si>
  <si>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</si>
  <si>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</si>
  <si>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</si>
  <si>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</si>
  <si>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</si>
  <si>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</si>
  <si>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</si>
  <si>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</si>
  <si>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</si>
  <si>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</si>
  <si>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</si>
  <si>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</si>
  <si>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</si>
  <si>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</si>
  <si>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</si>
  <si>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</si>
  <si>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</si>
  <si>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</si>
  <si>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</si>
  <si>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</si>
  <si>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</si>
  <si>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</si>
  <si>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</si>
  <si>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</si>
  <si>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</si>
  <si>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</si>
  <si>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</si>
  <si>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</si>
  <si>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</si>
  <si>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</si>
  <si>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</si>
  <si>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</si>
  <si>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</si>
  <si>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</si>
  <si>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</si>
  <si>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</si>
  <si>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</si>
  <si>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</si>
  <si>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</si>
  <si>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</si>
  <si>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</si>
  <si>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</si>
  <si>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</si>
  <si>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</si>
  <si>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</si>
  <si>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</si>
  <si>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</si>
  <si>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</si>
  <si>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</si>
  <si>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</si>
  <si>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</si>
  <si>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</si>
  <si>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</si>
  <si>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</si>
  <si>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</si>
  <si>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</si>
  <si>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</si>
  <si>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</si>
  <si>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</si>
  <si>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</si>
  <si>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</si>
  <si>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</si>
  <si>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</si>
  <si>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</si>
  <si>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</si>
  <si>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</si>
  <si>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</si>
  <si>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</si>
  <si>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</si>
  <si>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</si>
  <si>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</si>
  <si>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</si>
  <si>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</si>
  <si>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</si>
  <si>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</si>
  <si>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</si>
  <si>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</si>
  <si>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</si>
  <si>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</si>
  <si>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</si>
  <si>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</si>
  <si>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</si>
  <si>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</si>
  <si>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</si>
  <si>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</si>
  <si>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</si>
  <si>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</si>
  <si>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</si>
  <si>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</si>
  <si>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</si>
  <si>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</si>
  <si>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</si>
  <si>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</si>
  <si>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</si>
  <si>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</si>
  <si>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</si>
  <si>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</si>
  <si>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</si>
  <si>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</si>
  <si>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</si>
  <si>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</si>
  <si>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</si>
  <si>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</si>
  <si>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</si>
  <si>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</si>
  <si>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</si>
  <si>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</si>
  <si>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</si>
  <si>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</si>
  <si>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</si>
  <si>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</si>
  <si>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</si>
  <si>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</si>
  <si>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</si>
  <si>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</si>
  <si>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</si>
  <si>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</si>
  <si>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</si>
  <si>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</si>
  <si>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</si>
  <si>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</si>
  <si>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</si>
  <si>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</si>
  <si>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</si>
  <si>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</si>
  <si>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</si>
  <si>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</si>
  <si>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</si>
  <si>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</si>
  <si>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</si>
  <si>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</si>
  <si>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</si>
  <si>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</si>
  <si>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</si>
  <si>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</si>
  <si>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</si>
  <si>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</si>
  <si>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</si>
  <si>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</si>
  <si>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</si>
  <si>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</si>
  <si>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</si>
  <si>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</si>
  <si>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</si>
  <si>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</si>
  <si>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</si>
  <si>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</si>
  <si>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</si>
  <si>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</si>
  <si>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</si>
  <si>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</si>
  <si>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</si>
  <si>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</si>
  <si>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</si>
  <si>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</si>
  <si>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</si>
  <si>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</si>
  <si>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</si>
  <si>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</si>
  <si>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</si>
  <si>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</si>
  <si>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</si>
  <si>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</si>
  <si>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</si>
  <si>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</si>
  <si>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</si>
  <si>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</si>
  <si>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IL</t>
  </si>
  <si>
    <t>815-339-6630</t>
  </si>
  <si>
    <t>815-339-6643</t>
  </si>
  <si>
    <t>Total Federal Expenditures for 7/1/18-6/30/19</t>
  </si>
  <si>
    <t>066-004501</t>
  </si>
  <si>
    <t>Bureau</t>
  </si>
  <si>
    <t>204 Pleasant St.</t>
  </si>
  <si>
    <t xml:space="preserve">DePue  </t>
  </si>
  <si>
    <t>Hopkins &amp; Associates, CPAs</t>
  </si>
  <si>
    <t>Kim Bird</t>
  </si>
  <si>
    <t>Granville</t>
  </si>
  <si>
    <t>314 S McCoy St</t>
  </si>
  <si>
    <t>kim@hopkinsoffice.com</t>
  </si>
  <si>
    <t>Brad Kenser</t>
  </si>
  <si>
    <t>kenserb@depueschools.org</t>
  </si>
  <si>
    <t>815-447-2121</t>
  </si>
  <si>
    <t>815-447-2067</t>
  </si>
  <si>
    <t>Working Cash Bonds</t>
  </si>
  <si>
    <t>O&amp;M-Plant Maintenance-Purchased Services</t>
  </si>
  <si>
    <t>20-2540-300</t>
  </si>
  <si>
    <t>Republic Services</t>
  </si>
  <si>
    <t>Kendrick Pest Control</t>
  </si>
  <si>
    <t>Obrlander Alarm System</t>
  </si>
  <si>
    <t>Frontier</t>
  </si>
  <si>
    <t>Comcast Cable</t>
  </si>
  <si>
    <t>BMP Co-op</t>
  </si>
  <si>
    <t>Hall soccer co-op</t>
  </si>
  <si>
    <t>Ed 1190 - Workers Compensation Insurance Levy</t>
  </si>
  <si>
    <t>Ed 1999 - Mentoring program stipends $10,500; Insurance Reimb $8,001; Other $7,221</t>
  </si>
  <si>
    <t>O&amp;M 1999 - E-rate $6,502</t>
  </si>
  <si>
    <t>Ed 3999 - GearUp $55,189, Health Community Grant $27,897, Other $13,275</t>
  </si>
  <si>
    <t>DePue USD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</si>
</sst>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1" t="s">
        <v>405</v>
      </c>
      <c r="J1" s="1982"/>
      <c r="K1" s="1982"/>
      <c r="L1" s="1982"/>
      <c r="M1" s="1982"/>
      <c r="N1" s="1982"/>
      <c r="O1" s="1982"/>
      <c r="P1" s="1982"/>
      <c r="Q1" s="1982"/>
      <c r="R1" s="1982"/>
      <c r="S1" s="1982"/>
    </row>
    <row r="2" spans="1:28" ht="12" customHeight="1" x14ac:dyDescent="0.2">
      <c r="A2" s="47" t="s">
        <v>1992</v>
      </c>
      <c r="D2" s="48"/>
      <c r="I2" s="1983" t="s">
        <v>979</v>
      </c>
      <c r="J2" s="1982"/>
      <c r="K2" s="1982"/>
      <c r="L2" s="1982"/>
      <c r="M2" s="1982"/>
      <c r="N2" s="1982"/>
      <c r="O2" s="1982"/>
      <c r="P2" s="1982"/>
      <c r="Q2" s="1982"/>
      <c r="R2" s="1982"/>
      <c r="S2" s="1982"/>
    </row>
    <row r="3" spans="1:28" ht="12" customHeight="1" x14ac:dyDescent="0.2">
      <c r="A3" s="155" t="s">
        <v>1944</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2063</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28006103022</v>
      </c>
      <c r="B13" s="2017"/>
      <c r="C13" s="2017"/>
      <c r="D13" s="2017"/>
      <c r="E13" s="2017"/>
      <c r="F13" s="2017"/>
      <c r="G13" s="2017"/>
      <c r="H13" s="2018"/>
      <c r="I13" s="31"/>
      <c r="J13" s="30"/>
      <c r="K13" s="28"/>
      <c r="L13" s="30"/>
      <c r="M13" s="30"/>
      <c r="N13" s="30"/>
      <c r="O13" s="30"/>
      <c r="P13" s="30"/>
      <c r="Q13" s="30"/>
      <c r="R13" s="30"/>
      <c r="S13" s="30"/>
      <c r="T13" s="2021" t="s">
        <v>2074</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2071</v>
      </c>
      <c r="B15" s="2019"/>
      <c r="C15" s="2019"/>
      <c r="D15" s="2019"/>
      <c r="E15" s="2019"/>
      <c r="F15" s="2019"/>
      <c r="G15" s="2019"/>
      <c r="H15" s="2020"/>
      <c r="T15" s="2025" t="s">
        <v>2075</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2097</v>
      </c>
      <c r="B17" s="1976"/>
      <c r="C17" s="1976"/>
      <c r="D17" s="1976"/>
      <c r="E17" s="1976"/>
      <c r="F17" s="1976"/>
      <c r="G17" s="1976"/>
      <c r="H17" s="2001"/>
      <c r="T17" s="2032" t="s">
        <v>2077</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2072</v>
      </c>
      <c r="B19" s="1961"/>
      <c r="C19" s="1961"/>
      <c r="D19" s="1961"/>
      <c r="E19" s="1961"/>
      <c r="F19" s="1961"/>
      <c r="G19" s="1961"/>
      <c r="H19" s="1941"/>
      <c r="I19" s="30"/>
      <c r="J19" s="99"/>
      <c r="K19" s="40"/>
      <c r="L19" s="38"/>
      <c r="M19" s="112" t="s">
        <v>315</v>
      </c>
      <c r="P19" s="27"/>
      <c r="Q19" s="27"/>
      <c r="R19" s="27"/>
      <c r="S19" s="31"/>
      <c r="T19" s="2015" t="s">
        <v>2076</v>
      </c>
      <c r="U19" s="1940"/>
      <c r="V19" s="1940"/>
      <c r="W19" s="1941"/>
      <c r="X19" s="2030" t="s">
        <v>2066</v>
      </c>
      <c r="Y19" s="2031"/>
      <c r="Z19" s="2028">
        <v>61326</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2073</v>
      </c>
      <c r="B21" s="1940"/>
      <c r="C21" s="1940"/>
      <c r="D21" s="1940"/>
      <c r="E21" s="1940"/>
      <c r="F21" s="1940"/>
      <c r="G21" s="1940"/>
      <c r="H21" s="1941"/>
      <c r="I21" s="1995" t="s">
        <v>678</v>
      </c>
      <c r="J21" s="1990"/>
      <c r="K21" s="1990"/>
      <c r="L21" s="1990"/>
      <c r="M21" s="1990"/>
      <c r="N21" s="1990"/>
      <c r="O21" s="1990"/>
      <c r="P21" s="1990"/>
      <c r="Q21" s="1990"/>
      <c r="R21" s="1990"/>
      <c r="S21" s="1996"/>
      <c r="T21" s="2039" t="s">
        <v>2067</v>
      </c>
      <c r="U21" s="2040"/>
      <c r="V21" s="2040"/>
      <c r="W21" s="2040"/>
      <c r="X21" s="2045" t="s">
        <v>2068</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2080</v>
      </c>
      <c r="B23" s="1993"/>
      <c r="C23" s="1993"/>
      <c r="D23" s="1993"/>
      <c r="E23" s="1993"/>
      <c r="F23" s="1993"/>
      <c r="G23" s="1993"/>
      <c r="H23" s="1994"/>
      <c r="T23" s="1975" t="s">
        <v>2070</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61322</v>
      </c>
      <c r="B25" s="1940"/>
      <c r="C25" s="1940"/>
      <c r="D25" s="1940"/>
      <c r="E25" s="1940"/>
      <c r="F25" s="1940"/>
      <c r="G25" s="1940"/>
      <c r="H25" s="1941"/>
      <c r="I25" s="113"/>
      <c r="J25" s="1964"/>
      <c r="K25" s="1964"/>
      <c r="L25" s="1964"/>
      <c r="M25" s="1964"/>
      <c r="N25" s="1964"/>
      <c r="O25" s="1964"/>
      <c r="P25" s="1964"/>
      <c r="Q25" s="1964"/>
      <c r="R25" s="1964"/>
      <c r="S25" s="1965"/>
      <c r="T25" s="2035" t="s">
        <v>2078</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2079</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2080</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2081</v>
      </c>
      <c r="B42" s="1959"/>
      <c r="C42" s="1960"/>
      <c r="D42" s="1958" t="s">
        <v>2082</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8" sqref="E1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1" t="s">
        <v>1802</v>
      </c>
      <c r="B2" s="1528" t="s">
        <v>1950</v>
      </c>
      <c r="C2" s="714" t="s">
        <v>1951</v>
      </c>
      <c r="D2" s="714" t="s">
        <v>1952</v>
      </c>
      <c r="E2" s="714" t="s">
        <v>1953</v>
      </c>
      <c r="F2" s="714" t="s">
        <v>1954</v>
      </c>
    </row>
    <row r="3" spans="1:6" ht="12" customHeight="1" x14ac:dyDescent="0.2">
      <c r="A3" s="2182"/>
      <c r="B3" s="1525"/>
      <c r="C3" s="1526"/>
      <c r="D3" s="1527" t="s">
        <v>256</v>
      </c>
      <c r="E3" s="1526"/>
      <c r="F3" s="1527" t="s">
        <v>257</v>
      </c>
    </row>
    <row r="4" spans="1:6" ht="13.7" customHeight="1" x14ac:dyDescent="0.2">
      <c r="A4" s="715" t="s">
        <v>1155</v>
      </c>
      <c r="B4" s="1748">
        <f>'Revenues 9-14'!C5</f>
        <v>185973</v>
      </c>
      <c r="C4" s="1524"/>
      <c r="D4" s="1751">
        <f>B4-C4</f>
        <v>185973</v>
      </c>
      <c r="E4" s="1524">
        <v>200077</v>
      </c>
      <c r="F4" s="1751">
        <f>E4-C4</f>
        <v>200077</v>
      </c>
    </row>
    <row r="5" spans="1:6" ht="13.7" customHeight="1" x14ac:dyDescent="0.2">
      <c r="A5" s="715" t="s">
        <v>870</v>
      </c>
      <c r="B5" s="1749">
        <f>'Revenues 9-14'!D5</f>
        <v>36807</v>
      </c>
      <c r="C5" s="585"/>
      <c r="D5" s="1752">
        <f t="shared" ref="D5:D18" si="0">B5-C5</f>
        <v>36807</v>
      </c>
      <c r="E5" s="585">
        <v>39599</v>
      </c>
      <c r="F5" s="1752">
        <f>E5-C5</f>
        <v>39599</v>
      </c>
    </row>
    <row r="6" spans="1:6" ht="13.7" customHeight="1" x14ac:dyDescent="0.2">
      <c r="A6" s="715" t="s">
        <v>411</v>
      </c>
      <c r="B6" s="1749">
        <f>'Revenues 9-14'!E5</f>
        <v>64551</v>
      </c>
      <c r="C6" s="585"/>
      <c r="D6" s="1752">
        <f t="shared" si="0"/>
        <v>64551</v>
      </c>
      <c r="E6" s="585">
        <v>69026</v>
      </c>
      <c r="F6" s="1752">
        <f t="shared" ref="F6:F18" si="1">E6-C6</f>
        <v>69026</v>
      </c>
    </row>
    <row r="7" spans="1:6" ht="13.7" customHeight="1" x14ac:dyDescent="0.2">
      <c r="A7" s="715" t="s">
        <v>155</v>
      </c>
      <c r="B7" s="1749">
        <f>'Revenues 9-14'!F5</f>
        <v>15438</v>
      </c>
      <c r="C7" s="585"/>
      <c r="D7" s="1752">
        <f t="shared" si="0"/>
        <v>15438</v>
      </c>
      <c r="E7" s="585">
        <v>16673</v>
      </c>
      <c r="F7" s="1752">
        <f t="shared" si="1"/>
        <v>16673</v>
      </c>
    </row>
    <row r="8" spans="1:6" ht="13.7" customHeight="1" x14ac:dyDescent="0.2">
      <c r="A8" s="715" t="s">
        <v>1179</v>
      </c>
      <c r="B8" s="1749">
        <f>'Revenues 9-14'!G5</f>
        <v>62058</v>
      </c>
      <c r="C8" s="585"/>
      <c r="D8" s="1752">
        <f t="shared" si="0"/>
        <v>62058</v>
      </c>
      <c r="E8" s="585">
        <v>64001</v>
      </c>
      <c r="F8" s="1752">
        <f t="shared" si="1"/>
        <v>64001</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3861</v>
      </c>
      <c r="C10" s="585"/>
      <c r="D10" s="1752">
        <f t="shared" si="0"/>
        <v>3861</v>
      </c>
      <c r="E10" s="585">
        <v>4168</v>
      </c>
      <c r="F10" s="1752">
        <f t="shared" si="1"/>
        <v>4168</v>
      </c>
    </row>
    <row r="11" spans="1:6" x14ac:dyDescent="0.2">
      <c r="A11" s="715" t="s">
        <v>409</v>
      </c>
      <c r="B11" s="1749">
        <f>'Revenues 9-14'!J5</f>
        <v>114191</v>
      </c>
      <c r="C11" s="585"/>
      <c r="D11" s="1752">
        <f t="shared" si="0"/>
        <v>114191</v>
      </c>
      <c r="E11" s="585">
        <v>118101</v>
      </c>
      <c r="F11" s="1752">
        <f t="shared" si="1"/>
        <v>118101</v>
      </c>
    </row>
    <row r="12" spans="1:6" ht="13.7" customHeight="1" x14ac:dyDescent="0.2">
      <c r="A12" s="715" t="s">
        <v>157</v>
      </c>
      <c r="B12" s="1749">
        <f>'Revenues 9-14'!K5</f>
        <v>3861</v>
      </c>
      <c r="C12" s="585"/>
      <c r="D12" s="1752">
        <f t="shared" si="0"/>
        <v>3861</v>
      </c>
      <c r="E12" s="585">
        <v>4168</v>
      </c>
      <c r="F12" s="1752">
        <f t="shared" si="1"/>
        <v>4168</v>
      </c>
    </row>
    <row r="13" spans="1:6" ht="13.7" customHeight="1" x14ac:dyDescent="0.2">
      <c r="A13" s="715" t="s">
        <v>936</v>
      </c>
      <c r="B13" s="1749">
        <f>SUM('Revenues 9-14'!C6:D6)</f>
        <v>3861</v>
      </c>
      <c r="C13" s="585"/>
      <c r="D13" s="1752">
        <f t="shared" si="0"/>
        <v>3861</v>
      </c>
      <c r="E13" s="585">
        <v>4168</v>
      </c>
      <c r="F13" s="1752">
        <f t="shared" si="1"/>
        <v>4168</v>
      </c>
    </row>
    <row r="14" spans="1:6" ht="13.7" customHeight="1" x14ac:dyDescent="0.2">
      <c r="A14" s="715" t="s">
        <v>410</v>
      </c>
      <c r="B14" s="1749">
        <f>SUM('Revenues 9-14'!C7:D7,'Revenues 9-14'!F7:H7)</f>
        <v>3088</v>
      </c>
      <c r="C14" s="585"/>
      <c r="D14" s="1752">
        <f t="shared" si="0"/>
        <v>3088</v>
      </c>
      <c r="E14" s="585">
        <v>3335</v>
      </c>
      <c r="F14" s="1752">
        <f t="shared" si="1"/>
        <v>3335</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62058</v>
      </c>
      <c r="C16" s="585"/>
      <c r="D16" s="1752">
        <f t="shared" si="0"/>
        <v>62058</v>
      </c>
      <c r="E16" s="585">
        <v>64001</v>
      </c>
      <c r="F16" s="1752">
        <f t="shared" si="1"/>
        <v>64001</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555747</v>
      </c>
      <c r="C19" s="1750">
        <f>SUM(C4:C18)</f>
        <v>0</v>
      </c>
      <c r="D19" s="1750">
        <f>SUM(D4:D18)</f>
        <v>555747</v>
      </c>
      <c r="E19" s="1750">
        <f>SUM(E4:E18)</f>
        <v>587317</v>
      </c>
      <c r="F19" s="1750">
        <f>SUM(F4:F18)</f>
        <v>587317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3" t="s">
        <v>1955</v>
      </c>
      <c r="D2" s="723" t="s">
        <v>1956</v>
      </c>
      <c r="E2" s="723" t="s">
        <v>1957</v>
      </c>
      <c r="F2" s="1883" t="s">
        <v>1958</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4">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4" t="s">
        <v>631</v>
      </c>
      <c r="B15" s="2195"/>
      <c r="C15" s="1754">
        <f>SUM(C6:C14)</f>
        <v>0</v>
      </c>
      <c r="D15" s="1754">
        <f>SUM(D6:D14)</f>
        <v>0</v>
      </c>
      <c r="E15" s="1754">
        <f>SUM(E6:E14)</f>
        <v>0</v>
      </c>
      <c r="F15" s="1754">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4">
        <f>SUM(C17+D17)-E17</f>
        <v>0</v>
      </c>
    </row>
    <row r="18" spans="1:11" ht="12.75" customHeight="1" thickTop="1" thickBot="1" x14ac:dyDescent="0.25">
      <c r="A18" s="2189" t="s">
        <v>6</v>
      </c>
      <c r="B18" s="2190"/>
      <c r="C18" s="726"/>
      <c r="D18" s="585"/>
      <c r="E18" s="726"/>
      <c r="F18" s="1754">
        <f>SUM(C18+D18)-E18</f>
        <v>0</v>
      </c>
    </row>
    <row r="19" spans="1:11" ht="12.75" customHeight="1" thickTop="1" thickBot="1" x14ac:dyDescent="0.25">
      <c r="A19" s="2189" t="s">
        <v>388</v>
      </c>
      <c r="B19" s="2190"/>
      <c r="C19" s="726"/>
      <c r="D19" s="585"/>
      <c r="E19" s="726"/>
      <c r="F19" s="1754">
        <f>SUM(C19+D19)-E19</f>
        <v>0</v>
      </c>
    </row>
    <row r="20" spans="1:11" ht="12.75" customHeight="1" thickTop="1" thickBot="1" x14ac:dyDescent="0.25">
      <c r="A20" s="2189" t="s">
        <v>448</v>
      </c>
      <c r="B20" s="2190"/>
      <c r="C20" s="726"/>
      <c r="D20" s="585"/>
      <c r="E20" s="726"/>
      <c r="F20" s="1754">
        <f>SUM(C20+D20)-E20</f>
        <v>0</v>
      </c>
    </row>
    <row r="21" spans="1:11" ht="14.25" thickTop="1" thickBot="1" x14ac:dyDescent="0.25">
      <c r="A21" s="2194" t="s">
        <v>632</v>
      </c>
      <c r="B21" s="2195"/>
      <c r="C21" s="1754">
        <f>SUM(C17:C20)</f>
        <v>0</v>
      </c>
      <c r="D21" s="1754">
        <f>SUM(D17:D20)</f>
        <v>0</v>
      </c>
      <c r="E21" s="1754">
        <f>SUM(E17:E20)</f>
        <v>0</v>
      </c>
      <c r="F21" s="1754">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4">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4">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4">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4" t="s">
        <v>583</v>
      </c>
      <c r="D30" s="1884" t="s">
        <v>1673</v>
      </c>
      <c r="E30" s="1884" t="s">
        <v>1959</v>
      </c>
      <c r="F30" s="1884" t="s">
        <v>1960</v>
      </c>
      <c r="G30" s="1884" t="s">
        <v>1910</v>
      </c>
      <c r="H30" s="1884" t="s">
        <v>1961</v>
      </c>
      <c r="I30" s="1884" t="s">
        <v>1962</v>
      </c>
      <c r="J30" s="1885" t="s">
        <v>2</v>
      </c>
      <c r="K30" s="731"/>
    </row>
    <row r="31" spans="1:11" ht="12" customHeight="1" x14ac:dyDescent="0.2">
      <c r="A31" s="732" t="s">
        <v>2083</v>
      </c>
      <c r="B31" s="733">
        <v>41091</v>
      </c>
      <c r="C31" s="734">
        <v>150000</v>
      </c>
      <c r="D31" s="735">
        <v>1</v>
      </c>
      <c r="E31" s="734">
        <v>130000</v>
      </c>
      <c r="F31" s="734"/>
      <c r="G31" s="734"/>
      <c r="H31" s="734">
        <v>35000</v>
      </c>
      <c r="I31" s="1755">
        <f>((E31+F31)-H31)+G31</f>
        <v>95000</v>
      </c>
      <c r="J31" s="734">
        <v>95000</v>
      </c>
      <c r="K31" s="736"/>
    </row>
    <row r="32" spans="1:11" ht="12" customHeight="1" x14ac:dyDescent="0.2">
      <c r="A32" s="732" t="s">
        <v>2083</v>
      </c>
      <c r="B32" s="733">
        <v>43138</v>
      </c>
      <c r="C32" s="734">
        <v>125000</v>
      </c>
      <c r="D32" s="735">
        <v>1</v>
      </c>
      <c r="E32" s="734">
        <v>125000</v>
      </c>
      <c r="F32" s="734"/>
      <c r="G32" s="734"/>
      <c r="H32" s="734">
        <v>25000</v>
      </c>
      <c r="I32" s="1755">
        <f>((E32+F32)-H32)+G32</f>
        <v>100000</v>
      </c>
      <c r="J32" s="734">
        <v>100000</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275000</v>
      </c>
      <c r="D49" s="745"/>
      <c r="E49" s="1755">
        <f t="shared" ref="E49:J49" si="2">SUM(E31:E48)</f>
        <v>255000</v>
      </c>
      <c r="F49" s="1755">
        <f t="shared" si="2"/>
        <v>0</v>
      </c>
      <c r="G49" s="1755">
        <f t="shared" si="2"/>
        <v>0</v>
      </c>
      <c r="H49" s="1755">
        <f t="shared" si="2"/>
        <v>60000</v>
      </c>
      <c r="I49" s="1755">
        <f t="shared" si="2"/>
        <v>195000</v>
      </c>
      <c r="J49" s="1755">
        <f t="shared" si="2"/>
        <v>195000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1963</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3088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5689</v>
      </c>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6"/>
      <c r="G12" s="1757">
        <f>SUM(G5:G11)</f>
        <v>0</v>
      </c>
      <c r="H12" s="1757">
        <f>SUM(H5:H11)</f>
        <v>3088</v>
      </c>
      <c r="I12" s="1757">
        <f>SUM(I5:I11)</f>
        <v>0</v>
      </c>
      <c r="J12" s="1757">
        <f>SUM(J5:J11)</f>
        <v>0</v>
      </c>
      <c r="K12" s="1757">
        <f>SUM(K5:K11)</f>
        <v>5689</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3088</v>
      </c>
      <c r="I14" s="771"/>
      <c r="J14" s="773"/>
      <c r="K14" s="765">
        <v>5689</v>
      </c>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8"/>
      <c r="G21" s="792"/>
      <c r="H21" s="796"/>
      <c r="I21" s="796"/>
      <c r="J21" s="1759">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0"/>
      <c r="G23" s="1757">
        <f>SUM(G14:G16,G21,G22)</f>
        <v>0</v>
      </c>
      <c r="H23" s="1757">
        <f>SUM(H14:H16,H21,H22)</f>
        <v>3088</v>
      </c>
      <c r="I23" s="1757">
        <f>SUM(I14:I16,I21,I22)</f>
        <v>0</v>
      </c>
      <c r="J23" s="1757">
        <f>SUM(J14:J16,J21,J22)</f>
        <v>0</v>
      </c>
      <c r="K23" s="1757">
        <f>SUM(K14:K16,K21,K22)</f>
        <v>5689</v>
      </c>
    </row>
    <row r="24" spans="1:11" ht="14.25" thickTop="1" thickBot="1" x14ac:dyDescent="0.25">
      <c r="A24" s="2246" t="s">
        <v>1964</v>
      </c>
      <c r="B24" s="2245"/>
      <c r="C24" s="2245"/>
      <c r="D24" s="2245"/>
      <c r="E24" s="2245"/>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1909</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25" sqref="I2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99312</v>
      </c>
      <c r="D5" s="841"/>
      <c r="E5" s="841"/>
      <c r="F5" s="1759">
        <f>(C5+D5)-E5</f>
        <v>99312</v>
      </c>
      <c r="G5" s="837"/>
      <c r="H5" s="842"/>
      <c r="I5" s="842"/>
      <c r="J5" s="842"/>
      <c r="K5" s="793"/>
      <c r="L5" s="1768">
        <f>F5-K5</f>
        <v>99312</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2246964</v>
      </c>
      <c r="D8" s="844"/>
      <c r="E8" s="844"/>
      <c r="F8" s="1759">
        <f>(C8+D8)-E8</f>
        <v>2246964</v>
      </c>
      <c r="G8" s="843">
        <v>50</v>
      </c>
      <c r="H8" s="765">
        <v>1371242</v>
      </c>
      <c r="I8" s="765">
        <v>66093</v>
      </c>
      <c r="J8" s="765"/>
      <c r="K8" s="1768">
        <f>(H8+I8)-J8</f>
        <v>1437335</v>
      </c>
      <c r="L8" s="1768">
        <f>F8-K8</f>
        <v>809629</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176024</v>
      </c>
      <c r="D10" s="846"/>
      <c r="E10" s="846"/>
      <c r="F10" s="1763">
        <f>(C10+D10)-E10</f>
        <v>176024</v>
      </c>
      <c r="G10" s="843">
        <v>20</v>
      </c>
      <c r="H10" s="847">
        <v>102040</v>
      </c>
      <c r="I10" s="847">
        <v>5864</v>
      </c>
      <c r="J10" s="847"/>
      <c r="K10" s="1768">
        <f>(H10+I10)-J10</f>
        <v>107904</v>
      </c>
      <c r="L10" s="1768">
        <f>F10-K10</f>
        <v>68120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1628238</v>
      </c>
      <c r="D12" s="844">
        <v>6199</v>
      </c>
      <c r="E12" s="844"/>
      <c r="F12" s="1759">
        <f>(C12+D12)-E12</f>
        <v>1634437</v>
      </c>
      <c r="G12" s="843">
        <v>10</v>
      </c>
      <c r="H12" s="765">
        <v>1617295</v>
      </c>
      <c r="I12" s="765">
        <v>3018</v>
      </c>
      <c r="J12" s="765"/>
      <c r="K12" s="1768">
        <f>(H12+I12)-J12</f>
        <v>1620313</v>
      </c>
      <c r="L12" s="1768">
        <f>F12-K12</f>
        <v>14124</v>
      </c>
    </row>
    <row r="13" spans="1:14" ht="14.25" thickTop="1" thickBot="1" x14ac:dyDescent="0.25">
      <c r="A13" s="848" t="s">
        <v>1122</v>
      </c>
      <c r="B13" s="840">
        <v>252</v>
      </c>
      <c r="C13" s="844">
        <v>88361</v>
      </c>
      <c r="D13" s="844"/>
      <c r="E13" s="844">
        <v>22000</v>
      </c>
      <c r="F13" s="1759">
        <f>(C13+D13)-E13</f>
        <v>66361</v>
      </c>
      <c r="G13" s="843">
        <v>5</v>
      </c>
      <c r="H13" s="765">
        <v>82789</v>
      </c>
      <c r="I13" s="765">
        <v>2785</v>
      </c>
      <c r="J13" s="765">
        <v>22000</v>
      </c>
      <c r="K13" s="1768">
        <f>(H13+I13)-J13</f>
        <v>63574</v>
      </c>
      <c r="L13" s="1768">
        <f>F13-K13</f>
        <v>2787</v>
      </c>
    </row>
    <row r="14" spans="1:14" ht="14.25" thickTop="1" thickBot="1" x14ac:dyDescent="0.25">
      <c r="A14" s="848" t="s">
        <v>1123</v>
      </c>
      <c r="B14" s="840">
        <v>253</v>
      </c>
      <c r="C14" s="765">
        <v>79833</v>
      </c>
      <c r="D14" s="765"/>
      <c r="E14" s="765"/>
      <c r="F14" s="1759">
        <f>(C14+D14)-E14</f>
        <v>79833</v>
      </c>
      <c r="G14" s="843">
        <v>3</v>
      </c>
      <c r="H14" s="765">
        <v>64346</v>
      </c>
      <c r="I14" s="765">
        <v>2512</v>
      </c>
      <c r="J14" s="765"/>
      <c r="K14" s="1768">
        <f>(H14+I14)-J14</f>
        <v>66858</v>
      </c>
      <c r="L14" s="1768">
        <f>F14-K14</f>
        <v>12975</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4318732</v>
      </c>
      <c r="D16" s="1759">
        <f>SUM(D3,D5:D6,D8:D10,D12:D15)</f>
        <v>6199</v>
      </c>
      <c r="E16" s="1759">
        <f>SUM(E3,E5:E6,E8:E10,E12:E15)</f>
        <v>22000</v>
      </c>
      <c r="F16" s="1759">
        <f>SUM(F3,F5:F6,F8:F10,F12:F15)</f>
        <v>4302931</v>
      </c>
      <c r="G16" s="843"/>
      <c r="H16" s="1759">
        <f>SUM(H3,H6,H8:H10,H12:H14,)</f>
        <v>3237712</v>
      </c>
      <c r="I16" s="1759">
        <f>SUM(I3,I6,I8:I10,I12:I14,)</f>
        <v>80272</v>
      </c>
      <c r="J16" s="1759">
        <f>SUM(J3,J6,J8:J10,J12:J14,)</f>
        <v>22000</v>
      </c>
      <c r="K16" s="1759">
        <f>(H16+I16)-J16</f>
        <v>3295984</v>
      </c>
      <c r="L16" s="1759">
        <f>F16-K16</f>
        <v>1006947</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80272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1"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1974</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3680273</v>
      </c>
      <c r="G8" s="865"/>
    </row>
    <row r="9" spans="1:7" x14ac:dyDescent="0.2">
      <c r="A9" s="869" t="s">
        <v>460</v>
      </c>
      <c r="B9" s="870" t="s">
        <v>1876</v>
      </c>
      <c r="C9" s="871"/>
      <c r="D9" s="869" t="s">
        <v>501</v>
      </c>
      <c r="E9" s="868"/>
      <c r="F9" s="1908">
        <f>'Expenditures 15-22'!K151</f>
        <v>292453</v>
      </c>
      <c r="G9" s="872"/>
    </row>
    <row r="10" spans="1:7" x14ac:dyDescent="0.2">
      <c r="A10" s="869" t="s">
        <v>499</v>
      </c>
      <c r="B10" s="870" t="s">
        <v>1877</v>
      </c>
      <c r="C10" s="871"/>
      <c r="D10" s="869" t="s">
        <v>501</v>
      </c>
      <c r="E10" s="868"/>
      <c r="F10" s="1908">
        <f>'Expenditures 15-22'!K174</f>
        <v>67733</v>
      </c>
      <c r="G10" s="872"/>
    </row>
    <row r="11" spans="1:7" x14ac:dyDescent="0.2">
      <c r="A11" s="869" t="s">
        <v>461</v>
      </c>
      <c r="B11" s="870" t="s">
        <v>1878</v>
      </c>
      <c r="C11" s="871"/>
      <c r="D11" s="869" t="s">
        <v>501</v>
      </c>
      <c r="E11" s="868"/>
      <c r="F11" s="1908">
        <f>'Expenditures 15-22'!K210</f>
        <v>201878</v>
      </c>
      <c r="G11" s="872"/>
    </row>
    <row r="12" spans="1:7" x14ac:dyDescent="0.2">
      <c r="A12" s="869" t="s">
        <v>462</v>
      </c>
      <c r="B12" s="870" t="s">
        <v>1879</v>
      </c>
      <c r="C12" s="871"/>
      <c r="D12" s="869" t="s">
        <v>501</v>
      </c>
      <c r="E12" s="868"/>
      <c r="F12" s="1908">
        <f>'Expenditures 15-22'!K295</f>
        <v>134977</v>
      </c>
      <c r="G12" s="872"/>
    </row>
    <row r="13" spans="1:7" x14ac:dyDescent="0.2">
      <c r="A13" s="869" t="s">
        <v>106</v>
      </c>
      <c r="B13" s="870" t="s">
        <v>1880</v>
      </c>
      <c r="C13" s="871"/>
      <c r="D13" s="869" t="s">
        <v>501</v>
      </c>
      <c r="E13" s="868"/>
      <c r="F13" s="1908">
        <f>'Expenditures 15-22'!K342</f>
        <v>129929</v>
      </c>
      <c r="G13" s="873"/>
    </row>
    <row r="14" spans="1:7" ht="12" customHeight="1" thickBot="1" x14ac:dyDescent="0.25">
      <c r="A14" s="1769"/>
      <c r="B14" s="1770"/>
      <c r="C14" s="1771"/>
      <c r="D14" s="1772" t="s">
        <v>501</v>
      </c>
      <c r="E14" s="1773" t="s">
        <v>958</v>
      </c>
      <c r="F14" s="1774">
        <f>SUM(F8:F13)</f>
        <v>4507243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3">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2001</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84697</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54025</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64411</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77580</v>
      </c>
      <c r="G52" s="865"/>
    </row>
    <row r="53" spans="1:7" x14ac:dyDescent="0.2">
      <c r="A53" s="869" t="s">
        <v>459</v>
      </c>
      <c r="B53" s="869" t="s">
        <v>1475</v>
      </c>
      <c r="C53" s="889">
        <f>'Expenditures 15-22'!B102</f>
        <v>4000</v>
      </c>
      <c r="D53" s="888" t="str">
        <f>'Expenditures 15-22'!A102</f>
        <v>Total Payments to Other Govt Units</v>
      </c>
      <c r="E53" s="868"/>
      <c r="F53" s="1912">
        <f>'Expenditures 15-22'!K102</f>
        <v>283300</v>
      </c>
      <c r="G53" s="865"/>
    </row>
    <row r="54" spans="1:7" x14ac:dyDescent="0.2">
      <c r="A54" s="869" t="s">
        <v>459</v>
      </c>
      <c r="B54" s="869" t="s">
        <v>1476</v>
      </c>
      <c r="C54" s="889" t="s">
        <v>982</v>
      </c>
      <c r="D54" s="885" t="s">
        <v>1095</v>
      </c>
      <c r="E54" s="868"/>
      <c r="F54" s="1912">
        <f>'Expenditures 15-22'!G114</f>
        <v>0</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2">
        <f>'Expenditures 15-22'!K139</f>
        <v>0</v>
      </c>
      <c r="G57" s="865"/>
    </row>
    <row r="58" spans="1:7" x14ac:dyDescent="0.2">
      <c r="A58" s="869" t="s">
        <v>460</v>
      </c>
      <c r="B58" s="869" t="s">
        <v>1882</v>
      </c>
      <c r="C58" s="886" t="s">
        <v>982</v>
      </c>
      <c r="D58" s="885" t="s">
        <v>1095</v>
      </c>
      <c r="E58" s="868"/>
      <c r="F58" s="1914">
        <f>'Expenditures 15-22'!G151</f>
        <v>6199</v>
      </c>
      <c r="G58" s="865"/>
    </row>
    <row r="59" spans="1:7" x14ac:dyDescent="0.2">
      <c r="A59" s="893" t="s">
        <v>460</v>
      </c>
      <c r="B59" s="856" t="s">
        <v>1883</v>
      </c>
      <c r="C59" s="894" t="s">
        <v>982</v>
      </c>
      <c r="D59" s="856" t="s">
        <v>291</v>
      </c>
      <c r="F59" s="1915">
        <f>'Expenditures 15-22'!I151</f>
        <v>0</v>
      </c>
      <c r="G59" s="865"/>
    </row>
    <row r="60" spans="1:7" x14ac:dyDescent="0.2">
      <c r="A60" s="893" t="s">
        <v>499</v>
      </c>
      <c r="B60" s="856" t="s">
        <v>1884</v>
      </c>
      <c r="C60" s="894">
        <v>4000</v>
      </c>
      <c r="D60" s="856" t="s">
        <v>312</v>
      </c>
      <c r="F60" s="1913">
        <f>'Expenditures 15-22'!K160</f>
        <v>0</v>
      </c>
      <c r="G60" s="865"/>
    </row>
    <row r="61" spans="1:7" x14ac:dyDescent="0.2">
      <c r="A61" s="895" t="s">
        <v>499</v>
      </c>
      <c r="B61" s="895" t="s">
        <v>1885</v>
      </c>
      <c r="C61" s="896" t="str">
        <f>'Expenditures 15-22'!B170</f>
        <v>5300</v>
      </c>
      <c r="D61" s="897" t="s">
        <v>311</v>
      </c>
      <c r="E61" s="879"/>
      <c r="F61" s="1912">
        <f>'Expenditures 15-22'!K170</f>
        <v>60000</v>
      </c>
      <c r="G61" s="865"/>
    </row>
    <row r="62" spans="1:7" x14ac:dyDescent="0.2">
      <c r="A62" s="869" t="s">
        <v>461</v>
      </c>
      <c r="B62" s="869" t="s">
        <v>1886</v>
      </c>
      <c r="C62" s="886">
        <f>'Expenditures 15-22'!B185</f>
        <v>3000</v>
      </c>
      <c r="D62" s="876" t="s">
        <v>449</v>
      </c>
      <c r="E62" s="868"/>
      <c r="F62" s="1912">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1888</v>
      </c>
      <c r="C64" s="896" t="str">
        <f>'Expenditures 15-22'!B206</f>
        <v>5300</v>
      </c>
      <c r="D64" s="892" t="s">
        <v>311</v>
      </c>
      <c r="E64" s="868"/>
      <c r="F64" s="1912">
        <f>'Expenditures 15-22'!K206</f>
        <v>0</v>
      </c>
      <c r="G64" s="865"/>
    </row>
    <row r="65" spans="1:8" x14ac:dyDescent="0.2">
      <c r="A65" s="869" t="s">
        <v>461</v>
      </c>
      <c r="B65" s="869" t="s">
        <v>1889</v>
      </c>
      <c r="C65" s="886" t="s">
        <v>982</v>
      </c>
      <c r="D65" s="885" t="s">
        <v>1095</v>
      </c>
      <c r="E65" s="868"/>
      <c r="F65" s="1912">
        <f>'Expenditures 15-22'!G210</f>
        <v>0</v>
      </c>
      <c r="G65" s="865"/>
    </row>
    <row r="66" spans="1:8" x14ac:dyDescent="0.2">
      <c r="A66" s="869" t="s">
        <v>461</v>
      </c>
      <c r="B66" s="869" t="s">
        <v>1890</v>
      </c>
      <c r="C66" s="886" t="s">
        <v>982</v>
      </c>
      <c r="D66" s="885" t="s">
        <v>291</v>
      </c>
      <c r="E66" s="868"/>
      <c r="F66" s="1912">
        <f>'Expenditures 15-22'!I210</f>
        <v>0</v>
      </c>
      <c r="G66" s="865"/>
    </row>
    <row r="67" spans="1:8" x14ac:dyDescent="0.2">
      <c r="A67" s="869" t="s">
        <v>462</v>
      </c>
      <c r="B67" s="869" t="s">
        <v>1891</v>
      </c>
      <c r="C67" s="886" t="str">
        <f>'Expenditures 15-22'!B216</f>
        <v>1125</v>
      </c>
      <c r="D67" s="892" t="str">
        <f>'Expenditures 15-22'!A216</f>
        <v>Pre-K Programs</v>
      </c>
      <c r="E67" s="868"/>
      <c r="F67" s="1912">
        <f>'Expenditures 15-22'!K216</f>
        <v>5059</v>
      </c>
      <c r="G67" s="865"/>
    </row>
    <row r="68" spans="1:8" x14ac:dyDescent="0.2">
      <c r="A68" s="869" t="s">
        <v>462</v>
      </c>
      <c r="B68" s="869" t="s">
        <v>1479</v>
      </c>
      <c r="C68" s="886" t="str">
        <f>'Expenditures 15-22'!B218</f>
        <v>1225</v>
      </c>
      <c r="D68" s="892" t="str">
        <f>'Expenditures 15-22'!A218</f>
        <v>Special Education Programs - Pre-K</v>
      </c>
      <c r="E68" s="868"/>
      <c r="F68" s="1912">
        <f>'Expenditures 15-22'!K218</f>
        <v>672</v>
      </c>
      <c r="G68" s="865"/>
    </row>
    <row r="69" spans="1:8" x14ac:dyDescent="0.2">
      <c r="A69" s="869" t="s">
        <v>462</v>
      </c>
      <c r="B69" s="869" t="s">
        <v>1892</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1893</v>
      </c>
      <c r="C70" s="886">
        <f>'Expenditures 15-22'!B221</f>
        <v>1300</v>
      </c>
      <c r="D70" s="887" t="str">
        <f>'Expenditures 15-22'!A221</f>
        <v>Adult/Continuing Education Programs</v>
      </c>
      <c r="E70" s="868"/>
      <c r="F70" s="1912">
        <f>'Expenditures 15-22'!K221</f>
        <v>0</v>
      </c>
      <c r="G70" s="865"/>
    </row>
    <row r="71" spans="1:8" x14ac:dyDescent="0.2">
      <c r="A71" s="869" t="s">
        <v>462</v>
      </c>
      <c r="B71" s="869" t="s">
        <v>1894</v>
      </c>
      <c r="C71" s="886">
        <f>'Expenditures 15-22'!B224</f>
        <v>1600</v>
      </c>
      <c r="D71" s="887" t="str">
        <f>'Expenditures 15-22'!A224</f>
        <v>Summer School Programs</v>
      </c>
      <c r="E71" s="868"/>
      <c r="F71" s="1912">
        <f>'Expenditures 15-22'!K224</f>
        <v>0</v>
      </c>
      <c r="G71" s="865"/>
    </row>
    <row r="72" spans="1:8" x14ac:dyDescent="0.2">
      <c r="A72" s="869" t="s">
        <v>462</v>
      </c>
      <c r="B72" s="869" t="s">
        <v>1895</v>
      </c>
      <c r="C72" s="886">
        <f>'Expenditures 15-22'!B280</f>
        <v>3000</v>
      </c>
      <c r="D72" s="876" t="s">
        <v>449</v>
      </c>
      <c r="E72" s="868"/>
      <c r="F72" s="1912">
        <f>'Expenditures 15-22'!K280</f>
        <v>10563</v>
      </c>
      <c r="G72" s="865"/>
    </row>
    <row r="73" spans="1:8" x14ac:dyDescent="0.2">
      <c r="A73" s="869" t="s">
        <v>462</v>
      </c>
      <c r="B73" s="869" t="s">
        <v>1896</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1897</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646506</v>
      </c>
      <c r="G76" s="865"/>
    </row>
    <row r="77" spans="1:8" s="893" customFormat="1" ht="12" customHeight="1" thickTop="1" thickBot="1" x14ac:dyDescent="0.25">
      <c r="A77" s="1778"/>
      <c r="B77" s="1775"/>
      <c r="C77" s="1771"/>
      <c r="D77" s="1776" t="s">
        <v>1899</v>
      </c>
      <c r="E77" s="1773"/>
      <c r="F77" s="1779">
        <f>(F14-F76)</f>
        <v>3860737</v>
      </c>
      <c r="G77" s="869"/>
    </row>
    <row r="78" spans="1:8" s="893" customFormat="1" ht="12" customHeight="1" thickTop="1" x14ac:dyDescent="0.2">
      <c r="A78" s="1780"/>
      <c r="B78" s="1775"/>
      <c r="C78" s="1771"/>
      <c r="D78" s="1776" t="s">
        <v>2061</v>
      </c>
      <c r="E78" s="1773"/>
      <c r="F78" s="898">
        <v>381.19</v>
      </c>
      <c r="G78" s="899"/>
      <c r="H78" s="869"/>
    </row>
    <row r="79" spans="1:8" s="893" customFormat="1" ht="12" customHeight="1" thickBot="1" x14ac:dyDescent="0.25">
      <c r="A79" s="1781"/>
      <c r="B79" s="1775"/>
      <c r="C79" s="1771"/>
      <c r="D79" s="1776" t="s">
        <v>1900</v>
      </c>
      <c r="E79" s="1773" t="s">
        <v>958</v>
      </c>
      <c r="F79" s="1782">
        <f>IF(F78&gt;0,F77/F78," Complete Line 78")</f>
        <v>10128.117211889085</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5508</v>
      </c>
      <c r="G94" s="912"/>
    </row>
    <row r="95" spans="1:7" x14ac:dyDescent="0.2">
      <c r="A95" s="908" t="s">
        <v>140</v>
      </c>
      <c r="B95" s="908" t="s">
        <v>175</v>
      </c>
      <c r="C95" s="910">
        <v>1700</v>
      </c>
      <c r="D95" s="918" t="str">
        <f>'Revenues 9-14'!A82</f>
        <v>Total District/School Activity Income</v>
      </c>
      <c r="E95" s="906"/>
      <c r="F95" s="1788">
        <f>SUM('Revenues 9-14'!C82,'Revenues 9-14'!D82)</f>
        <v>13245</v>
      </c>
      <c r="G95" s="912"/>
    </row>
    <row r="96" spans="1:7" x14ac:dyDescent="0.2">
      <c r="A96" s="908" t="s">
        <v>459</v>
      </c>
      <c r="B96" s="908" t="s">
        <v>176</v>
      </c>
      <c r="C96" s="910">
        <f>'Revenues 9-14'!B84</f>
        <v>1811</v>
      </c>
      <c r="D96" s="911" t="str">
        <f>'Revenues 9-14'!A84</f>
        <v>Rentals - Regular Textbooks</v>
      </c>
      <c r="E96" s="906"/>
      <c r="F96" s="1788">
        <f>'Revenues 9-14'!C84</f>
        <v>10884</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2002</v>
      </c>
      <c r="C105" s="913">
        <v>3100</v>
      </c>
      <c r="D105" s="919" t="str">
        <f>'Revenues 9-14'!A132</f>
        <v>Total Special Education</v>
      </c>
      <c r="E105" s="906"/>
      <c r="F105" s="1788">
        <f>SUM('Revenues 9-14'!C132:D132,'Revenues 9-14'!F132)</f>
        <v>23908</v>
      </c>
      <c r="G105" s="912"/>
    </row>
    <row r="106" spans="1:7" x14ac:dyDescent="0.2">
      <c r="A106" s="908" t="s">
        <v>673</v>
      </c>
      <c r="B106" s="908" t="s">
        <v>2003</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2004</v>
      </c>
      <c r="C107" s="920">
        <v>3300</v>
      </c>
      <c r="D107" s="911" t="str">
        <f>'Revenues 9-14'!A145</f>
        <v>Total Bilingual Ed</v>
      </c>
      <c r="E107" s="906"/>
      <c r="F107" s="1788">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8">
        <f>'Revenues 9-14'!C146</f>
        <v>6769</v>
      </c>
      <c r="G108" s="912"/>
    </row>
    <row r="109" spans="1:7" x14ac:dyDescent="0.2">
      <c r="A109" s="908" t="s">
        <v>673</v>
      </c>
      <c r="B109" s="908" t="s">
        <v>2006</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8">
        <f>SUM('Revenues 9-14'!C148,'Revenues 9-14'!D148)</f>
        <v>5689</v>
      </c>
      <c r="G110" s="912"/>
    </row>
    <row r="111" spans="1:7" x14ac:dyDescent="0.2">
      <c r="A111" s="908" t="s">
        <v>668</v>
      </c>
      <c r="B111" s="908" t="s">
        <v>2008</v>
      </c>
      <c r="C111" s="922">
        <v>3500</v>
      </c>
      <c r="D111" s="911" t="str">
        <f>'Revenues 9-14'!A155</f>
        <v>Total Transportation</v>
      </c>
      <c r="E111" s="906"/>
      <c r="F111" s="1788">
        <f>SUM('Revenues 9-14'!C155,'Revenues 9-14'!D155,'Revenues 9-14'!F155,'Revenues 9-14'!G155)</f>
        <v>96086</v>
      </c>
      <c r="G111" s="912"/>
    </row>
    <row r="112" spans="1:7" x14ac:dyDescent="0.2">
      <c r="A112" s="908" t="s">
        <v>459</v>
      </c>
      <c r="B112" s="908" t="s">
        <v>2009</v>
      </c>
      <c r="C112" s="920">
        <f>'Revenues 9-14'!B156</f>
        <v>3610</v>
      </c>
      <c r="D112" s="911" t="str">
        <f>'Revenues 9-14'!A156</f>
        <v>Learning Improvement - Change Grants</v>
      </c>
      <c r="E112" s="906"/>
      <c r="F112" s="1788">
        <f>'Revenues 9-14'!C156</f>
        <v>0</v>
      </c>
      <c r="G112" s="912"/>
    </row>
    <row r="113" spans="1:7" x14ac:dyDescent="0.2">
      <c r="A113" s="908" t="s">
        <v>668</v>
      </c>
      <c r="B113" s="908" t="s">
        <v>2010</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6">
        <f>SUM('Revenues 9-14'!C163:G163)</f>
        <v>0</v>
      </c>
      <c r="G118" s="912"/>
    </row>
    <row r="119" spans="1:7" x14ac:dyDescent="0.2">
      <c r="A119" s="923" t="s">
        <v>504</v>
      </c>
      <c r="B119" s="923" t="s">
        <v>2016</v>
      </c>
      <c r="C119" s="924">
        <f>'Revenues 9-14'!B164</f>
        <v>3815</v>
      </c>
      <c r="D119" s="925" t="str">
        <f>'Revenues 9-14'!A164</f>
        <v>State Charter Schools</v>
      </c>
      <c r="E119" s="906"/>
      <c r="F119" s="1906">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8">
        <f>'Revenues 9-14'!D167</f>
        <v>0</v>
      </c>
      <c r="G120" s="930"/>
    </row>
    <row r="121" spans="1:7" x14ac:dyDescent="0.2">
      <c r="A121" s="927" t="s">
        <v>500</v>
      </c>
      <c r="B121" s="927" t="s">
        <v>2018</v>
      </c>
      <c r="C121" s="928">
        <f>'Revenues 9-14'!B168</f>
        <v>3999</v>
      </c>
      <c r="D121" s="929" t="s">
        <v>543</v>
      </c>
      <c r="E121" s="931"/>
      <c r="F121" s="1788">
        <f>SUM('Revenues 9-14'!C168:G168,'Revenues 9-14'!J168)</f>
        <v>96361</v>
      </c>
      <c r="G121" s="930"/>
    </row>
    <row r="122" spans="1:7" x14ac:dyDescent="0.2">
      <c r="A122" s="927" t="s">
        <v>459</v>
      </c>
      <c r="B122" s="927" t="s">
        <v>2019</v>
      </c>
      <c r="C122" s="932">
        <f>'Revenues 9-14'!B177</f>
        <v>4045</v>
      </c>
      <c r="D122" s="929" t="str">
        <f>'Revenues 9-14'!A177 &amp; " (Subtract)"</f>
        <v>Head Start (Subtract)</v>
      </c>
      <c r="E122" s="906"/>
      <c r="F122" s="1788">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2021</v>
      </c>
      <c r="C124" s="932">
        <v>4100</v>
      </c>
      <c r="D124" s="933" t="str">
        <f>'Revenues 9-14'!A188</f>
        <v>Total Title V</v>
      </c>
      <c r="E124" s="906"/>
      <c r="F124" s="1788">
        <f>SUM('Revenues 9-14'!C188,'Revenues 9-14'!D188,'Revenues 9-14'!F188,'Revenues 9-14'!G188)</f>
        <v>46109</v>
      </c>
      <c r="G124" s="930"/>
    </row>
    <row r="125" spans="1:7" x14ac:dyDescent="0.2">
      <c r="A125" s="927" t="s">
        <v>664</v>
      </c>
      <c r="B125" s="927" t="s">
        <v>2022</v>
      </c>
      <c r="C125" s="932">
        <v>4200</v>
      </c>
      <c r="D125" s="929" t="str">
        <f>'Revenues 9-14'!A198</f>
        <v>Total Food Service</v>
      </c>
      <c r="E125" s="906"/>
      <c r="F125" s="1788">
        <f>SUM('Revenues 9-14'!C198,'Revenues 9-14'!G198)</f>
        <v>299270</v>
      </c>
      <c r="G125" s="930"/>
    </row>
    <row r="126" spans="1:7" x14ac:dyDescent="0.2">
      <c r="A126" s="927" t="s">
        <v>668</v>
      </c>
      <c r="B126" s="927" t="s">
        <v>2023</v>
      </c>
      <c r="C126" s="932">
        <v>4300</v>
      </c>
      <c r="D126" s="933" t="str">
        <f>'Revenues 9-14'!A204</f>
        <v>Total Title I</v>
      </c>
      <c r="E126" s="906"/>
      <c r="F126" s="1788">
        <f>SUM('Revenues 9-14'!C204,'Revenues 9-14'!D204,'Revenues 9-14'!F204,'Revenues 9-14'!G204)</f>
        <v>94669</v>
      </c>
      <c r="G126" s="930"/>
    </row>
    <row r="127" spans="1:7" x14ac:dyDescent="0.2">
      <c r="A127" s="927" t="s">
        <v>668</v>
      </c>
      <c r="B127" s="927" t="s">
        <v>2024</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2028</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8">
        <v>0</v>
      </c>
      <c r="G138" s="905"/>
    </row>
    <row r="139" spans="1:7" s="867" customFormat="1" hidden="1" x14ac:dyDescent="0.2">
      <c r="A139" s="934" t="s">
        <v>206</v>
      </c>
      <c r="B139" s="934" t="s">
        <v>2035</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2043</v>
      </c>
      <c r="C157" s="940" t="s">
        <v>841</v>
      </c>
      <c r="D157" s="941" t="s">
        <v>777</v>
      </c>
      <c r="E157" s="942"/>
      <c r="F157" s="1788">
        <f>SUM(F133:F156)</f>
        <v>0</v>
      </c>
      <c r="G157" s="905"/>
    </row>
    <row r="158" spans="1:7" s="867" customFormat="1" x14ac:dyDescent="0.2">
      <c r="A158" s="938" t="s">
        <v>459</v>
      </c>
      <c r="B158" s="939" t="s">
        <v>2044</v>
      </c>
      <c r="C158" s="940" t="s">
        <v>1427</v>
      </c>
      <c r="D158" s="941" t="s">
        <v>1428</v>
      </c>
      <c r="E158" s="942"/>
      <c r="F158" s="1788">
        <f>SUM('Revenues 9-14'!C253)</f>
        <v>0</v>
      </c>
      <c r="G158" s="905"/>
    </row>
    <row r="159" spans="1:7" s="867" customFormat="1" x14ac:dyDescent="0.2">
      <c r="A159" s="938" t="s">
        <v>500</v>
      </c>
      <c r="B159" s="939" t="s">
        <v>2045</v>
      </c>
      <c r="C159" s="940" t="s">
        <v>1466</v>
      </c>
      <c r="D159" s="941" t="s">
        <v>1467</v>
      </c>
      <c r="E159" s="942"/>
      <c r="F159" s="1788">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8">
        <f>SUM('Revenues 9-14'!C256,'Revenues 9-14'!F256,'Revenues 9-14'!G256)</f>
        <v>16430</v>
      </c>
      <c r="G161" s="943"/>
    </row>
    <row r="162" spans="1:7" x14ac:dyDescent="0.2">
      <c r="A162" s="927" t="s">
        <v>668</v>
      </c>
      <c r="B162" s="927" t="s">
        <v>2048</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6">
        <f>SUM('Revenues 9-14'!C259,'Revenues 9-14'!D259,'Revenues 9-14'!F259,'Revenues 9-14'!G259)</f>
        <v>8308</v>
      </c>
      <c r="G164" s="930"/>
    </row>
    <row r="165" spans="1:7" x14ac:dyDescent="0.2">
      <c r="A165" s="927" t="s">
        <v>668</v>
      </c>
      <c r="B165" s="927" t="s">
        <v>2051</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8">
        <f>SUM('Revenues 9-14'!C263:D263,'Revenues 9-14'!F263:G263)</f>
        <v>20587</v>
      </c>
      <c r="G168" s="947">
        <v>6320</v>
      </c>
    </row>
    <row r="169" spans="1:7" x14ac:dyDescent="0.2">
      <c r="A169" s="927" t="s">
        <v>668</v>
      </c>
      <c r="B169" s="927" t="s">
        <v>2053</v>
      </c>
      <c r="C169" s="932">
        <f>'Revenues 9-14'!B264</f>
        <v>4992</v>
      </c>
      <c r="D169" s="933" t="str">
        <f>'Revenues 9-14'!A264</f>
        <v>Medicaid Matching Funds - Fee-for-Service Program</v>
      </c>
      <c r="E169" s="906"/>
      <c r="F169" s="1788">
        <f>SUM('Revenues 9-14'!C264:D264,'Revenues 9-14'!F264:G264)</f>
        <v>0</v>
      </c>
      <c r="G169" s="947"/>
    </row>
    <row r="170" spans="1:7" x14ac:dyDescent="0.2">
      <c r="A170" s="948" t="s">
        <v>668</v>
      </c>
      <c r="B170" s="944" t="s">
        <v>2054</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1919</v>
      </c>
      <c r="C171" s="1919">
        <v>3100</v>
      </c>
      <c r="D171" s="1920" t="s">
        <v>1921</v>
      </c>
      <c r="E171" s="906"/>
      <c r="F171" s="1905">
        <v>182702</v>
      </c>
      <c r="G171" s="927"/>
    </row>
    <row r="172" spans="1:7" x14ac:dyDescent="0.2">
      <c r="A172" s="1917" t="s">
        <v>664</v>
      </c>
      <c r="B172" s="1918" t="s">
        <v>1919</v>
      </c>
      <c r="C172" s="1919">
        <v>3300</v>
      </c>
      <c r="D172" s="1920" t="s">
        <v>1922</v>
      </c>
      <c r="E172" s="906"/>
      <c r="F172" s="1905">
        <v>81506</v>
      </c>
      <c r="G172" s="927"/>
    </row>
    <row r="173" spans="1:7" ht="6" customHeight="1" x14ac:dyDescent="0.2">
      <c r="A173" s="927"/>
      <c r="B173" s="927"/>
      <c r="C173" s="949"/>
      <c r="D173" s="927"/>
      <c r="E173" s="906"/>
      <c r="F173" s="950"/>
      <c r="G173" s="947"/>
    </row>
    <row r="174" spans="1:7" x14ac:dyDescent="0.2">
      <c r="A174" s="1769"/>
      <c r="B174" s="1783"/>
      <c r="C174" s="1784"/>
      <c r="D174" s="1785" t="s">
        <v>2055</v>
      </c>
      <c r="E174" s="1786" t="s">
        <v>958</v>
      </c>
      <c r="F174" s="1787">
        <f>SUM(F84:F132,F157:F172)</f>
        <v>1008031</v>
      </c>
    </row>
    <row r="175" spans="1:7" ht="12" customHeight="1" x14ac:dyDescent="0.2">
      <c r="A175" s="1769"/>
      <c r="B175" s="1783"/>
      <c r="C175" s="1784"/>
      <c r="D175" s="1785" t="s">
        <v>2056</v>
      </c>
      <c r="E175" s="1786"/>
      <c r="F175" s="1788">
        <f>'PCTC-OEPP 27-28'!F77-F174</f>
        <v>2852706</v>
      </c>
    </row>
    <row r="176" spans="1:7" ht="12" customHeight="1" x14ac:dyDescent="0.2">
      <c r="A176" s="1769"/>
      <c r="B176" s="1783"/>
      <c r="C176" s="1784"/>
      <c r="D176" s="1785" t="s">
        <v>1817</v>
      </c>
      <c r="E176" s="1786"/>
      <c r="F176" s="1788">
        <f>'Cap Outlay Deprec 26'!I18</f>
        <v>80272</v>
      </c>
    </row>
    <row r="177" spans="1:7" ht="12" customHeight="1" x14ac:dyDescent="0.2">
      <c r="A177" s="1769"/>
      <c r="B177" s="1783"/>
      <c r="C177" s="1784"/>
      <c r="D177" s="1785" t="s">
        <v>2057</v>
      </c>
      <c r="E177" s="1786"/>
      <c r="F177" s="1788">
        <f>F175+F176</f>
        <v>2932978</v>
      </c>
    </row>
    <row r="178" spans="1:7" ht="12" customHeight="1" x14ac:dyDescent="0.2">
      <c r="A178" s="1769"/>
      <c r="B178" s="1789"/>
      <c r="C178" s="1784"/>
      <c r="D178" s="1785" t="str">
        <f>D78</f>
        <v>9 Month ADA from District Average Daily Attendance/Prior General State Aid Inquiry 2018-2019</v>
      </c>
      <c r="E178" s="1786"/>
      <c r="F178" s="1790">
        <f>'PCTC-OEPP 27-28'!F78</f>
        <v>381.19</v>
      </c>
      <c r="G178" s="930"/>
    </row>
    <row r="179" spans="1:7" ht="12" customHeight="1" thickBot="1" x14ac:dyDescent="0.25">
      <c r="A179" s="1769"/>
      <c r="B179" s="1789"/>
      <c r="C179" s="1784"/>
      <c r="D179" s="1785" t="s">
        <v>2058</v>
      </c>
      <c r="E179" s="1786" t="s">
        <v>1545</v>
      </c>
      <c r="F179" s="1791">
        <f>F177/F178</f>
        <v>7694.2679503659592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1" customFormat="1" ht="12.2" customHeight="1" x14ac:dyDescent="0.2">
      <c r="A182" s="1921" t="s">
        <v>1993</v>
      </c>
      <c r="B182" s="1922"/>
      <c r="C182" s="1923"/>
      <c r="D182" s="1922"/>
      <c r="E182" s="1923"/>
      <c r="F182" s="1922"/>
      <c r="G182" s="1922"/>
    </row>
    <row r="183" spans="1:7" s="1921" customFormat="1" ht="12.2" customHeight="1" x14ac:dyDescent="0.2">
      <c r="A183" s="1924" t="s">
        <v>1995</v>
      </c>
      <c r="C183" s="1923"/>
      <c r="D183" s="1922"/>
      <c r="E183" s="1923"/>
      <c r="F183" s="1922"/>
      <c r="G183" s="1922"/>
    </row>
    <row r="184" spans="1:7" ht="12" customHeight="1" x14ac:dyDescent="0.2">
      <c r="C184" s="949"/>
      <c r="D184" s="930"/>
      <c r="E184" s="949"/>
      <c r="F184" s="930"/>
      <c r="G184" s="930"/>
    </row>
    <row r="185" spans="1:7" x14ac:dyDescent="0.2">
      <c r="A185" s="1925" t="s">
        <v>1924</v>
      </c>
      <c r="B185" s="1926"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0"/>
  <sheetViews>
    <sheetView showGridLines="0" topLeftCell="A10" zoomScaleNormal="100" workbookViewId="0">
      <selection activeCell="C27" sqref="C2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1931</v>
      </c>
      <c r="B7" s="2275"/>
      <c r="C7" s="2275"/>
      <c r="D7" s="2275"/>
      <c r="E7" s="2275"/>
      <c r="F7" s="2275"/>
      <c r="G7" s="2276"/>
    </row>
    <row r="8" spans="1:7" ht="15.75" customHeight="1" x14ac:dyDescent="0.25">
      <c r="A8" s="2277" t="s">
        <v>1906</v>
      </c>
      <c r="B8" s="2278"/>
      <c r="C8" s="2278"/>
      <c r="D8" s="2278"/>
      <c r="E8" s="2278"/>
      <c r="F8" s="2278"/>
      <c r="G8" s="2279"/>
    </row>
    <row r="9" spans="1:7" ht="35.25" customHeight="1" x14ac:dyDescent="0.25">
      <c r="A9" s="2274" t="s">
        <v>1934</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1933</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1975</v>
      </c>
      <c r="B13" s="2266"/>
      <c r="C13" s="2266"/>
      <c r="D13" s="2266"/>
      <c r="E13" s="2266"/>
      <c r="F13" s="2266"/>
      <c r="G13" s="2267"/>
    </row>
    <row r="14" spans="1:7" x14ac:dyDescent="0.25">
      <c r="A14" s="1660" t="s">
        <v>1833</v>
      </c>
      <c r="B14" s="1661"/>
      <c r="C14" s="1661"/>
      <c r="D14" s="1661"/>
      <c r="E14" s="1661"/>
      <c r="F14" s="1661"/>
      <c r="G14" s="1662"/>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7" x14ac:dyDescent="0.25">
      <c r="A17" s="1936" t="s">
        <v>2084</v>
      </c>
      <c r="B17" s="1937" t="s">
        <v>2085</v>
      </c>
      <c r="C17" s="1938" t="s">
        <v>2086</v>
      </c>
      <c r="D17" s="1843">
        <f>261+260+260+260+262+145+261+258+256+258+258</f>
        <v>2739</v>
      </c>
      <c r="E17" s="1540">
        <f t="shared" ref="E17:E139" si="0">IF(D17&lt;=25000,D17,IF(D17&gt;25000,25000,0))</f>
        <v>2739</v>
      </c>
      <c r="F17" s="1931">
        <f t="shared" ref="F17:F7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2739</v>
      </c>
      <c r="G17" s="1792">
        <f t="shared" ref="G17:G139" si="2">IF(F17=0,0,D17-F17)</f>
        <v>0</v>
      </c>
    </row>
    <row r="18" spans="1:7" x14ac:dyDescent="0.25">
      <c r="A18" s="1936" t="s">
        <v>2084</v>
      </c>
      <c r="B18" s="1937" t="s">
        <v>2085</v>
      </c>
      <c r="C18" s="1938" t="s">
        <v>2087</v>
      </c>
      <c r="D18" s="1843">
        <f>40+40+40+80+40+40+40+40+40+45+45</f>
        <v>490</v>
      </c>
      <c r="E18" s="1540">
        <f t="shared" si="0"/>
        <v>490</v>
      </c>
      <c r="F18" s="1931">
        <f t="shared" si="1"/>
        <v>490</v>
      </c>
      <c r="G18" s="1792">
        <f t="shared" si="2"/>
        <v>0</v>
      </c>
    </row>
    <row r="19" spans="1:7" x14ac:dyDescent="0.25">
      <c r="A19" s="1936" t="s">
        <v>2084</v>
      </c>
      <c r="B19" s="1937" t="s">
        <v>2085</v>
      </c>
      <c r="C19" s="1938" t="s">
        <v>2088</v>
      </c>
      <c r="D19" s="1843">
        <v>366</v>
      </c>
      <c r="E19" s="1540">
        <f t="shared" si="0"/>
        <v>366</v>
      </c>
      <c r="F19" s="1931">
        <f t="shared" si="1"/>
        <v>366</v>
      </c>
      <c r="G19" s="1792">
        <f t="shared" si="2"/>
        <v>0</v>
      </c>
    </row>
    <row r="20" spans="1:7" x14ac:dyDescent="0.25">
      <c r="A20" s="1936" t="s">
        <v>2084</v>
      </c>
      <c r="B20" s="1937" t="s">
        <v>2085</v>
      </c>
      <c r="C20" s="1938" t="s">
        <v>2089</v>
      </c>
      <c r="D20" s="1843">
        <v>1770</v>
      </c>
      <c r="E20" s="1540">
        <f t="shared" si="0"/>
        <v>1770</v>
      </c>
      <c r="F20" s="1931">
        <f t="shared" si="1"/>
        <v>1770</v>
      </c>
      <c r="G20" s="1792">
        <f t="shared" si="2"/>
        <v>0</v>
      </c>
    </row>
    <row r="21" spans="1:7" x14ac:dyDescent="0.25">
      <c r="A21" s="1936" t="s">
        <v>2084</v>
      </c>
      <c r="B21" s="1937" t="s">
        <v>2085</v>
      </c>
      <c r="C21" s="1938" t="s">
        <v>2090</v>
      </c>
      <c r="D21" s="1843">
        <f>1423+712+712+713+713+713+525+417+954+539+121</f>
        <v>7542</v>
      </c>
      <c r="E21" s="1540">
        <f t="shared" si="0"/>
        <v>7542</v>
      </c>
      <c r="F21" s="1931">
        <f t="shared" si="1"/>
        <v>7542</v>
      </c>
      <c r="G21" s="1792">
        <f t="shared" si="2"/>
        <v>0</v>
      </c>
    </row>
    <row r="22" spans="1:7" x14ac:dyDescent="0.25">
      <c r="A22" s="1652"/>
      <c r="B22" s="1933"/>
      <c r="C22" s="1655"/>
      <c r="D22" s="1843"/>
      <c r="E22" s="1540">
        <f t="shared" si="0"/>
        <v>0</v>
      </c>
      <c r="F22" s="1931">
        <f t="shared" si="1"/>
        <v>0</v>
      </c>
      <c r="G22" s="1792">
        <f t="shared" si="2"/>
        <v>0</v>
      </c>
    </row>
    <row r="23" spans="1:7" x14ac:dyDescent="0.25">
      <c r="A23" s="1652"/>
      <c r="B23" s="1933"/>
      <c r="C23" s="1655"/>
      <c r="D23" s="1843"/>
      <c r="E23" s="1540">
        <f t="shared" si="0"/>
        <v>0</v>
      </c>
      <c r="F23" s="1931">
        <f t="shared" si="1"/>
        <v>0</v>
      </c>
      <c r="G23" s="1792">
        <f t="shared" si="2"/>
        <v>0</v>
      </c>
    </row>
    <row r="24" spans="1:7" x14ac:dyDescent="0.25">
      <c r="A24" s="1652"/>
      <c r="B24" s="1933"/>
      <c r="C24" s="1655"/>
      <c r="D24" s="1843"/>
      <c r="E24" s="1540">
        <f t="shared" si="0"/>
        <v>0</v>
      </c>
      <c r="F24" s="1931">
        <f t="shared" si="1"/>
        <v>0</v>
      </c>
      <c r="G24" s="1792">
        <f t="shared" si="2"/>
        <v>0</v>
      </c>
    </row>
    <row r="25" spans="1:7" x14ac:dyDescent="0.25">
      <c r="A25" s="1652"/>
      <c r="B25" s="1933"/>
      <c r="C25" s="1653"/>
      <c r="D25" s="1843"/>
      <c r="E25" s="1540">
        <f t="shared" si="0"/>
        <v>0</v>
      </c>
      <c r="F25" s="1931">
        <f t="shared" si="1"/>
        <v>0</v>
      </c>
      <c r="G25" s="1792">
        <f t="shared" si="2"/>
        <v>0</v>
      </c>
    </row>
    <row r="26" spans="1:7" x14ac:dyDescent="0.25">
      <c r="A26" s="1652"/>
      <c r="B26" s="1933"/>
      <c r="C26" s="1653"/>
      <c r="D26" s="1843"/>
      <c r="E26" s="1540">
        <f t="shared" si="0"/>
        <v>0</v>
      </c>
      <c r="F26" s="1931">
        <f t="shared" si="1"/>
        <v>0</v>
      </c>
      <c r="G26" s="1792">
        <f t="shared" si="2"/>
        <v>0</v>
      </c>
    </row>
    <row r="27" spans="1:7" x14ac:dyDescent="0.25">
      <c r="A27" s="1652"/>
      <c r="B27" s="1933"/>
      <c r="C27" s="1653"/>
      <c r="D27" s="1843"/>
      <c r="E27" s="1540">
        <f t="shared" si="0"/>
        <v>0</v>
      </c>
      <c r="F27" s="1931">
        <f t="shared" si="1"/>
        <v>0</v>
      </c>
      <c r="G27" s="1792">
        <f t="shared" si="2"/>
        <v>0</v>
      </c>
    </row>
    <row r="28" spans="1:7" x14ac:dyDescent="0.25">
      <c r="A28" s="1652"/>
      <c r="B28" s="1933"/>
      <c r="C28" s="1653"/>
      <c r="D28" s="1843"/>
      <c r="E28" s="1540">
        <f t="shared" si="0"/>
        <v>0</v>
      </c>
      <c r="F28" s="1931">
        <f t="shared" si="1"/>
        <v>0</v>
      </c>
      <c r="G28" s="1792">
        <f t="shared" si="2"/>
        <v>0</v>
      </c>
    </row>
    <row r="29" spans="1:7" x14ac:dyDescent="0.25">
      <c r="A29" s="1652"/>
      <c r="B29" s="1933"/>
      <c r="C29" s="1653"/>
      <c r="D29" s="1843"/>
      <c r="E29" s="1540">
        <f t="shared" si="0"/>
        <v>0</v>
      </c>
      <c r="F29" s="1931">
        <f t="shared" si="1"/>
        <v>0</v>
      </c>
      <c r="G29" s="1792">
        <f t="shared" si="2"/>
        <v>0</v>
      </c>
    </row>
    <row r="30" spans="1:7" x14ac:dyDescent="0.25">
      <c r="A30" s="1652"/>
      <c r="B30" s="1933"/>
      <c r="C30" s="1653"/>
      <c r="D30" s="1843"/>
      <c r="E30" s="1540">
        <f t="shared" si="0"/>
        <v>0</v>
      </c>
      <c r="F30" s="1931">
        <f t="shared" si="1"/>
        <v>0</v>
      </c>
      <c r="G30" s="1792">
        <f t="shared" si="2"/>
        <v>0</v>
      </c>
    </row>
    <row r="31" spans="1:7" x14ac:dyDescent="0.25">
      <c r="A31" s="1652"/>
      <c r="B31" s="1933"/>
      <c r="C31" s="1653"/>
      <c r="D31" s="1843"/>
      <c r="E31" s="1540">
        <f t="shared" si="0"/>
        <v>0</v>
      </c>
      <c r="F31" s="1931">
        <f t="shared" si="1"/>
        <v>0</v>
      </c>
      <c r="G31" s="1792">
        <f t="shared" si="2"/>
        <v>0</v>
      </c>
    </row>
    <row r="32" spans="1:7" x14ac:dyDescent="0.25">
      <c r="A32" s="1652"/>
      <c r="B32" s="1933"/>
      <c r="C32" s="1653"/>
      <c r="D32" s="1843"/>
      <c r="E32" s="1540">
        <f t="shared" si="0"/>
        <v>0</v>
      </c>
      <c r="F32" s="1931">
        <f t="shared" si="1"/>
        <v>0</v>
      </c>
      <c r="G32" s="1792">
        <f t="shared" si="2"/>
        <v>0</v>
      </c>
    </row>
    <row r="33" spans="1:7" x14ac:dyDescent="0.25">
      <c r="A33" s="1652"/>
      <c r="B33" s="1933"/>
      <c r="C33" s="1653"/>
      <c r="D33" s="1843"/>
      <c r="E33" s="1540">
        <f t="shared" si="0"/>
        <v>0</v>
      </c>
      <c r="F33" s="1931">
        <f t="shared" si="1"/>
        <v>0</v>
      </c>
      <c r="G33" s="1792">
        <f t="shared" si="2"/>
        <v>0</v>
      </c>
    </row>
    <row r="34" spans="1:7" hidden="1" x14ac:dyDescent="0.25">
      <c r="A34" s="1652"/>
      <c r="B34" s="1933"/>
      <c r="C34" s="1653"/>
      <c r="D34" s="1843"/>
      <c r="E34" s="1540">
        <f t="shared" si="0"/>
        <v>0</v>
      </c>
      <c r="F34" s="1931">
        <f t="shared" si="1"/>
        <v>0</v>
      </c>
      <c r="G34" s="1792">
        <f t="shared" si="2"/>
        <v>0</v>
      </c>
    </row>
    <row r="35" spans="1:7" hidden="1" x14ac:dyDescent="0.25">
      <c r="A35" s="1652"/>
      <c r="B35" s="1933"/>
      <c r="C35" s="1653"/>
      <c r="D35" s="1843"/>
      <c r="E35" s="1540">
        <f t="shared" si="0"/>
        <v>0</v>
      </c>
      <c r="F35" s="1931">
        <f t="shared" si="1"/>
        <v>0</v>
      </c>
      <c r="G35" s="1792">
        <f t="shared" si="2"/>
        <v>0</v>
      </c>
    </row>
    <row r="36" spans="1:7" hidden="1" x14ac:dyDescent="0.25">
      <c r="A36" s="1652"/>
      <c r="B36" s="1933"/>
      <c r="C36" s="1653"/>
      <c r="D36" s="1843"/>
      <c r="E36" s="1540">
        <f t="shared" si="0"/>
        <v>0</v>
      </c>
      <c r="F36" s="1931">
        <f t="shared" si="1"/>
        <v>0</v>
      </c>
      <c r="G36" s="1792">
        <f t="shared" si="2"/>
        <v>0</v>
      </c>
    </row>
    <row r="37" spans="1:7" hidden="1" x14ac:dyDescent="0.25">
      <c r="A37" s="1652"/>
      <c r="B37" s="1934"/>
      <c r="C37" s="1653"/>
      <c r="D37" s="1843"/>
      <c r="E37" s="1540">
        <f t="shared" si="0"/>
        <v>0</v>
      </c>
      <c r="F37" s="1931">
        <f t="shared" si="1"/>
        <v>0</v>
      </c>
      <c r="G37" s="1792">
        <f t="shared" si="2"/>
        <v>0</v>
      </c>
    </row>
    <row r="38" spans="1:7" hidden="1" x14ac:dyDescent="0.25">
      <c r="A38" s="1652"/>
      <c r="B38" s="1934"/>
      <c r="C38" s="1653"/>
      <c r="D38" s="1843"/>
      <c r="E38" s="1540">
        <f t="shared" si="0"/>
        <v>0</v>
      </c>
      <c r="F38" s="1931">
        <f t="shared" si="1"/>
        <v>0</v>
      </c>
      <c r="G38" s="1792">
        <f t="shared" si="2"/>
        <v>0</v>
      </c>
    </row>
    <row r="39" spans="1:7" hidden="1" x14ac:dyDescent="0.25">
      <c r="A39" s="1652"/>
      <c r="B39" s="1934"/>
      <c r="C39" s="1653"/>
      <c r="D39" s="1843"/>
      <c r="E39" s="1540">
        <f t="shared" si="0"/>
        <v>0</v>
      </c>
      <c r="F39" s="1931">
        <f t="shared" si="1"/>
        <v>0</v>
      </c>
      <c r="G39" s="1792">
        <f t="shared" si="2"/>
        <v>0</v>
      </c>
    </row>
    <row r="40" spans="1:7" hidden="1" x14ac:dyDescent="0.25">
      <c r="A40" s="1652"/>
      <c r="B40" s="1934"/>
      <c r="C40" s="1653"/>
      <c r="D40" s="1843"/>
      <c r="E40" s="1540">
        <f t="shared" si="0"/>
        <v>0</v>
      </c>
      <c r="F40" s="1931">
        <f t="shared" si="1"/>
        <v>0</v>
      </c>
      <c r="G40" s="1792">
        <f t="shared" si="2"/>
        <v>0</v>
      </c>
    </row>
    <row r="41" spans="1:7" hidden="1" x14ac:dyDescent="0.25">
      <c r="A41" s="1652"/>
      <c r="B41" s="1934"/>
      <c r="C41" s="1653"/>
      <c r="D41" s="1843"/>
      <c r="E41" s="1540">
        <f t="shared" si="0"/>
        <v>0</v>
      </c>
      <c r="F41" s="1931">
        <f t="shared" si="1"/>
        <v>0</v>
      </c>
      <c r="G41" s="1792">
        <f t="shared" si="2"/>
        <v>0</v>
      </c>
    </row>
    <row r="42" spans="1:7" hidden="1" x14ac:dyDescent="0.25">
      <c r="A42" s="1652"/>
      <c r="B42" s="1934"/>
      <c r="C42" s="1653"/>
      <c r="D42" s="1843"/>
      <c r="E42" s="1540">
        <f t="shared" si="0"/>
        <v>0</v>
      </c>
      <c r="F42" s="1931">
        <f t="shared" si="1"/>
        <v>0</v>
      </c>
      <c r="G42" s="1792">
        <f t="shared" si="2"/>
        <v>0</v>
      </c>
    </row>
    <row r="43" spans="1:7" hidden="1" x14ac:dyDescent="0.25">
      <c r="A43" s="1652"/>
      <c r="B43" s="1934"/>
      <c r="C43" s="1653"/>
      <c r="D43" s="1843"/>
      <c r="E43" s="1540">
        <f t="shared" si="0"/>
        <v>0</v>
      </c>
      <c r="F43" s="1931">
        <f t="shared" si="1"/>
        <v>0</v>
      </c>
      <c r="G43" s="1792">
        <f t="shared" si="2"/>
        <v>0</v>
      </c>
    </row>
    <row r="44" spans="1:7" hidden="1" x14ac:dyDescent="0.25">
      <c r="A44" s="1652"/>
      <c r="B44" s="1934"/>
      <c r="C44" s="1653"/>
      <c r="D44" s="1843"/>
      <c r="E44" s="1540">
        <f t="shared" si="0"/>
        <v>0</v>
      </c>
      <c r="F44" s="1931">
        <f t="shared" si="1"/>
        <v>0</v>
      </c>
      <c r="G44" s="1792">
        <f t="shared" si="2"/>
        <v>0</v>
      </c>
    </row>
    <row r="45" spans="1:7" hidden="1" x14ac:dyDescent="0.25">
      <c r="A45" s="1652"/>
      <c r="B45" s="1666"/>
      <c r="C45" s="1653"/>
      <c r="D45" s="1843"/>
      <c r="E45" s="1540">
        <f t="shared" si="0"/>
        <v>0</v>
      </c>
      <c r="F45" s="1931">
        <f t="shared" si="1"/>
        <v>0</v>
      </c>
      <c r="G45" s="1792">
        <f t="shared" si="2"/>
        <v>0</v>
      </c>
    </row>
    <row r="46" spans="1:7" hidden="1" x14ac:dyDescent="0.25">
      <c r="A46" s="1652"/>
      <c r="B46" s="1666"/>
      <c r="C46" s="1653"/>
      <c r="D46" s="1843"/>
      <c r="E46" s="1540">
        <f t="shared" si="0"/>
        <v>0</v>
      </c>
      <c r="F46" s="1931">
        <f t="shared" si="1"/>
        <v>0</v>
      </c>
      <c r="G46" s="1792">
        <f t="shared" si="2"/>
        <v>0</v>
      </c>
    </row>
    <row r="47" spans="1:7" hidden="1" x14ac:dyDescent="0.25">
      <c r="A47" s="1652"/>
      <c r="B47" s="1666"/>
      <c r="C47" s="1653"/>
      <c r="D47" s="1843"/>
      <c r="E47" s="1540">
        <f t="shared" si="0"/>
        <v>0</v>
      </c>
      <c r="F47" s="1931">
        <f t="shared" si="1"/>
        <v>0</v>
      </c>
      <c r="G47" s="1792">
        <f t="shared" si="2"/>
        <v>0</v>
      </c>
    </row>
    <row r="48" spans="1:7" hidden="1" x14ac:dyDescent="0.25">
      <c r="A48" s="1652"/>
      <c r="B48" s="1666"/>
      <c r="C48" s="1653"/>
      <c r="D48" s="1843"/>
      <c r="E48" s="1540">
        <f t="shared" si="0"/>
        <v>0</v>
      </c>
      <c r="F48" s="1931">
        <f t="shared" si="1"/>
        <v>0</v>
      </c>
      <c r="G48" s="1792">
        <f t="shared" si="2"/>
        <v>0</v>
      </c>
    </row>
    <row r="49" spans="1:7" hidden="1" x14ac:dyDescent="0.25">
      <c r="A49" s="1652"/>
      <c r="B49" s="1666"/>
      <c r="C49" s="1653"/>
      <c r="D49" s="1843"/>
      <c r="E49" s="1540">
        <f t="shared" si="0"/>
        <v>0</v>
      </c>
      <c r="F49" s="1931">
        <f t="shared" si="1"/>
        <v>0</v>
      </c>
      <c r="G49" s="1792">
        <f t="shared" si="2"/>
        <v>0</v>
      </c>
    </row>
    <row r="50" spans="1:7" hidden="1" x14ac:dyDescent="0.25">
      <c r="A50" s="1652"/>
      <c r="B50" s="1666"/>
      <c r="C50" s="1653"/>
      <c r="D50" s="1843"/>
      <c r="E50" s="1540">
        <f t="shared" si="0"/>
        <v>0</v>
      </c>
      <c r="F50" s="1931">
        <f t="shared" si="1"/>
        <v>0</v>
      </c>
      <c r="G50" s="1792">
        <f t="shared" si="2"/>
        <v>0</v>
      </c>
    </row>
    <row r="51" spans="1:7" hidden="1" x14ac:dyDescent="0.25">
      <c r="A51" s="1652"/>
      <c r="B51" s="1666"/>
      <c r="C51" s="1653"/>
      <c r="D51" s="1843"/>
      <c r="E51" s="1540">
        <f t="shared" si="0"/>
        <v>0</v>
      </c>
      <c r="F51" s="1931">
        <f t="shared" si="1"/>
        <v>0</v>
      </c>
      <c r="G51" s="1792">
        <f t="shared" si="2"/>
        <v>0</v>
      </c>
    </row>
    <row r="52" spans="1:7" hidden="1" x14ac:dyDescent="0.25">
      <c r="A52" s="1652"/>
      <c r="B52" s="1666"/>
      <c r="C52" s="1653"/>
      <c r="D52" s="1843"/>
      <c r="E52" s="1540">
        <f t="shared" si="0"/>
        <v>0</v>
      </c>
      <c r="F52" s="1931">
        <f t="shared" si="1"/>
        <v>0</v>
      </c>
      <c r="G52" s="1792">
        <f t="shared" si="2"/>
        <v>0</v>
      </c>
    </row>
    <row r="53" spans="1:7" hidden="1" x14ac:dyDescent="0.25">
      <c r="A53" s="1652"/>
      <c r="B53" s="1666"/>
      <c r="C53" s="1653"/>
      <c r="D53" s="1843"/>
      <c r="E53" s="1540">
        <f t="shared" si="0"/>
        <v>0</v>
      </c>
      <c r="F53" s="1931">
        <f t="shared" si="1"/>
        <v>0</v>
      </c>
      <c r="G53" s="1792">
        <f t="shared" si="2"/>
        <v>0</v>
      </c>
    </row>
    <row r="54" spans="1:7" hidden="1" x14ac:dyDescent="0.25">
      <c r="A54" s="1652"/>
      <c r="B54" s="1666"/>
      <c r="C54" s="1653"/>
      <c r="D54" s="1843"/>
      <c r="E54" s="1540">
        <f t="shared" si="0"/>
        <v>0</v>
      </c>
      <c r="F54" s="1931">
        <f t="shared" si="1"/>
        <v>0</v>
      </c>
      <c r="G54" s="1792">
        <f t="shared" si="2"/>
        <v>0</v>
      </c>
    </row>
    <row r="55" spans="1:7" hidden="1" x14ac:dyDescent="0.25">
      <c r="A55" s="1652"/>
      <c r="B55" s="1666"/>
      <c r="C55" s="1653"/>
      <c r="D55" s="1843"/>
      <c r="E55" s="1540">
        <f t="shared" si="0"/>
        <v>0</v>
      </c>
      <c r="F55" s="1931">
        <f t="shared" si="1"/>
        <v>0</v>
      </c>
      <c r="G55" s="1792">
        <f t="shared" si="2"/>
        <v>0</v>
      </c>
    </row>
    <row r="56" spans="1:7" hidden="1" x14ac:dyDescent="0.25">
      <c r="A56" s="1652"/>
      <c r="B56" s="1666"/>
      <c r="C56" s="1653"/>
      <c r="D56" s="1843"/>
      <c r="E56" s="1540">
        <f t="shared" si="0"/>
        <v>0</v>
      </c>
      <c r="F56" s="1931">
        <f t="shared" si="1"/>
        <v>0</v>
      </c>
      <c r="G56" s="1792">
        <f t="shared" si="2"/>
        <v>0</v>
      </c>
    </row>
    <row r="57" spans="1:7" hidden="1" x14ac:dyDescent="0.25">
      <c r="A57" s="1652"/>
      <c r="B57" s="1666"/>
      <c r="C57" s="1653"/>
      <c r="D57" s="1843"/>
      <c r="E57" s="1540">
        <f t="shared" si="0"/>
        <v>0</v>
      </c>
      <c r="F57" s="1931">
        <f t="shared" si="1"/>
        <v>0</v>
      </c>
      <c r="G57" s="1792">
        <f t="shared" si="2"/>
        <v>0</v>
      </c>
    </row>
    <row r="58" spans="1:7" hidden="1" x14ac:dyDescent="0.25">
      <c r="A58" s="1652"/>
      <c r="B58" s="1666"/>
      <c r="C58" s="1653"/>
      <c r="D58" s="1843"/>
      <c r="E58" s="1540">
        <f t="shared" si="0"/>
        <v>0</v>
      </c>
      <c r="F58" s="1931">
        <f t="shared" si="1"/>
        <v>0</v>
      </c>
      <c r="G58" s="1792">
        <f t="shared" si="2"/>
        <v>0</v>
      </c>
    </row>
    <row r="59" spans="1:7" hidden="1" x14ac:dyDescent="0.25">
      <c r="A59" s="1652"/>
      <c r="B59" s="1666"/>
      <c r="C59" s="1653"/>
      <c r="D59" s="1843"/>
      <c r="E59" s="1540">
        <f t="shared" si="0"/>
        <v>0</v>
      </c>
      <c r="F59" s="1931">
        <f t="shared" si="1"/>
        <v>0</v>
      </c>
      <c r="G59" s="1792">
        <f t="shared" si="2"/>
        <v>0</v>
      </c>
    </row>
    <row r="60" spans="1:7" hidden="1" x14ac:dyDescent="0.25">
      <c r="A60" s="1652"/>
      <c r="B60" s="1666"/>
      <c r="C60" s="1653"/>
      <c r="D60" s="1843"/>
      <c r="E60" s="1540">
        <f t="shared" si="0"/>
        <v>0</v>
      </c>
      <c r="F60" s="1931">
        <f t="shared" si="1"/>
        <v>0</v>
      </c>
      <c r="G60" s="1792">
        <f t="shared" si="2"/>
        <v>0</v>
      </c>
    </row>
    <row r="61" spans="1:7" hidden="1" x14ac:dyDescent="0.25">
      <c r="A61" s="1652"/>
      <c r="B61" s="1666"/>
      <c r="C61" s="1653"/>
      <c r="D61" s="1843"/>
      <c r="E61" s="1540">
        <f t="shared" si="0"/>
        <v>0</v>
      </c>
      <c r="F61" s="1931">
        <f t="shared" si="1"/>
        <v>0</v>
      </c>
      <c r="G61" s="1792">
        <f t="shared" si="2"/>
        <v>0</v>
      </c>
    </row>
    <row r="62" spans="1:7" hidden="1" x14ac:dyDescent="0.25">
      <c r="A62" s="1652"/>
      <c r="B62" s="1666"/>
      <c r="C62" s="1653"/>
      <c r="D62" s="1843"/>
      <c r="E62" s="1540">
        <f t="shared" si="0"/>
        <v>0</v>
      </c>
      <c r="F62" s="1931">
        <f t="shared" si="1"/>
        <v>0</v>
      </c>
      <c r="G62" s="1792">
        <f t="shared" si="2"/>
        <v>0</v>
      </c>
    </row>
    <row r="63" spans="1:7" hidden="1" x14ac:dyDescent="0.25">
      <c r="A63" s="1654"/>
      <c r="B63" s="1666"/>
      <c r="C63" s="1655"/>
      <c r="D63" s="1843"/>
      <c r="E63" s="1540">
        <f t="shared" si="0"/>
        <v>0</v>
      </c>
      <c r="F63" s="1931">
        <f t="shared" si="1"/>
        <v>0</v>
      </c>
      <c r="G63" s="1792">
        <f t="shared" si="2"/>
        <v>0</v>
      </c>
    </row>
    <row r="64" spans="1:7" hidden="1" x14ac:dyDescent="0.25">
      <c r="A64" s="1652"/>
      <c r="B64" s="1666"/>
      <c r="C64" s="1653"/>
      <c r="D64" s="1843"/>
      <c r="E64" s="1540">
        <f t="shared" si="0"/>
        <v>0</v>
      </c>
      <c r="F64" s="1931">
        <f t="shared" si="1"/>
        <v>0</v>
      </c>
      <c r="G64" s="1792">
        <f t="shared" si="2"/>
        <v>0</v>
      </c>
    </row>
    <row r="65" spans="1:7" hidden="1" x14ac:dyDescent="0.25">
      <c r="A65" s="1652"/>
      <c r="B65" s="1666"/>
      <c r="C65" s="1653"/>
      <c r="D65" s="1843"/>
      <c r="E65" s="1540">
        <f t="shared" si="0"/>
        <v>0</v>
      </c>
      <c r="F65" s="1931">
        <f t="shared" si="1"/>
        <v>0</v>
      </c>
      <c r="G65" s="1792">
        <f t="shared" si="2"/>
        <v>0</v>
      </c>
    </row>
    <row r="66" spans="1:7" hidden="1" x14ac:dyDescent="0.25">
      <c r="A66" s="1652"/>
      <c r="B66" s="1666"/>
      <c r="C66" s="1653"/>
      <c r="D66" s="1843"/>
      <c r="E66" s="1540">
        <f t="shared" si="0"/>
        <v>0</v>
      </c>
      <c r="F66" s="1931">
        <f t="shared" si="1"/>
        <v>0</v>
      </c>
      <c r="G66" s="1792">
        <f t="shared" si="2"/>
        <v>0</v>
      </c>
    </row>
    <row r="67" spans="1:7" hidden="1" x14ac:dyDescent="0.25">
      <c r="A67" s="1652"/>
      <c r="B67" s="1666"/>
      <c r="C67" s="1653"/>
      <c r="D67" s="1843"/>
      <c r="E67" s="1540">
        <f t="shared" si="0"/>
        <v>0</v>
      </c>
      <c r="F67" s="1931">
        <f t="shared" si="1"/>
        <v>0</v>
      </c>
      <c r="G67" s="1792">
        <f t="shared" si="2"/>
        <v>0</v>
      </c>
    </row>
    <row r="68" spans="1:7" hidden="1" x14ac:dyDescent="0.25">
      <c r="A68" s="1652"/>
      <c r="B68" s="1666"/>
      <c r="C68" s="1653"/>
      <c r="D68" s="1843"/>
      <c r="E68" s="1540">
        <f t="shared" si="0"/>
        <v>0</v>
      </c>
      <c r="F68" s="1931">
        <f t="shared" si="1"/>
        <v>0</v>
      </c>
      <c r="G68" s="1792">
        <f t="shared" si="2"/>
        <v>0</v>
      </c>
    </row>
    <row r="69" spans="1:7" hidden="1" x14ac:dyDescent="0.25">
      <c r="A69" s="1652"/>
      <c r="B69" s="1666"/>
      <c r="C69" s="1653"/>
      <c r="D69" s="1843"/>
      <c r="E69" s="1540">
        <f t="shared" si="0"/>
        <v>0</v>
      </c>
      <c r="F69" s="1931">
        <f t="shared" si="1"/>
        <v>0</v>
      </c>
      <c r="G69" s="1792">
        <f t="shared" si="2"/>
        <v>0</v>
      </c>
    </row>
    <row r="70" spans="1:7" hidden="1" x14ac:dyDescent="0.25">
      <c r="A70" s="1652"/>
      <c r="B70" s="1666"/>
      <c r="C70" s="1653"/>
      <c r="D70" s="1843"/>
      <c r="E70" s="1540">
        <f t="shared" si="0"/>
        <v>0</v>
      </c>
      <c r="F70" s="1931">
        <f t="shared" si="1"/>
        <v>0</v>
      </c>
      <c r="G70" s="1792">
        <f t="shared" si="2"/>
        <v>0</v>
      </c>
    </row>
    <row r="71" spans="1:7" hidden="1" x14ac:dyDescent="0.25">
      <c r="A71" s="1652"/>
      <c r="B71" s="1666"/>
      <c r="C71" s="1653"/>
      <c r="D71" s="1843"/>
      <c r="E71" s="1540">
        <f t="shared" si="0"/>
        <v>0</v>
      </c>
      <c r="F71" s="1931">
        <f t="shared" si="1"/>
        <v>0</v>
      </c>
      <c r="G71" s="1792">
        <f t="shared" si="2"/>
        <v>0</v>
      </c>
    </row>
    <row r="72" spans="1:7" hidden="1" x14ac:dyDescent="0.25">
      <c r="A72" s="1652"/>
      <c r="B72" s="1666"/>
      <c r="C72" s="1653"/>
      <c r="D72" s="1843"/>
      <c r="E72" s="1540">
        <f t="shared" ref="E72:E83" si="3">IF(D72&lt;=25000,D72,IF(D72&gt;25000,25000,0))</f>
        <v>0</v>
      </c>
      <c r="F72" s="1931">
        <f t="shared" si="1"/>
        <v>0</v>
      </c>
      <c r="G72" s="1792">
        <f t="shared" ref="G72:G83" si="4">IF(F72=0,0,D72-F72)</f>
        <v>0</v>
      </c>
    </row>
    <row r="73" spans="1:7" hidden="1" x14ac:dyDescent="0.25">
      <c r="A73" s="1652"/>
      <c r="B73" s="1666"/>
      <c r="C73" s="1653"/>
      <c r="D73" s="1843"/>
      <c r="E73" s="1540">
        <f t="shared" si="3"/>
        <v>0</v>
      </c>
      <c r="F73" s="1931">
        <f t="shared" si="1"/>
        <v>0</v>
      </c>
      <c r="G73" s="1792">
        <f t="shared" si="4"/>
        <v>0</v>
      </c>
    </row>
    <row r="74" spans="1:7" hidden="1" x14ac:dyDescent="0.25">
      <c r="A74" s="1652"/>
      <c r="B74" s="1666"/>
      <c r="C74" s="1653"/>
      <c r="D74" s="1843"/>
      <c r="E74" s="1540">
        <f t="shared" si="3"/>
        <v>0</v>
      </c>
      <c r="F74" s="1931">
        <f t="shared" si="1"/>
        <v>0</v>
      </c>
      <c r="G74" s="1792">
        <f t="shared" si="4"/>
        <v>0</v>
      </c>
    </row>
    <row r="75" spans="1:7" hidden="1" x14ac:dyDescent="0.25">
      <c r="A75" s="1652"/>
      <c r="B75" s="1666"/>
      <c r="C75" s="1653"/>
      <c r="D75" s="1843"/>
      <c r="E75" s="1540">
        <f t="shared" si="3"/>
        <v>0</v>
      </c>
      <c r="F75" s="1931">
        <f t="shared" si="1"/>
        <v>0</v>
      </c>
      <c r="G75" s="1792">
        <f t="shared" si="4"/>
        <v>0</v>
      </c>
    </row>
    <row r="76" spans="1:7" hidden="1" x14ac:dyDescent="0.25">
      <c r="A76" s="1652"/>
      <c r="B76" s="1666"/>
      <c r="C76" s="1653"/>
      <c r="D76" s="1843"/>
      <c r="E76" s="1540">
        <f t="shared" si="3"/>
        <v>0</v>
      </c>
      <c r="F76" s="1931">
        <f t="shared" si="1"/>
        <v>0</v>
      </c>
      <c r="G76" s="1792">
        <f t="shared" si="4"/>
        <v>0</v>
      </c>
    </row>
    <row r="77" spans="1:7" hidden="1" x14ac:dyDescent="0.25">
      <c r="A77" s="1652"/>
      <c r="B77" s="1666"/>
      <c r="C77" s="1653"/>
      <c r="D77" s="1843"/>
      <c r="E77" s="1540">
        <f t="shared" si="3"/>
        <v>0</v>
      </c>
      <c r="F77" s="1931">
        <f t="shared" si="1"/>
        <v>0</v>
      </c>
      <c r="G77" s="1792">
        <f t="shared" si="4"/>
        <v>0</v>
      </c>
    </row>
    <row r="78" spans="1:7" hidden="1" x14ac:dyDescent="0.25">
      <c r="A78" s="1652"/>
      <c r="B78" s="1666"/>
      <c r="C78" s="1653"/>
      <c r="D78" s="1843"/>
      <c r="E78" s="1540">
        <f t="shared" si="3"/>
        <v>0</v>
      </c>
      <c r="F78" s="1931">
        <f t="shared" si="1"/>
        <v>0</v>
      </c>
      <c r="G78" s="1792">
        <f t="shared" si="4"/>
        <v>0</v>
      </c>
    </row>
    <row r="79" spans="1:7" hidden="1" x14ac:dyDescent="0.25">
      <c r="A79" s="1652"/>
      <c r="B79" s="1666"/>
      <c r="C79" s="1653"/>
      <c r="D79" s="1843"/>
      <c r="E79" s="1540">
        <f t="shared" si="3"/>
        <v>0</v>
      </c>
      <c r="F79" s="1931">
        <f t="shared" si="1"/>
        <v>0</v>
      </c>
      <c r="G79" s="1792">
        <f t="shared" si="4"/>
        <v>0</v>
      </c>
    </row>
    <row r="80" spans="1:7" hidden="1" x14ac:dyDescent="0.25">
      <c r="A80" s="1652"/>
      <c r="B80" s="1666"/>
      <c r="C80" s="1653"/>
      <c r="D80" s="1843"/>
      <c r="E80" s="1540">
        <f t="shared" si="3"/>
        <v>0</v>
      </c>
      <c r="F80" s="1931">
        <f t="shared" ref="F80:F139" si="5">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80,0)</f>
        <v>0</v>
      </c>
      <c r="G80" s="1792">
        <f t="shared" si="4"/>
        <v>0</v>
      </c>
    </row>
    <row r="81" spans="1:7" hidden="1" x14ac:dyDescent="0.25">
      <c r="A81" s="1652"/>
      <c r="B81" s="1666"/>
      <c r="C81" s="1653"/>
      <c r="D81" s="1843"/>
      <c r="E81" s="1540">
        <f t="shared" si="3"/>
        <v>0</v>
      </c>
      <c r="F81" s="1931">
        <f t="shared" si="5"/>
        <v>0</v>
      </c>
      <c r="G81" s="1792">
        <f t="shared" si="4"/>
        <v>0</v>
      </c>
    </row>
    <row r="82" spans="1:7" hidden="1" x14ac:dyDescent="0.25">
      <c r="A82" s="1652"/>
      <c r="B82" s="1666"/>
      <c r="C82" s="1653"/>
      <c r="D82" s="1843"/>
      <c r="E82" s="1540">
        <f t="shared" si="3"/>
        <v>0</v>
      </c>
      <c r="F82" s="1931">
        <f t="shared" si="5"/>
        <v>0</v>
      </c>
      <c r="G82" s="1792">
        <f t="shared" si="4"/>
        <v>0</v>
      </c>
    </row>
    <row r="83" spans="1:7" hidden="1" x14ac:dyDescent="0.25">
      <c r="A83" s="1652"/>
      <c r="B83" s="1666"/>
      <c r="C83" s="1653"/>
      <c r="D83" s="1843"/>
      <c r="E83" s="1540">
        <f t="shared" si="3"/>
        <v>0</v>
      </c>
      <c r="F83" s="1931">
        <f t="shared" si="5"/>
        <v>0</v>
      </c>
      <c r="G83" s="1792">
        <f t="shared" si="4"/>
        <v>0</v>
      </c>
    </row>
    <row r="84" spans="1:7" hidden="1" x14ac:dyDescent="0.25">
      <c r="A84" s="1652"/>
      <c r="B84" s="1666"/>
      <c r="C84" s="1653"/>
      <c r="D84" s="1843"/>
      <c r="E84" s="1540">
        <f t="shared" si="0"/>
        <v>0</v>
      </c>
      <c r="F84" s="1931">
        <f t="shared" si="5"/>
        <v>0</v>
      </c>
      <c r="G84" s="1792">
        <f t="shared" si="2"/>
        <v>0</v>
      </c>
    </row>
    <row r="85" spans="1:7" hidden="1" x14ac:dyDescent="0.25">
      <c r="A85" s="1652"/>
      <c r="B85" s="1666"/>
      <c r="C85" s="1653"/>
      <c r="D85" s="1843"/>
      <c r="E85" s="1540">
        <f t="shared" si="0"/>
        <v>0</v>
      </c>
      <c r="F85" s="1931">
        <f t="shared" si="5"/>
        <v>0</v>
      </c>
      <c r="G85" s="1792">
        <f t="shared" si="2"/>
        <v>0</v>
      </c>
    </row>
    <row r="86" spans="1:7" hidden="1" x14ac:dyDescent="0.25">
      <c r="A86" s="1652"/>
      <c r="B86" s="1666"/>
      <c r="C86" s="1653"/>
      <c r="D86" s="1843"/>
      <c r="E86" s="1540">
        <f t="shared" si="0"/>
        <v>0</v>
      </c>
      <c r="F86" s="1931">
        <f t="shared" si="5"/>
        <v>0</v>
      </c>
      <c r="G86" s="1792">
        <f t="shared" si="2"/>
        <v>0</v>
      </c>
    </row>
    <row r="87" spans="1:7" hidden="1" x14ac:dyDescent="0.25">
      <c r="A87" s="1652"/>
      <c r="B87" s="1666"/>
      <c r="C87" s="1653"/>
      <c r="D87" s="1843"/>
      <c r="E87" s="1540">
        <f t="shared" si="0"/>
        <v>0</v>
      </c>
      <c r="F87" s="1931">
        <f t="shared" si="5"/>
        <v>0</v>
      </c>
      <c r="G87" s="1792">
        <f t="shared" si="2"/>
        <v>0</v>
      </c>
    </row>
    <row r="88" spans="1:7" hidden="1" x14ac:dyDescent="0.25">
      <c r="A88" s="1652"/>
      <c r="B88" s="1666"/>
      <c r="C88" s="1653"/>
      <c r="D88" s="1843"/>
      <c r="E88" s="1540">
        <f t="shared" si="0"/>
        <v>0</v>
      </c>
      <c r="F88" s="1931">
        <f t="shared" si="5"/>
        <v>0</v>
      </c>
      <c r="G88" s="1792">
        <f t="shared" si="2"/>
        <v>0</v>
      </c>
    </row>
    <row r="89" spans="1:7" hidden="1" x14ac:dyDescent="0.25">
      <c r="A89" s="1652"/>
      <c r="B89" s="1666"/>
      <c r="C89" s="1653"/>
      <c r="D89" s="1843"/>
      <c r="E89" s="1540">
        <f t="shared" si="0"/>
        <v>0</v>
      </c>
      <c r="F89" s="1931">
        <f t="shared" si="5"/>
        <v>0</v>
      </c>
      <c r="G89" s="1792">
        <f t="shared" si="2"/>
        <v>0</v>
      </c>
    </row>
    <row r="90" spans="1:7" hidden="1" x14ac:dyDescent="0.25">
      <c r="A90" s="1652"/>
      <c r="B90" s="1666"/>
      <c r="C90" s="1653"/>
      <c r="D90" s="1843"/>
      <c r="E90" s="1540">
        <f t="shared" si="0"/>
        <v>0</v>
      </c>
      <c r="F90" s="1931">
        <f t="shared" si="5"/>
        <v>0</v>
      </c>
      <c r="G90" s="1792">
        <f t="shared" si="2"/>
        <v>0</v>
      </c>
    </row>
    <row r="91" spans="1:7" hidden="1" x14ac:dyDescent="0.25">
      <c r="A91" s="1652"/>
      <c r="B91" s="1666"/>
      <c r="C91" s="1653"/>
      <c r="D91" s="1843"/>
      <c r="E91" s="1540">
        <f t="shared" si="0"/>
        <v>0</v>
      </c>
      <c r="F91" s="1931">
        <f t="shared" si="5"/>
        <v>0</v>
      </c>
      <c r="G91" s="1792">
        <f t="shared" si="2"/>
        <v>0</v>
      </c>
    </row>
    <row r="92" spans="1:7" hidden="1" x14ac:dyDescent="0.25">
      <c r="A92" s="1652"/>
      <c r="B92" s="1666"/>
      <c r="C92" s="1653"/>
      <c r="D92" s="1843"/>
      <c r="E92" s="1540">
        <f t="shared" ref="E92" si="6">IF(D92&lt;=25000,D92,IF(D92&gt;25000,25000,0))</f>
        <v>0</v>
      </c>
      <c r="F92" s="1931">
        <f t="shared" si="5"/>
        <v>0</v>
      </c>
      <c r="G92" s="1792">
        <f t="shared" ref="G92" si="7">IF(F92=0,0,D92-F92)</f>
        <v>0</v>
      </c>
    </row>
    <row r="93" spans="1:7" hidden="1" x14ac:dyDescent="0.25">
      <c r="A93" s="1652"/>
      <c r="B93" s="1666"/>
      <c r="C93" s="1653"/>
      <c r="D93" s="1843"/>
      <c r="E93" s="1540">
        <f t="shared" si="0"/>
        <v>0</v>
      </c>
      <c r="F93" s="1931">
        <f t="shared" si="5"/>
        <v>0</v>
      </c>
      <c r="G93" s="1792">
        <f t="shared" si="2"/>
        <v>0</v>
      </c>
    </row>
    <row r="94" spans="1:7" hidden="1" x14ac:dyDescent="0.25">
      <c r="A94" s="1652"/>
      <c r="B94" s="1666"/>
      <c r="C94" s="1653"/>
      <c r="D94" s="1843"/>
      <c r="E94" s="1540">
        <f t="shared" ref="E94:E97" si="8">IF(D94&lt;=25000,D94,IF(D94&gt;25000,25000,0))</f>
        <v>0</v>
      </c>
      <c r="F94" s="1931">
        <f t="shared" si="5"/>
        <v>0</v>
      </c>
      <c r="G94" s="1792">
        <f t="shared" ref="G94:G97" si="9">IF(F94=0,0,D94-F94)</f>
        <v>0</v>
      </c>
    </row>
    <row r="95" spans="1:7" hidden="1" x14ac:dyDescent="0.25">
      <c r="A95" s="1652"/>
      <c r="B95" s="1666"/>
      <c r="C95" s="1653"/>
      <c r="D95" s="1843"/>
      <c r="E95" s="1540">
        <f t="shared" si="8"/>
        <v>0</v>
      </c>
      <c r="F95" s="1931">
        <f t="shared" si="5"/>
        <v>0</v>
      </c>
      <c r="G95" s="1792">
        <f t="shared" si="9"/>
        <v>0</v>
      </c>
    </row>
    <row r="96" spans="1:7" hidden="1" x14ac:dyDescent="0.25">
      <c r="A96" s="1652"/>
      <c r="B96" s="1666"/>
      <c r="C96" s="1653"/>
      <c r="D96" s="1843"/>
      <c r="E96" s="1540">
        <f t="shared" si="8"/>
        <v>0</v>
      </c>
      <c r="F96" s="1931">
        <f t="shared" si="5"/>
        <v>0</v>
      </c>
      <c r="G96" s="1792">
        <f t="shared" si="9"/>
        <v>0</v>
      </c>
    </row>
    <row r="97" spans="1:7" hidden="1" x14ac:dyDescent="0.25">
      <c r="A97" s="1652"/>
      <c r="B97" s="1666"/>
      <c r="C97" s="1653"/>
      <c r="D97" s="1843"/>
      <c r="E97" s="1540">
        <f t="shared" si="8"/>
        <v>0</v>
      </c>
      <c r="F97" s="1931">
        <f t="shared" si="5"/>
        <v>0</v>
      </c>
      <c r="G97" s="1792">
        <f t="shared" si="9"/>
        <v>0</v>
      </c>
    </row>
    <row r="98" spans="1:7" hidden="1" x14ac:dyDescent="0.25">
      <c r="A98" s="1652"/>
      <c r="B98" s="1666"/>
      <c r="C98" s="1653"/>
      <c r="D98" s="1843"/>
      <c r="E98" s="1540">
        <f t="shared" ref="E98" si="10">IF(D98&lt;=25000,D98,IF(D98&gt;25000,25000,0))</f>
        <v>0</v>
      </c>
      <c r="F98" s="1931">
        <f t="shared" si="5"/>
        <v>0</v>
      </c>
      <c r="G98" s="1792">
        <f t="shared" ref="G98" si="11">IF(F98=0,0,D98-F98)</f>
        <v>0</v>
      </c>
    </row>
    <row r="99" spans="1:7" hidden="1" x14ac:dyDescent="0.25">
      <c r="A99" s="1652"/>
      <c r="B99" s="1666"/>
      <c r="C99" s="1653"/>
      <c r="D99" s="1843"/>
      <c r="E99" s="1540">
        <f t="shared" ref="E99:E111" si="12">IF(D99&lt;=25000,D99,IF(D99&gt;25000,25000,0))</f>
        <v>0</v>
      </c>
      <c r="F99" s="1931">
        <f t="shared" si="5"/>
        <v>0</v>
      </c>
      <c r="G99" s="1792">
        <f t="shared" ref="G99:G111" si="13">IF(F99=0,0,D99-F99)</f>
        <v>0</v>
      </c>
    </row>
    <row r="100" spans="1:7" hidden="1" x14ac:dyDescent="0.25">
      <c r="A100" s="1652"/>
      <c r="B100" s="1666"/>
      <c r="C100" s="1653"/>
      <c r="D100" s="1843"/>
      <c r="E100" s="1540">
        <f t="shared" si="12"/>
        <v>0</v>
      </c>
      <c r="F100" s="1931">
        <f t="shared" si="5"/>
        <v>0</v>
      </c>
      <c r="G100" s="1792">
        <f t="shared" si="13"/>
        <v>0</v>
      </c>
    </row>
    <row r="101" spans="1:7" hidden="1" x14ac:dyDescent="0.25">
      <c r="A101" s="1652"/>
      <c r="B101" s="1666"/>
      <c r="C101" s="1653"/>
      <c r="D101" s="1843"/>
      <c r="E101" s="1540">
        <f t="shared" si="12"/>
        <v>0</v>
      </c>
      <c r="F101" s="1931">
        <f t="shared" si="5"/>
        <v>0</v>
      </c>
      <c r="G101" s="1792">
        <f t="shared" si="13"/>
        <v>0</v>
      </c>
    </row>
    <row r="102" spans="1:7" hidden="1" x14ac:dyDescent="0.25">
      <c r="A102" s="1652"/>
      <c r="B102" s="1666"/>
      <c r="C102" s="1653"/>
      <c r="D102" s="1843"/>
      <c r="E102" s="1540">
        <f t="shared" si="12"/>
        <v>0</v>
      </c>
      <c r="F102" s="1931">
        <f t="shared" si="5"/>
        <v>0</v>
      </c>
      <c r="G102" s="1792">
        <f t="shared" si="13"/>
        <v>0</v>
      </c>
    </row>
    <row r="103" spans="1:7" hidden="1" x14ac:dyDescent="0.25">
      <c r="A103" s="1652"/>
      <c r="B103" s="1666"/>
      <c r="C103" s="1653"/>
      <c r="D103" s="1843"/>
      <c r="E103" s="1540">
        <f t="shared" si="12"/>
        <v>0</v>
      </c>
      <c r="F103" s="1931">
        <f t="shared" si="5"/>
        <v>0</v>
      </c>
      <c r="G103" s="1792">
        <f t="shared" si="13"/>
        <v>0</v>
      </c>
    </row>
    <row r="104" spans="1:7" hidden="1" x14ac:dyDescent="0.25">
      <c r="A104" s="1652"/>
      <c r="B104" s="1666"/>
      <c r="C104" s="1653"/>
      <c r="D104" s="1843"/>
      <c r="E104" s="1540">
        <f t="shared" si="12"/>
        <v>0</v>
      </c>
      <c r="F104" s="1931">
        <f t="shared" si="5"/>
        <v>0</v>
      </c>
      <c r="G104" s="1792">
        <f t="shared" si="13"/>
        <v>0</v>
      </c>
    </row>
    <row r="105" spans="1:7" hidden="1" x14ac:dyDescent="0.25">
      <c r="A105" s="1652"/>
      <c r="B105" s="1666"/>
      <c r="C105" s="1653"/>
      <c r="D105" s="1843"/>
      <c r="E105" s="1540">
        <f t="shared" si="12"/>
        <v>0</v>
      </c>
      <c r="F105" s="1931">
        <f t="shared" si="5"/>
        <v>0</v>
      </c>
      <c r="G105" s="1792">
        <f t="shared" si="13"/>
        <v>0</v>
      </c>
    </row>
    <row r="106" spans="1:7" hidden="1" x14ac:dyDescent="0.25">
      <c r="A106" s="1652"/>
      <c r="B106" s="1666"/>
      <c r="C106" s="1653"/>
      <c r="D106" s="1843"/>
      <c r="E106" s="1540">
        <f t="shared" si="12"/>
        <v>0</v>
      </c>
      <c r="F106" s="1931">
        <f t="shared" si="5"/>
        <v>0</v>
      </c>
      <c r="G106" s="1792">
        <f t="shared" si="13"/>
        <v>0</v>
      </c>
    </row>
    <row r="107" spans="1:7" hidden="1" x14ac:dyDescent="0.25">
      <c r="A107" s="1652"/>
      <c r="B107" s="1666"/>
      <c r="C107" s="1653"/>
      <c r="D107" s="1843"/>
      <c r="E107" s="1540">
        <f t="shared" si="12"/>
        <v>0</v>
      </c>
      <c r="F107" s="1931">
        <f t="shared" si="5"/>
        <v>0</v>
      </c>
      <c r="G107" s="1792">
        <f t="shared" si="13"/>
        <v>0</v>
      </c>
    </row>
    <row r="108" spans="1:7" hidden="1" x14ac:dyDescent="0.25">
      <c r="A108" s="1652"/>
      <c r="B108" s="1666"/>
      <c r="C108" s="1653"/>
      <c r="D108" s="1843"/>
      <c r="E108" s="1540">
        <f t="shared" si="12"/>
        <v>0</v>
      </c>
      <c r="F108" s="1931">
        <f t="shared" si="5"/>
        <v>0</v>
      </c>
      <c r="G108" s="1792">
        <f t="shared" si="13"/>
        <v>0</v>
      </c>
    </row>
    <row r="109" spans="1:7" hidden="1" x14ac:dyDescent="0.25">
      <c r="A109" s="1652"/>
      <c r="B109" s="1666"/>
      <c r="C109" s="1653"/>
      <c r="D109" s="1843"/>
      <c r="E109" s="1540">
        <f t="shared" si="12"/>
        <v>0</v>
      </c>
      <c r="F109" s="1931">
        <f t="shared" si="5"/>
        <v>0</v>
      </c>
      <c r="G109" s="1792">
        <f t="shared" si="13"/>
        <v>0</v>
      </c>
    </row>
    <row r="110" spans="1:7" hidden="1" x14ac:dyDescent="0.25">
      <c r="A110" s="1652"/>
      <c r="B110" s="1666"/>
      <c r="C110" s="1653"/>
      <c r="D110" s="1843"/>
      <c r="E110" s="1540">
        <f t="shared" si="12"/>
        <v>0</v>
      </c>
      <c r="F110" s="1931">
        <f t="shared" si="5"/>
        <v>0</v>
      </c>
      <c r="G110" s="1792">
        <f t="shared" si="13"/>
        <v>0</v>
      </c>
    </row>
    <row r="111" spans="1:7" hidden="1" x14ac:dyDescent="0.25">
      <c r="A111" s="1652"/>
      <c r="B111" s="1666"/>
      <c r="C111" s="1653"/>
      <c r="D111" s="1843"/>
      <c r="E111" s="1540">
        <f t="shared" si="12"/>
        <v>0</v>
      </c>
      <c r="F111" s="1931">
        <f t="shared" si="5"/>
        <v>0</v>
      </c>
      <c r="G111" s="1792">
        <f t="shared" si="13"/>
        <v>0</v>
      </c>
    </row>
    <row r="112" spans="1:7" hidden="1" x14ac:dyDescent="0.25">
      <c r="A112" s="1652"/>
      <c r="B112" s="1666"/>
      <c r="C112" s="1653"/>
      <c r="D112" s="1843"/>
      <c r="E112" s="1540">
        <f t="shared" ref="E112:E124" si="14">IF(D112&lt;=25000,D112,IF(D112&gt;25000,25000,0))</f>
        <v>0</v>
      </c>
      <c r="F112" s="1931">
        <f t="shared" si="5"/>
        <v>0</v>
      </c>
      <c r="G112" s="1792">
        <f t="shared" ref="G112:G124" si="15">IF(F112=0,0,D112-F112)</f>
        <v>0</v>
      </c>
    </row>
    <row r="113" spans="1:7" hidden="1" x14ac:dyDescent="0.25">
      <c r="A113" s="1652"/>
      <c r="B113" s="1666"/>
      <c r="C113" s="1653"/>
      <c r="D113" s="1843"/>
      <c r="E113" s="1540">
        <f t="shared" si="14"/>
        <v>0</v>
      </c>
      <c r="F113" s="1931">
        <f t="shared" si="5"/>
        <v>0</v>
      </c>
      <c r="G113" s="1792">
        <f t="shared" si="15"/>
        <v>0</v>
      </c>
    </row>
    <row r="114" spans="1:7" hidden="1" x14ac:dyDescent="0.25">
      <c r="A114" s="1652"/>
      <c r="B114" s="1666"/>
      <c r="C114" s="1653"/>
      <c r="D114" s="1843"/>
      <c r="E114" s="1540">
        <f t="shared" si="14"/>
        <v>0</v>
      </c>
      <c r="F114" s="1931">
        <f t="shared" si="5"/>
        <v>0</v>
      </c>
      <c r="G114" s="1792">
        <f t="shared" si="15"/>
        <v>0</v>
      </c>
    </row>
    <row r="115" spans="1:7" hidden="1" x14ac:dyDescent="0.25">
      <c r="A115" s="1652"/>
      <c r="B115" s="1666"/>
      <c r="C115" s="1653"/>
      <c r="D115" s="1843"/>
      <c r="E115" s="1540">
        <f t="shared" si="14"/>
        <v>0</v>
      </c>
      <c r="F115" s="1931">
        <f t="shared" si="5"/>
        <v>0</v>
      </c>
      <c r="G115" s="1792">
        <f t="shared" si="15"/>
        <v>0</v>
      </c>
    </row>
    <row r="116" spans="1:7" hidden="1" x14ac:dyDescent="0.25">
      <c r="A116" s="1652"/>
      <c r="B116" s="1666"/>
      <c r="C116" s="1653"/>
      <c r="D116" s="1843"/>
      <c r="E116" s="1540">
        <f t="shared" si="14"/>
        <v>0</v>
      </c>
      <c r="F116" s="1931">
        <f t="shared" si="5"/>
        <v>0</v>
      </c>
      <c r="G116" s="1792">
        <f t="shared" si="15"/>
        <v>0</v>
      </c>
    </row>
    <row r="117" spans="1:7" hidden="1" x14ac:dyDescent="0.25">
      <c r="A117" s="1652"/>
      <c r="B117" s="1666"/>
      <c r="C117" s="1653"/>
      <c r="D117" s="1843"/>
      <c r="E117" s="1540">
        <f t="shared" si="14"/>
        <v>0</v>
      </c>
      <c r="F117" s="1931">
        <f t="shared" si="5"/>
        <v>0</v>
      </c>
      <c r="G117" s="1792">
        <f t="shared" si="15"/>
        <v>0</v>
      </c>
    </row>
    <row r="118" spans="1:7" hidden="1" x14ac:dyDescent="0.25">
      <c r="A118" s="1652"/>
      <c r="B118" s="1666"/>
      <c r="C118" s="1653"/>
      <c r="D118" s="1843"/>
      <c r="E118" s="1540">
        <f t="shared" si="14"/>
        <v>0</v>
      </c>
      <c r="F118" s="1931">
        <f t="shared" si="5"/>
        <v>0</v>
      </c>
      <c r="G118" s="1792">
        <f t="shared" si="15"/>
        <v>0</v>
      </c>
    </row>
    <row r="119" spans="1:7" hidden="1" x14ac:dyDescent="0.25">
      <c r="A119" s="1652"/>
      <c r="B119" s="1666"/>
      <c r="C119" s="1653"/>
      <c r="D119" s="1843"/>
      <c r="E119" s="1540">
        <f t="shared" si="14"/>
        <v>0</v>
      </c>
      <c r="F119" s="1931">
        <f t="shared" si="5"/>
        <v>0</v>
      </c>
      <c r="G119" s="1792">
        <f t="shared" si="15"/>
        <v>0</v>
      </c>
    </row>
    <row r="120" spans="1:7" hidden="1" x14ac:dyDescent="0.25">
      <c r="A120" s="1652"/>
      <c r="B120" s="1666"/>
      <c r="C120" s="1653"/>
      <c r="D120" s="1843"/>
      <c r="E120" s="1540">
        <f t="shared" si="14"/>
        <v>0</v>
      </c>
      <c r="F120" s="1931">
        <f t="shared" si="5"/>
        <v>0</v>
      </c>
      <c r="G120" s="1792">
        <f t="shared" si="15"/>
        <v>0</v>
      </c>
    </row>
    <row r="121" spans="1:7" hidden="1" x14ac:dyDescent="0.25">
      <c r="A121" s="1652"/>
      <c r="B121" s="1666"/>
      <c r="C121" s="1653"/>
      <c r="D121" s="1843"/>
      <c r="E121" s="1540">
        <f t="shared" si="14"/>
        <v>0</v>
      </c>
      <c r="F121" s="1931">
        <f t="shared" si="5"/>
        <v>0</v>
      </c>
      <c r="G121" s="1792">
        <f t="shared" si="15"/>
        <v>0</v>
      </c>
    </row>
    <row r="122" spans="1:7" hidden="1" x14ac:dyDescent="0.25">
      <c r="A122" s="1652"/>
      <c r="B122" s="1666"/>
      <c r="C122" s="1653"/>
      <c r="D122" s="1843"/>
      <c r="E122" s="1540">
        <f t="shared" si="14"/>
        <v>0</v>
      </c>
      <c r="F122" s="1931">
        <f t="shared" si="5"/>
        <v>0</v>
      </c>
      <c r="G122" s="1792">
        <f t="shared" si="15"/>
        <v>0</v>
      </c>
    </row>
    <row r="123" spans="1:7" hidden="1" x14ac:dyDescent="0.25">
      <c r="A123" s="1652"/>
      <c r="B123" s="1666"/>
      <c r="C123" s="1653"/>
      <c r="D123" s="1843"/>
      <c r="E123" s="1540">
        <f t="shared" si="14"/>
        <v>0</v>
      </c>
      <c r="F123" s="1931">
        <f t="shared" si="5"/>
        <v>0</v>
      </c>
      <c r="G123" s="1792">
        <f t="shared" si="15"/>
        <v>0</v>
      </c>
    </row>
    <row r="124" spans="1:7" hidden="1" x14ac:dyDescent="0.25">
      <c r="A124" s="1652"/>
      <c r="B124" s="1666"/>
      <c r="C124" s="1653"/>
      <c r="D124" s="1843"/>
      <c r="E124" s="1540">
        <f t="shared" si="14"/>
        <v>0</v>
      </c>
      <c r="F124" s="1931">
        <f t="shared" si="5"/>
        <v>0</v>
      </c>
      <c r="G124" s="1792">
        <f t="shared" si="15"/>
        <v>0</v>
      </c>
    </row>
    <row r="125" spans="1:7" hidden="1" x14ac:dyDescent="0.25">
      <c r="A125" s="1652"/>
      <c r="B125" s="1666"/>
      <c r="C125" s="1653"/>
      <c r="D125" s="1843"/>
      <c r="E125" s="1540">
        <f t="shared" ref="E125:E133" si="16">IF(D125&lt;=25000,D125,IF(D125&gt;25000,25000,0))</f>
        <v>0</v>
      </c>
      <c r="F125" s="1931">
        <f t="shared" si="5"/>
        <v>0</v>
      </c>
      <c r="G125" s="1792">
        <f t="shared" ref="G125:G133" si="17">IF(F125=0,0,D125-F125)</f>
        <v>0</v>
      </c>
    </row>
    <row r="126" spans="1:7" hidden="1" x14ac:dyDescent="0.25">
      <c r="A126" s="1652"/>
      <c r="B126" s="1666"/>
      <c r="C126" s="1653"/>
      <c r="D126" s="1843"/>
      <c r="E126" s="1540">
        <f t="shared" si="16"/>
        <v>0</v>
      </c>
      <c r="F126" s="1931">
        <f t="shared" si="5"/>
        <v>0</v>
      </c>
      <c r="G126" s="1792">
        <f t="shared" si="17"/>
        <v>0</v>
      </c>
    </row>
    <row r="127" spans="1:7" hidden="1" x14ac:dyDescent="0.25">
      <c r="A127" s="1652"/>
      <c r="B127" s="1666"/>
      <c r="C127" s="1653"/>
      <c r="D127" s="1843"/>
      <c r="E127" s="1540">
        <f t="shared" si="16"/>
        <v>0</v>
      </c>
      <c r="F127" s="1931">
        <f t="shared" si="5"/>
        <v>0</v>
      </c>
      <c r="G127" s="1792">
        <f t="shared" si="17"/>
        <v>0</v>
      </c>
    </row>
    <row r="128" spans="1:7" hidden="1" x14ac:dyDescent="0.25">
      <c r="A128" s="1652"/>
      <c r="B128" s="1666"/>
      <c r="C128" s="1653"/>
      <c r="D128" s="1843"/>
      <c r="E128" s="1540">
        <f t="shared" si="16"/>
        <v>0</v>
      </c>
      <c r="F128" s="1931">
        <f t="shared" si="5"/>
        <v>0</v>
      </c>
      <c r="G128" s="1792">
        <f t="shared" si="17"/>
        <v>0</v>
      </c>
    </row>
    <row r="129" spans="1:7" hidden="1" x14ac:dyDescent="0.25">
      <c r="A129" s="1652"/>
      <c r="B129" s="1666"/>
      <c r="C129" s="1653"/>
      <c r="D129" s="1843"/>
      <c r="E129" s="1540">
        <f t="shared" si="16"/>
        <v>0</v>
      </c>
      <c r="F129" s="1931">
        <f t="shared" si="5"/>
        <v>0</v>
      </c>
      <c r="G129" s="1792">
        <f t="shared" si="17"/>
        <v>0</v>
      </c>
    </row>
    <row r="130" spans="1:7" hidden="1" x14ac:dyDescent="0.25">
      <c r="A130" s="1652"/>
      <c r="B130" s="1836"/>
      <c r="C130" s="1653"/>
      <c r="D130" s="1843"/>
      <c r="E130" s="1540">
        <f t="shared" si="16"/>
        <v>0</v>
      </c>
      <c r="F130" s="1931">
        <f t="shared" si="5"/>
        <v>0</v>
      </c>
      <c r="G130" s="1792">
        <f t="shared" si="17"/>
        <v>0</v>
      </c>
    </row>
    <row r="131" spans="1:7" hidden="1" x14ac:dyDescent="0.25">
      <c r="A131" s="1652"/>
      <c r="B131" s="1836"/>
      <c r="C131" s="1653"/>
      <c r="D131" s="1843"/>
      <c r="E131" s="1540">
        <f t="shared" si="16"/>
        <v>0</v>
      </c>
      <c r="F131" s="1931">
        <f t="shared" si="5"/>
        <v>0</v>
      </c>
      <c r="G131" s="1792">
        <f t="shared" si="17"/>
        <v>0</v>
      </c>
    </row>
    <row r="132" spans="1:7" hidden="1" x14ac:dyDescent="0.25">
      <c r="A132" s="1652"/>
      <c r="B132" s="1666"/>
      <c r="C132" s="1653"/>
      <c r="D132" s="1843"/>
      <c r="E132" s="1540">
        <f t="shared" si="16"/>
        <v>0</v>
      </c>
      <c r="F132" s="1931">
        <f t="shared" si="5"/>
        <v>0</v>
      </c>
      <c r="G132" s="1792">
        <f t="shared" si="17"/>
        <v>0</v>
      </c>
    </row>
    <row r="133" spans="1:7" hidden="1" x14ac:dyDescent="0.25">
      <c r="A133" s="1652"/>
      <c r="B133" s="1666"/>
      <c r="C133" s="1653"/>
      <c r="D133" s="1843"/>
      <c r="E133" s="1540">
        <f t="shared" si="16"/>
        <v>0</v>
      </c>
      <c r="F133" s="1931">
        <f t="shared" si="5"/>
        <v>0</v>
      </c>
      <c r="G133" s="1792">
        <f t="shared" si="17"/>
        <v>0</v>
      </c>
    </row>
    <row r="134" spans="1:7" hidden="1" x14ac:dyDescent="0.25">
      <c r="A134" s="1652"/>
      <c r="B134" s="1666"/>
      <c r="C134" s="1653"/>
      <c r="D134" s="1843"/>
      <c r="E134" s="1540">
        <f t="shared" ref="E134:E138" si="18">IF(D134&lt;=25000,D134,IF(D134&gt;25000,25000,0))</f>
        <v>0</v>
      </c>
      <c r="F134" s="1931">
        <f t="shared" si="5"/>
        <v>0</v>
      </c>
      <c r="G134" s="1792">
        <f t="shared" ref="G134:G138" si="19">IF(F134=0,0,D134-F134)</f>
        <v>0</v>
      </c>
    </row>
    <row r="135" spans="1:7" hidden="1" x14ac:dyDescent="0.25">
      <c r="A135" s="1652"/>
      <c r="B135" s="1666"/>
      <c r="C135" s="1653"/>
      <c r="D135" s="1843"/>
      <c r="E135" s="1540">
        <f t="shared" si="18"/>
        <v>0</v>
      </c>
      <c r="F135" s="1931">
        <f t="shared" si="5"/>
        <v>0</v>
      </c>
      <c r="G135" s="1792">
        <f t="shared" si="19"/>
        <v>0</v>
      </c>
    </row>
    <row r="136" spans="1:7" hidden="1" x14ac:dyDescent="0.25">
      <c r="A136" s="1652"/>
      <c r="B136" s="1666"/>
      <c r="C136" s="1653"/>
      <c r="D136" s="1843"/>
      <c r="E136" s="1540">
        <f t="shared" si="18"/>
        <v>0</v>
      </c>
      <c r="F136" s="1931">
        <f t="shared" si="5"/>
        <v>0</v>
      </c>
      <c r="G136" s="1792">
        <f t="shared" si="19"/>
        <v>0</v>
      </c>
    </row>
    <row r="137" spans="1:7" hidden="1" x14ac:dyDescent="0.25">
      <c r="A137" s="1652"/>
      <c r="B137" s="1666"/>
      <c r="C137" s="1653"/>
      <c r="D137" s="1843"/>
      <c r="E137" s="1540">
        <f t="shared" si="18"/>
        <v>0</v>
      </c>
      <c r="F137" s="1931">
        <f t="shared" si="5"/>
        <v>0</v>
      </c>
      <c r="G137" s="1792">
        <f t="shared" si="19"/>
        <v>0</v>
      </c>
    </row>
    <row r="138" spans="1:7" hidden="1" x14ac:dyDescent="0.25">
      <c r="A138" s="1652"/>
      <c r="B138" s="1666"/>
      <c r="C138" s="1653"/>
      <c r="D138" s="1843"/>
      <c r="E138" s="1540">
        <f t="shared" si="18"/>
        <v>0</v>
      </c>
      <c r="F138" s="1931">
        <f t="shared" si="5"/>
        <v>0</v>
      </c>
      <c r="G138" s="1792">
        <f t="shared" si="19"/>
        <v>0</v>
      </c>
    </row>
    <row r="139" spans="1:7" hidden="1" x14ac:dyDescent="0.25">
      <c r="A139" s="1652"/>
      <c r="B139" s="1665"/>
      <c r="C139" s="1653"/>
      <c r="D139" s="1843"/>
      <c r="E139" s="1540">
        <f t="shared" si="0"/>
        <v>0</v>
      </c>
      <c r="F139" s="1931">
        <f t="shared" si="5"/>
        <v>0</v>
      </c>
      <c r="G139" s="1792">
        <f t="shared" si="2"/>
        <v>0</v>
      </c>
    </row>
    <row r="140" spans="1:7" x14ac:dyDescent="0.25">
      <c r="A140" s="1795" t="s">
        <v>156</v>
      </c>
      <c r="B140" s="1796"/>
      <c r="C140" s="1797"/>
      <c r="D140" s="1793">
        <f>SUM(D17:D139)</f>
        <v>12907</v>
      </c>
      <c r="E140" s="1541">
        <f t="shared" ref="E140" si="20">IF(D140&lt;=25000,D140,IF(D140&gt;25000,25000,0))</f>
        <v>12907</v>
      </c>
      <c r="F140" s="1932">
        <f>SUM(F17:F139)</f>
        <v>12907</v>
      </c>
      <c r="G140" s="1794">
        <f>SUM(G17:G139)</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5" t="s">
        <v>1976</v>
      </c>
      <c r="B11" s="2286"/>
      <c r="C11" s="2286"/>
      <c r="D11" s="2287"/>
      <c r="E11" s="977">
        <v>15308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2545854</v>
      </c>
      <c r="F19" s="1798"/>
      <c r="G19" s="1800">
        <f>'Expenditures 15-22'!K33-SUM('Expenditures 15-22'!G33,'Expenditures 15-22'!I33)+'Expenditures 15-22'!D229</f>
        <v>2545854</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182592</v>
      </c>
      <c r="F21" s="1801"/>
      <c r="G21" s="1804">
        <f>'Expenditures 15-22'!K42-SUM('Expenditures 15-22'!G42,'Expenditures 15-22'!I42)+'Expenditures 15-22'!K120-SUM('Expenditures 15-22'!G120,'Expenditures 15-22'!I120)+'Expenditures 15-22'!K180-SUM('Expenditures 15-22'!G180,'Expenditures 15-22'!I180)+'Expenditures 15-22'!D238</f>
        <v>182592</v>
      </c>
      <c r="H21" s="987"/>
      <c r="I21" s="162"/>
    </row>
    <row r="22" spans="1:9" s="668" customFormat="1" ht="12" customHeight="1" x14ac:dyDescent="0.2">
      <c r="A22" s="994" t="s">
        <v>564</v>
      </c>
      <c r="B22" s="995"/>
      <c r="C22" s="993">
        <v>2200</v>
      </c>
      <c r="D22" s="1801"/>
      <c r="E22" s="1803">
        <f>'Expenditures 15-22'!K47-SUM('Expenditures 15-22'!G47,'Expenditures 15-22'!I47)+'Expenditures 15-22'!D243</f>
        <v>95561</v>
      </c>
      <c r="F22" s="1801"/>
      <c r="G22" s="1804">
        <f>'Expenditures 15-22'!K47-SUM('Expenditures 15-22'!G47,'Expenditures 15-22'!I47)+'Expenditures 15-22'!D243</f>
        <v>95561</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329316</v>
      </c>
      <c r="F23" s="1801"/>
      <c r="G23" s="1803">
        <f>'Expenditures 15-22'!K53-SUM('Expenditures 15-22'!G53,'Expenditures 15-22'!I53)+'Expenditures 15-22'!D257+'Expenditures 15-22'!K330-SUM('Expenditures 15-22'!G330,'Expenditures 15-22'!I330)</f>
        <v>329316</v>
      </c>
      <c r="H23" s="987"/>
      <c r="I23" s="162"/>
    </row>
    <row r="24" spans="1:9" s="668" customFormat="1" ht="12" customHeight="1" x14ac:dyDescent="0.2">
      <c r="A24" s="994" t="s">
        <v>566</v>
      </c>
      <c r="B24" s="995"/>
      <c r="C24" s="993">
        <v>2400</v>
      </c>
      <c r="D24" s="1801"/>
      <c r="E24" s="1803">
        <f>'Expenditures 15-22'!K57-SUM('Expenditures 15-22'!G57,'Expenditures 15-22'!I57)+'Expenditures 15-22'!D261</f>
        <v>162628</v>
      </c>
      <c r="F24" s="1801"/>
      <c r="G24" s="1804">
        <f>'Expenditures 15-22'!K57-SUM('Expenditures 15-22'!G57,'Expenditures 15-22'!I57)+'Expenditures 15-22'!D261</f>
        <v>162628</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57147</v>
      </c>
      <c r="E27" s="1803">
        <f>E8</f>
        <v>0</v>
      </c>
      <c r="F27" s="1803">
        <f>'Expenditures 15-22'!K60-SUM('Expenditures 15-22'!G60,'Expenditures 15-22'!I60)+'Expenditures 15-22'!D264-E8</f>
        <v>57147</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302635</v>
      </c>
      <c r="F28" s="1805">
        <f>'Expenditures 15-22'!K61-SUM('Expenditures 15-22'!G61,'Expenditures 15-22'!I61)+'Expenditures 15-22'!K124-SUM('Expenditures 15-22'!G124,'Expenditures 15-22'!I124)+'Expenditures 15-22'!D266-E9</f>
        <v>302635</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204171</v>
      </c>
      <c r="F29" s="1801"/>
      <c r="G29" s="1804">
        <f>'Expenditures 15-22'!K62-SUM('Expenditures 15-22'!G62,'Expenditures 15-22'!I62)+'Expenditures 15-22'!K125-SUM('Expenditures 15-22'!G125,'Expenditures 15-22'!I125)+'Expenditures 15-22'!K182-SUM('Expenditures 15-22'!G182,'Expenditures 15-22'!I182)+'Expenditures 15-22'!D267</f>
        <v>204171</v>
      </c>
      <c r="H29" s="985"/>
    </row>
    <row r="30" spans="1:9" ht="12" customHeight="1" x14ac:dyDescent="0.2">
      <c r="A30" s="994" t="s">
        <v>100</v>
      </c>
      <c r="B30" s="997"/>
      <c r="C30" s="993">
        <v>2560</v>
      </c>
      <c r="D30" s="1801"/>
      <c r="E30" s="1803">
        <f>'Expenditures 15-22'!K63-SUM('Expenditures 15-22'!G63,'Expenditures 15-22'!I63)+'Expenditures 15-22'!D268-E10</f>
        <v>181964</v>
      </c>
      <c r="F30" s="1801"/>
      <c r="G30" s="1803">
        <f>'Expenditures 15-22'!K63-SUM('Expenditures 15-22'!G63,'Expenditures 15-22'!I63)+'Expenditures 15-22'!D268-E10</f>
        <v>181964</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88143</v>
      </c>
      <c r="F39" s="1801"/>
      <c r="G39" s="1803">
        <f>'Expenditures 15-22'!K75-SUM('Expenditures 15-22'!G75,'Expenditures 15-22'!I75)+'Expenditures 15-22'!K130-SUM('Expenditures 15-22'!G130,'Expenditures 15-22'!I130)+'Expenditures 15-22'!K185-SUM('Expenditures 15-22'!G185,'Expenditures 15-22'!I185)+'Expenditures 15-22'!D280</f>
        <v>88143</v>
      </c>
    </row>
    <row r="40" spans="1:7" ht="12" customHeight="1" x14ac:dyDescent="0.2">
      <c r="A40" s="990" t="s">
        <v>1823</v>
      </c>
      <c r="B40" s="991"/>
      <c r="C40" s="993"/>
      <c r="D40" s="1801"/>
      <c r="E40" s="1805">
        <f>-'Contracts Paid in CY 29'!G140</f>
        <v>0</v>
      </c>
      <c r="F40" s="1801"/>
      <c r="G40" s="1805">
        <f>-'Contracts Paid in CY 29'!G140</f>
        <v>0</v>
      </c>
    </row>
    <row r="41" spans="1:7" ht="12" customHeight="1" x14ac:dyDescent="0.2">
      <c r="A41" s="998" t="s">
        <v>156</v>
      </c>
      <c r="B41" s="999"/>
      <c r="C41" s="1000"/>
      <c r="D41" s="1805">
        <f>SUM(D19:D39)</f>
        <v>57147</v>
      </c>
      <c r="E41" s="1805">
        <f>SUM(E19:E40)</f>
        <v>4092864</v>
      </c>
      <c r="F41" s="1805">
        <f>SUM(F19:F39)</f>
        <v>359782</v>
      </c>
      <c r="G41" s="1805">
        <f>SUM(G19:G40)</f>
        <v>3790229</v>
      </c>
    </row>
    <row r="42" spans="1:7" x14ac:dyDescent="0.2">
      <c r="A42" s="987"/>
      <c r="B42" s="162"/>
      <c r="C42" s="1001"/>
      <c r="D42" s="2283" t="s">
        <v>522</v>
      </c>
      <c r="E42" s="2284"/>
      <c r="F42" s="1002" t="s">
        <v>523</v>
      </c>
      <c r="G42" s="1003"/>
    </row>
    <row r="43" spans="1:7" ht="12" customHeight="1" x14ac:dyDescent="0.2">
      <c r="A43" s="987"/>
      <c r="B43" s="162"/>
      <c r="C43" s="1001"/>
      <c r="D43" s="1806" t="s">
        <v>473</v>
      </c>
      <c r="E43" s="1807">
        <f>D41</f>
        <v>57147</v>
      </c>
      <c r="F43" s="1806" t="s">
        <v>473</v>
      </c>
      <c r="G43" s="1807">
        <f>F41</f>
        <v>359782</v>
      </c>
    </row>
    <row r="44" spans="1:7" ht="12" customHeight="1" x14ac:dyDescent="0.2">
      <c r="A44" s="987"/>
      <c r="B44" s="162"/>
      <c r="C44" s="1001"/>
      <c r="D44" s="1806" t="s">
        <v>474</v>
      </c>
      <c r="E44" s="1807">
        <f>E41</f>
        <v>4092864</v>
      </c>
      <c r="F44" s="1806" t="s">
        <v>474</v>
      </c>
      <c r="G44" s="1807">
        <f>G41</f>
        <v>3790229</v>
      </c>
    </row>
    <row r="45" spans="1:7" ht="12" customHeight="1" x14ac:dyDescent="0.2">
      <c r="A45" s="987"/>
      <c r="B45" s="162"/>
      <c r="C45" s="162"/>
      <c r="D45" s="1808" t="s">
        <v>1006</v>
      </c>
      <c r="E45" s="1809">
        <f>(E43/E44)</f>
        <v>1.3962594408218792E-2</v>
      </c>
      <c r="F45" s="1808" t="s">
        <v>1006</v>
      </c>
      <c r="G45" s="1809">
        <f>(G43/G44)</f>
        <v>9.4923552112550449E-2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E33" sqref="E33"/>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7.5703125" style="1877" bestFit="1" customWidth="1"/>
    <col min="9" max="9" width="4" style="1877" bestFit="1" customWidth="1"/>
    <col min="10" max="10" width="2.7109375" style="1877" bestFit="1" customWidth="1"/>
    <col min="11" max="11" width="9" style="1877" customWidth="1"/>
    <col min="12" max="16384" width="9.140625" style="1846"/>
  </cols>
  <sheetData>
    <row r="1" spans="1:10" x14ac:dyDescent="0.2">
      <c r="A1" s="2302" t="s">
        <v>1379</v>
      </c>
      <c r="B1" s="2302"/>
      <c r="C1" s="2302"/>
      <c r="D1" s="2302"/>
      <c r="E1" s="2302"/>
      <c r="F1" s="2302"/>
    </row>
    <row r="2" spans="1:10" x14ac:dyDescent="0.2">
      <c r="A2" s="1886" t="s">
        <v>1911</v>
      </c>
      <c r="B2" s="1847"/>
      <c r="C2" s="1886"/>
      <c r="D2" s="1847"/>
      <c r="E2" s="1847"/>
      <c r="F2" s="1848"/>
    </row>
    <row r="3" spans="1:10" x14ac:dyDescent="0.2">
      <c r="A3" s="1886" t="s">
        <v>1977</v>
      </c>
      <c r="B3" s="1847"/>
      <c r="C3" s="1886"/>
      <c r="D3" s="1847"/>
      <c r="E3" s="1847"/>
      <c r="F3" s="1848"/>
    </row>
    <row r="4" spans="1:10" ht="3.75" customHeight="1" x14ac:dyDescent="0.2">
      <c r="A4" s="1847"/>
      <c r="B4" s="1847"/>
      <c r="C4" s="1847"/>
      <c r="D4" s="1847"/>
      <c r="E4" s="1847"/>
      <c r="F4" s="1848"/>
    </row>
    <row r="5" spans="1:10" ht="15" x14ac:dyDescent="0.25">
      <c r="A5" s="2303" t="s">
        <v>1546</v>
      </c>
      <c r="B5" s="2304"/>
      <c r="C5" s="2305"/>
      <c r="D5" s="2305"/>
      <c r="E5" s="2305"/>
      <c r="F5" s="2305"/>
    </row>
    <row r="6" spans="1:10" ht="12" customHeight="1" x14ac:dyDescent="0.25">
      <c r="A6" s="1849"/>
      <c r="B6" s="1850"/>
      <c r="C6" s="2306" t="str">
        <f>COVER!A17</f>
        <v>DePue USD 103</v>
      </c>
      <c r="D6" s="2306"/>
      <c r="E6" s="2306"/>
      <c r="F6" s="1851"/>
    </row>
    <row r="7" spans="1:10" ht="11.25" customHeight="1" thickBot="1" x14ac:dyDescent="0.3">
      <c r="A7" s="1849"/>
      <c r="B7" s="1850"/>
      <c r="C7" s="2307">
        <f>COVER!A13</f>
        <v>28006103022</v>
      </c>
      <c r="D7" s="2307"/>
      <c r="E7" s="2307"/>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2063</v>
      </c>
      <c r="D26" s="1864" t="s">
        <v>2063</v>
      </c>
      <c r="E26" s="1867"/>
      <c r="F26" s="1866" t="s">
        <v>2091</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t="s">
        <v>2063</v>
      </c>
      <c r="D32" s="1864" t="s">
        <v>2063</v>
      </c>
      <c r="E32" s="1867"/>
      <c r="F32" s="1866" t="s">
        <v>2092</v>
      </c>
      <c r="H32" s="1877">
        <f t="shared" si="0"/>
        <v>5</v>
      </c>
      <c r="I32" s="1877">
        <f t="shared" si="1"/>
        <v>5</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0</v>
      </c>
      <c r="K34" s="1877">
        <f>SUM(H34:J34)</f>
        <v>20</v>
      </c>
    </row>
    <row r="35" spans="1:11" ht="12" customHeight="1" x14ac:dyDescent="0.2">
      <c r="A35" s="1870" t="s">
        <v>1392</v>
      </c>
      <c r="B35" s="1871"/>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2"/>
      <c r="B39" s="1872"/>
      <c r="C39" s="1872"/>
      <c r="D39" s="1872"/>
      <c r="E39" s="1872"/>
      <c r="F39" s="1872"/>
    </row>
    <row r="40" spans="1:11" s="1869" customFormat="1" ht="12" customHeight="1" x14ac:dyDescent="0.25">
      <c r="A40" s="1873" t="s">
        <v>1391</v>
      </c>
      <c r="B40" s="1874"/>
      <c r="C40" s="2297"/>
      <c r="D40" s="2297"/>
      <c r="E40" s="2297"/>
      <c r="F40" s="2298"/>
      <c r="H40" s="1878"/>
      <c r="I40" s="1878"/>
      <c r="J40" s="1878"/>
      <c r="K40" s="1878"/>
    </row>
    <row r="41" spans="1:11" s="1869" customFormat="1" ht="12" customHeight="1" x14ac:dyDescent="0.25">
      <c r="A41" s="2299"/>
      <c r="B41" s="2300"/>
      <c r="C41" s="2300"/>
      <c r="D41" s="2300"/>
      <c r="E41" s="2300"/>
      <c r="F41" s="2301"/>
      <c r="H41" s="1878"/>
      <c r="I41" s="1878"/>
      <c r="J41" s="1878"/>
      <c r="K41" s="1878"/>
    </row>
    <row r="42" spans="1:11" s="1869" customFormat="1" ht="12" customHeight="1" x14ac:dyDescent="0.25">
      <c r="A42" s="2299"/>
      <c r="B42" s="2300"/>
      <c r="C42" s="2300"/>
      <c r="D42" s="2300"/>
      <c r="E42" s="2300"/>
      <c r="F42" s="2301"/>
      <c r="H42" s="1878"/>
      <c r="I42" s="1878"/>
      <c r="J42" s="1878"/>
      <c r="K42" s="1878"/>
    </row>
    <row r="43" spans="1:11" s="1869" customFormat="1" ht="15" x14ac:dyDescent="0.25">
      <c r="A43" s="2288"/>
      <c r="B43" s="2289"/>
      <c r="C43" s="2289"/>
      <c r="D43" s="2289"/>
      <c r="E43" s="2289"/>
      <c r="F43" s="2290"/>
      <c r="H43" s="1878"/>
      <c r="I43" s="1878"/>
      <c r="J43" s="1878"/>
      <c r="K43" s="1878"/>
    </row>
    <row r="44" spans="1:11" s="1869" customFormat="1" ht="12" hidden="1" customHeight="1" x14ac:dyDescent="0.25">
      <c r="A44" s="2288"/>
      <c r="B44" s="2289"/>
      <c r="C44" s="2289"/>
      <c r="D44" s="2289"/>
      <c r="E44" s="2289"/>
      <c r="F44" s="2290"/>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15" t="str">
        <f>COVER!A17</f>
        <v>DePue USD 103</v>
      </c>
      <c r="J6" s="2316"/>
      <c r="Q6" s="1663"/>
    </row>
    <row r="7" spans="1:17" x14ac:dyDescent="0.2">
      <c r="A7" s="2317" t="s">
        <v>869</v>
      </c>
      <c r="B7" s="2318"/>
      <c r="C7" s="2318"/>
      <c r="D7" s="2318"/>
      <c r="E7" s="2319"/>
      <c r="F7" s="1017"/>
      <c r="G7" s="1009"/>
      <c r="H7" s="1016" t="s">
        <v>372</v>
      </c>
      <c r="I7" s="2320">
        <f>COVER!A13</f>
        <v>28006103022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1978</v>
      </c>
      <c r="F9" s="1023"/>
      <c r="G9" s="1023"/>
      <c r="H9" s="1895"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149946</v>
      </c>
      <c r="F12" s="1039"/>
      <c r="G12" s="1810">
        <f t="shared" ref="G12:G18" si="0">SUM(E12:F12)</f>
        <v>149946</v>
      </c>
      <c r="H12" s="1040">
        <v>136200</v>
      </c>
      <c r="I12" s="1039"/>
      <c r="J12" s="1810">
        <f t="shared" ref="J12:J18" si="1">SUM(H12:I12)</f>
        <v>136200</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4" t="s">
        <v>7</v>
      </c>
      <c r="C18" s="2325"/>
      <c r="D18" s="2326"/>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149946</v>
      </c>
      <c r="F19" s="1812">
        <f t="shared" si="2"/>
        <v>0</v>
      </c>
      <c r="G19" s="1812">
        <f t="shared" si="2"/>
        <v>149946</v>
      </c>
      <c r="H19" s="1812">
        <f t="shared" si="2"/>
        <v>136200</v>
      </c>
      <c r="I19" s="1812">
        <f t="shared" si="2"/>
        <v>0</v>
      </c>
      <c r="J19" s="1812">
        <f t="shared" si="2"/>
        <v>136200</v>
      </c>
    </row>
    <row r="20" spans="1:10" ht="13.5" thickTop="1" x14ac:dyDescent="0.2">
      <c r="A20" s="1035">
        <v>9</v>
      </c>
      <c r="B20" s="2327" t="s">
        <v>1980</v>
      </c>
      <c r="C20" s="2327"/>
      <c r="D20" s="2328"/>
      <c r="E20" s="1046"/>
      <c r="F20" s="1046"/>
      <c r="G20" s="1046"/>
      <c r="H20" s="1046"/>
      <c r="I20" s="1046"/>
      <c r="J20" s="1813">
        <f>IF(AND(G19&gt;0,J19&gt;0),(((J19-G19)/G19)),"Enter Budget Data")</f>
        <v>-9.1673002280821092E-2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1982</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2093</v>
      </c>
    </row>
    <row r="6" spans="1:2" x14ac:dyDescent="0.2">
      <c r="A6" s="1068">
        <v>2</v>
      </c>
      <c r="B6" s="329" t="s">
        <v>2094</v>
      </c>
    </row>
    <row r="7" spans="1:2" x14ac:dyDescent="0.2">
      <c r="A7" s="1068">
        <v>3</v>
      </c>
      <c r="B7" s="329" t="s">
        <v>2095</v>
      </c>
    </row>
    <row r="8" spans="1:2" x14ac:dyDescent="0.2">
      <c r="A8" s="1068">
        <v>4</v>
      </c>
      <c r="B8" s="329" t="s">
        <v>2096</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DePue USD 103</v>
      </c>
    </row>
    <row r="65" spans="2:2" x14ac:dyDescent="0.2">
      <c r="B65" s="1070">
        <f>COVER!A13</f>
        <v>28006103022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1986</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1987</v>
      </c>
      <c r="B4" s="2355"/>
      <c r="C4" s="2355"/>
      <c r="D4" s="2355"/>
      <c r="E4" s="2355"/>
      <c r="F4" s="2356"/>
      <c r="G4" s="1074"/>
      <c r="H4" s="1074"/>
    </row>
    <row r="5" spans="1:8" ht="14.25" customHeight="1" x14ac:dyDescent="0.2">
      <c r="A5" s="2357" t="s">
        <v>1983</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3870740</v>
      </c>
      <c r="C8" s="1814">
        <f>'Acct Summary 7-8'!D8</f>
        <v>311502</v>
      </c>
      <c r="D8" s="1814">
        <f>'Acct Summary 7-8'!F8</f>
        <v>222733</v>
      </c>
      <c r="E8" s="1814">
        <f>'Acct Summary 7-8'!I8</f>
        <v>3861</v>
      </c>
      <c r="F8" s="1814">
        <f>SUM(B8:E8)</f>
        <v>4408836</v>
      </c>
    </row>
    <row r="9" spans="1:8" s="1079" customFormat="1" ht="14.25" customHeight="1" thickBot="1" x14ac:dyDescent="0.25">
      <c r="A9" s="1078" t="s">
        <v>1369</v>
      </c>
      <c r="B9" s="1815">
        <f>'Acct Summary 7-8'!C17</f>
        <v>3680273</v>
      </c>
      <c r="C9" s="1815">
        <f>'Acct Summary 7-8'!D17</f>
        <v>292453</v>
      </c>
      <c r="D9" s="1815">
        <f>'Acct Summary 7-8'!F17</f>
        <v>201878</v>
      </c>
      <c r="E9" s="1814"/>
      <c r="F9" s="1814">
        <f>SUM(B9:E9)</f>
        <v>4174604</v>
      </c>
    </row>
    <row r="10" spans="1:8" s="1079" customFormat="1" ht="14.25" thickTop="1" thickBot="1" x14ac:dyDescent="0.25">
      <c r="A10" s="1080" t="s">
        <v>1370</v>
      </c>
      <c r="B10" s="1816">
        <f>(B8-B9)</f>
        <v>190467</v>
      </c>
      <c r="C10" s="1816">
        <f>(C8-C9)</f>
        <v>19049</v>
      </c>
      <c r="D10" s="1816">
        <f>(D8-D9)</f>
        <v>20855</v>
      </c>
      <c r="E10" s="1815">
        <f>(E8-E9)</f>
        <v>3861</v>
      </c>
      <c r="F10" s="1817">
        <f>SUM(F8-F9)</f>
        <v>234232</v>
      </c>
    </row>
    <row r="11" spans="1:8" s="1079" customFormat="1" ht="14.25" thickTop="1" thickBot="1" x14ac:dyDescent="0.25">
      <c r="A11" s="1081" t="s">
        <v>1984</v>
      </c>
      <c r="B11" s="1818">
        <f>'Acct Summary 7-8'!C81</f>
        <v>845147</v>
      </c>
      <c r="C11" s="1818">
        <f>'Acct Summary 7-8'!D81</f>
        <v>66183</v>
      </c>
      <c r="D11" s="1818">
        <f>'Acct Summary 7-8'!F81</f>
        <v>35606</v>
      </c>
      <c r="E11" s="1818">
        <f>'Acct Summary 7-8'!I81</f>
        <v>7469</v>
      </c>
      <c r="F11" s="1819">
        <f>SUM(B11:E11)</f>
        <v>954405</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I66" sqref="I6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29'!D140&gt;0,"OK","PLEASE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28006103022</v>
      </c>
    </row>
    <row r="3" spans="1:2" x14ac:dyDescent="0.2">
      <c r="A3" t="s">
        <v>956</v>
      </c>
      <c r="B3" s="138" t="str">
        <f>COVER!A15</f>
        <v>Bureau</v>
      </c>
    </row>
    <row r="4" spans="1:2" x14ac:dyDescent="0.2">
      <c r="A4" t="s">
        <v>1007</v>
      </c>
      <c r="B4" s="138" t="str">
        <f>COVER!A17</f>
        <v>DePue USD 103</v>
      </c>
    </row>
    <row r="5" spans="1:2" x14ac:dyDescent="0.2">
      <c r="A5" t="s">
        <v>704</v>
      </c>
      <c r="B5" s="138" t="str">
        <f>COVER!A38</f>
        <v>Brad Kenser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Hopkins &amp; Associates, CPAs</v>
      </c>
    </row>
    <row r="17" spans="1:2" x14ac:dyDescent="0.2">
      <c r="A17" t="s">
        <v>884</v>
      </c>
      <c r="B17" s="138" t="str">
        <f>COVER!T15</f>
        <v>Kim Bird</v>
      </c>
    </row>
    <row r="18" spans="1:2" x14ac:dyDescent="0.2">
      <c r="A18" t="s">
        <v>1150</v>
      </c>
      <c r="B18" s="138" t="str">
        <f>COVER!T17</f>
        <v>314 S McCoy St</v>
      </c>
    </row>
    <row r="19" spans="1:2" x14ac:dyDescent="0.2">
      <c r="A19" t="s">
        <v>886</v>
      </c>
      <c r="B19" s="138" t="str">
        <f>COVER!T25</f>
        <v>kim@hopkinsoffice.com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845147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845147</v>
      </c>
      <c r="D92" s="2" t="str">
        <f t="shared" si="0"/>
        <v>Error?</v>
      </c>
    </row>
    <row r="93" spans="1:4" x14ac:dyDescent="0.2">
      <c r="A93" s="5">
        <v>32</v>
      </c>
      <c r="B93" s="138">
        <f>'Assets-Liab 5-6'!C41</f>
        <v>845147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66183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66183</v>
      </c>
      <c r="D123" s="2" t="str">
        <f t="shared" si="0"/>
        <v>Error?</v>
      </c>
    </row>
    <row r="124" spans="1:4" x14ac:dyDescent="0.2">
      <c r="A124" s="5">
        <v>63</v>
      </c>
      <c r="B124" s="138">
        <f>'Assets-Liab 5-6'!D41</f>
        <v>66183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2741</v>
      </c>
      <c r="C139" s="2" t="s">
        <v>573</v>
      </c>
      <c r="D139" s="2" t="str">
        <f t="shared" si="1"/>
        <v>Error?</v>
      </c>
    </row>
    <row r="140" spans="1:4" x14ac:dyDescent="0.2">
      <c r="A140" s="5">
        <v>79</v>
      </c>
      <c r="B140" s="138">
        <f>'Assets-Liab 5-6'!E39</f>
        <v>-2741</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35606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35606</v>
      </c>
      <c r="D170" s="2" t="str">
        <f t="shared" si="1"/>
        <v>Error?</v>
      </c>
    </row>
    <row r="171" spans="1:4" x14ac:dyDescent="0.2">
      <c r="A171" s="5">
        <v>110</v>
      </c>
      <c r="B171" s="138">
        <f>'Assets-Liab 5-6'!F41</f>
        <v>35606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183955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139248</v>
      </c>
      <c r="D189" s="2" t="str">
        <f t="shared" si="1"/>
        <v>Error?</v>
      </c>
    </row>
    <row r="190" spans="1:4" x14ac:dyDescent="0.2">
      <c r="A190" s="5">
        <v>129</v>
      </c>
      <c r="B190" s="138">
        <f>'Assets-Liab 5-6'!G41</f>
        <v>183955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99312</v>
      </c>
      <c r="D273" s="2" t="str">
        <f t="shared" si="3"/>
        <v>Error?</v>
      </c>
    </row>
    <row r="274" spans="1:4" x14ac:dyDescent="0.2">
      <c r="A274" s="5">
        <v>213</v>
      </c>
      <c r="B274" s="138">
        <f>'Assets-Liab 5-6'!M17</f>
        <v>2246964</v>
      </c>
      <c r="D274" s="2" t="str">
        <f t="shared" si="3"/>
        <v>Error?</v>
      </c>
    </row>
    <row r="275" spans="1:4" x14ac:dyDescent="0.2">
      <c r="A275" s="5">
        <v>214</v>
      </c>
      <c r="B275" s="138">
        <f>'Assets-Liab 5-6'!M18</f>
        <v>176024</v>
      </c>
      <c r="D275" s="2" t="str">
        <f t="shared" si="3"/>
        <v>Error?</v>
      </c>
    </row>
    <row r="276" spans="1:4" x14ac:dyDescent="0.2">
      <c r="A276" s="5">
        <v>215</v>
      </c>
      <c r="B276" s="138">
        <f>'Assets-Liab 5-6'!M19</f>
        <v>1780631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4302931</v>
      </c>
      <c r="C279" s="2" t="s">
        <v>573</v>
      </c>
      <c r="D279" s="2" t="str">
        <f t="shared" si="3"/>
        <v>Error?</v>
      </c>
    </row>
    <row r="280" spans="1:4" x14ac:dyDescent="0.2">
      <c r="A280" s="5">
        <v>219</v>
      </c>
      <c r="B280" s="138">
        <f>'Assets-Liab 5-6'!M40</f>
        <v>4302931</v>
      </c>
      <c r="D280" s="2" t="str">
        <f t="shared" si="3"/>
        <v>Error?</v>
      </c>
    </row>
    <row r="281" spans="1:4" x14ac:dyDescent="0.2">
      <c r="A281" s="5">
        <v>220</v>
      </c>
      <c r="B281" s="138">
        <f>'Assets-Liab 5-6'!M41</f>
        <v>4302931</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195000</v>
      </c>
      <c r="D283" s="2" t="str">
        <f t="shared" si="3"/>
        <v>Error?</v>
      </c>
    </row>
    <row r="284" spans="1:4" x14ac:dyDescent="0.2">
      <c r="A284" s="5">
        <v>223</v>
      </c>
      <c r="B284" s="138">
        <f>'Assets-Liab 5-6'!N23</f>
        <v>195000</v>
      </c>
      <c r="C284" s="2" t="s">
        <v>573</v>
      </c>
      <c r="D284" s="2" t="str">
        <f t="shared" si="3"/>
        <v>Error?</v>
      </c>
    </row>
    <row r="285" spans="1:4" x14ac:dyDescent="0.2">
      <c r="A285" s="5">
        <v>224</v>
      </c>
      <c r="B285" s="138">
        <f>'Assets-Liab 5-6'!N36</f>
        <v>195000</v>
      </c>
      <c r="D285" s="2" t="str">
        <f t="shared" si="3"/>
        <v>Error?</v>
      </c>
    </row>
    <row r="286" spans="1:4" x14ac:dyDescent="0.2">
      <c r="A286" s="10">
        <v>225</v>
      </c>
      <c r="D286" s="2" t="str">
        <f t="shared" si="3"/>
        <v>OK</v>
      </c>
    </row>
    <row r="287" spans="1:4" x14ac:dyDescent="0.2">
      <c r="A287" s="5">
        <v>226</v>
      </c>
      <c r="B287" s="138">
        <f>'Assets-Liab 5-6'!N37</f>
        <v>195000</v>
      </c>
      <c r="C287" s="2" t="s">
        <v>573</v>
      </c>
      <c r="D287" s="2" t="str">
        <f t="shared" si="3"/>
        <v>Error?</v>
      </c>
    </row>
    <row r="288" spans="1:4" x14ac:dyDescent="0.2">
      <c r="A288" s="5">
        <v>227</v>
      </c>
      <c r="B288" s="138">
        <f>'Assets-Liab 5-6'!N41</f>
        <v>195000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1380596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9569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57217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1975070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91812</v>
      </c>
      <c r="D722" s="2" t="str">
        <f t="shared" si="10"/>
        <v>Error?</v>
      </c>
    </row>
    <row r="723" spans="1:4" x14ac:dyDescent="0.2">
      <c r="A723" s="5">
        <v>662</v>
      </c>
      <c r="B723" s="138">
        <f>'Expenditures 15-22'!C38</f>
        <v>21329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113141</v>
      </c>
      <c r="C727" s="2" t="s">
        <v>573</v>
      </c>
      <c r="D727" s="2" t="str">
        <f t="shared" si="10"/>
        <v>Error?</v>
      </c>
    </row>
    <row r="728" spans="1:4" x14ac:dyDescent="0.2">
      <c r="A728" s="5">
        <v>667</v>
      </c>
      <c r="B728" s="138">
        <f>'Expenditures 15-22'!C44</f>
        <v>6280</v>
      </c>
      <c r="D728" s="2" t="str">
        <f t="shared" si="10"/>
        <v>Error?</v>
      </c>
    </row>
    <row r="729" spans="1:4" x14ac:dyDescent="0.2">
      <c r="A729" s="5">
        <v>668</v>
      </c>
      <c r="B729" s="138">
        <f>'Expenditures 15-22'!C45</f>
        <v>47990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54270</v>
      </c>
      <c r="C731" s="2" t="s">
        <v>573</v>
      </c>
      <c r="D731" s="2" t="str">
        <f t="shared" si="10"/>
        <v>Error?</v>
      </c>
    </row>
    <row r="732" spans="1:4" x14ac:dyDescent="0.2">
      <c r="A732" s="5">
        <v>671</v>
      </c>
      <c r="B732" s="138">
        <f>'Expenditures 15-22'!C49</f>
        <v>1139</v>
      </c>
      <c r="D732" s="2" t="str">
        <f t="shared" si="10"/>
        <v>Error?</v>
      </c>
    </row>
    <row r="733" spans="1:4" x14ac:dyDescent="0.2">
      <c r="A733" s="5">
        <v>672</v>
      </c>
      <c r="B733" s="138">
        <f>'Expenditures 15-22'!C50</f>
        <v>138416</v>
      </c>
      <c r="D733" s="2" t="str">
        <f t="shared" si="10"/>
        <v>Error?</v>
      </c>
    </row>
    <row r="734" spans="1:4" x14ac:dyDescent="0.2">
      <c r="A734" s="5">
        <v>673</v>
      </c>
      <c r="B734" s="138">
        <f>'Expenditures 15-22'!C53</f>
        <v>139555</v>
      </c>
      <c r="C734" s="2" t="s">
        <v>573</v>
      </c>
      <c r="D734" s="2" t="str">
        <f t="shared" si="10"/>
        <v>Error?</v>
      </c>
    </row>
    <row r="735" spans="1:4" x14ac:dyDescent="0.2">
      <c r="A735" s="5">
        <v>674</v>
      </c>
      <c r="B735" s="138">
        <f>'Expenditures 15-22'!C55</f>
        <v>135971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135971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41242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40340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81582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524519</v>
      </c>
      <c r="C755" s="2" t="s">
        <v>573</v>
      </c>
      <c r="D755" s="2" t="str">
        <f t="shared" si="10"/>
        <v>Error?</v>
      </c>
    </row>
    <row r="756" spans="1:4" x14ac:dyDescent="0.2">
      <c r="A756" s="5">
        <v>695</v>
      </c>
      <c r="B756" s="138">
        <f>'Expenditures 15-22'!C75</f>
        <v>69922</v>
      </c>
      <c r="D756" s="2" t="str">
        <f t="shared" si="10"/>
        <v>Error?</v>
      </c>
    </row>
    <row r="757" spans="1:4" x14ac:dyDescent="0.2">
      <c r="A757" s="5">
        <v>696</v>
      </c>
      <c r="B757" s="138">
        <f>'Expenditures 15-22'!C114</f>
        <v>2569511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187366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1316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807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240027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8249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8249</v>
      </c>
      <c r="C785" s="2" t="s">
        <v>573</v>
      </c>
      <c r="D785" s="2" t="str">
        <f t="shared" si="11"/>
        <v>Error?</v>
      </c>
    </row>
    <row r="786" spans="1:4" x14ac:dyDescent="0.2">
      <c r="A786" s="5">
        <v>725</v>
      </c>
      <c r="B786" s="138">
        <f>'Expenditures 15-22'!D44</f>
        <v>708</v>
      </c>
      <c r="D786" s="2" t="str">
        <f t="shared" si="11"/>
        <v>Error?</v>
      </c>
    </row>
    <row r="787" spans="1:4" x14ac:dyDescent="0.2">
      <c r="A787" s="5">
        <v>726</v>
      </c>
      <c r="B787" s="138">
        <f>'Expenditures 15-22'!D45</f>
        <v>6744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7452</v>
      </c>
      <c r="C789" s="2" t="s">
        <v>573</v>
      </c>
      <c r="D789" s="2" t="str">
        <f t="shared" si="11"/>
        <v>Error?</v>
      </c>
    </row>
    <row r="790" spans="1:4" x14ac:dyDescent="0.2">
      <c r="A790" s="5">
        <v>729</v>
      </c>
      <c r="B790" s="138">
        <f>'Expenditures 15-22'!D49</f>
        <v>208</v>
      </c>
      <c r="D790" s="2" t="str">
        <f t="shared" si="11"/>
        <v>Error?</v>
      </c>
    </row>
    <row r="791" spans="1:4" x14ac:dyDescent="0.2">
      <c r="A791" s="5">
        <v>730</v>
      </c>
      <c r="B791" s="138">
        <f>'Expenditures 15-22'!D50</f>
        <v>7193</v>
      </c>
      <c r="D791" s="2" t="str">
        <f t="shared" si="11"/>
        <v>Error?</v>
      </c>
    </row>
    <row r="792" spans="1:4" x14ac:dyDescent="0.2">
      <c r="A792" s="5">
        <v>731</v>
      </c>
      <c r="B792" s="138">
        <f>'Expenditures 15-22'!D53</f>
        <v>7401</v>
      </c>
      <c r="C792" s="2" t="s">
        <v>573</v>
      </c>
      <c r="D792" s="2" t="str">
        <f t="shared" si="11"/>
        <v>Error?</v>
      </c>
    </row>
    <row r="793" spans="1:4" x14ac:dyDescent="0.2">
      <c r="A793" s="5">
        <v>732</v>
      </c>
      <c r="B793" s="138">
        <f>'Expenditures 15-22'!D55</f>
        <v>13569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13569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7244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7263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43934</v>
      </c>
      <c r="C813" s="2" t="s">
        <v>573</v>
      </c>
      <c r="D813" s="2" t="str">
        <f t="shared" si="11"/>
        <v>Error?</v>
      </c>
    </row>
    <row r="814" spans="1:4" x14ac:dyDescent="0.2">
      <c r="A814" s="5">
        <v>753</v>
      </c>
      <c r="B814" s="138">
        <f>'Expenditures 15-22'!D75</f>
        <v>835</v>
      </c>
      <c r="D814" s="2" t="str">
        <f t="shared" si="11"/>
        <v>Error?</v>
      </c>
    </row>
    <row r="815" spans="1:4" x14ac:dyDescent="0.2">
      <c r="A815" s="5">
        <v>754</v>
      </c>
      <c r="B815" s="138">
        <f>'Expenditures 15-22'!D114</f>
        <v>284796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34086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8915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71420</v>
      </c>
      <c r="C836" s="2" t="s">
        <v>573</v>
      </c>
      <c r="D836" s="2" t="str">
        <f t="shared" si="12"/>
        <v>Error?</v>
      </c>
    </row>
    <row r="837" spans="1:4" x14ac:dyDescent="0.2">
      <c r="A837" s="5">
        <v>776</v>
      </c>
      <c r="B837" s="138">
        <f>'Expenditures 15-22'!E36</f>
        <v>116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3650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47803</v>
      </c>
      <c r="D841" s="2" t="str">
        <f t="shared" si="12"/>
        <v>Error?</v>
      </c>
    </row>
    <row r="842" spans="1:4" x14ac:dyDescent="0.2">
      <c r="A842" s="5">
        <v>781</v>
      </c>
      <c r="B842" s="138">
        <f>'Expenditures 15-22'!E41</f>
        <v>1258</v>
      </c>
      <c r="D842" s="2" t="str">
        <f t="shared" si="12"/>
        <v>Error?</v>
      </c>
    </row>
    <row r="843" spans="1:4" x14ac:dyDescent="0.2">
      <c r="A843" s="5">
        <v>782</v>
      </c>
      <c r="B843" s="138">
        <f>'Expenditures 15-22'!E42</f>
        <v>52827</v>
      </c>
      <c r="C843" s="2" t="s">
        <v>573</v>
      </c>
      <c r="D843" s="2" t="str">
        <f t="shared" si="12"/>
        <v>Error?</v>
      </c>
    </row>
    <row r="844" spans="1:4" x14ac:dyDescent="0.2">
      <c r="A844" s="5">
        <v>783</v>
      </c>
      <c r="B844" s="138">
        <f>'Expenditures 15-22'!E44</f>
        <v>12046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12046</v>
      </c>
      <c r="C847" s="2" t="s">
        <v>573</v>
      </c>
      <c r="D847" s="2" t="str">
        <f t="shared" si="12"/>
        <v>Error?</v>
      </c>
    </row>
    <row r="848" spans="1:4" x14ac:dyDescent="0.2">
      <c r="A848" s="5">
        <v>787</v>
      </c>
      <c r="B848" s="138">
        <f>'Expenditures 15-22'!E49</f>
        <v>22533</v>
      </c>
      <c r="D848" s="2" t="str">
        <f t="shared" si="12"/>
        <v>Error?</v>
      </c>
    </row>
    <row r="849" spans="1:4" x14ac:dyDescent="0.2">
      <c r="A849" s="5">
        <v>788</v>
      </c>
      <c r="B849" s="138">
        <f>'Expenditures 15-22'!E50</f>
        <v>703</v>
      </c>
      <c r="D849" s="2" t="str">
        <f t="shared" si="12"/>
        <v>Error?</v>
      </c>
    </row>
    <row r="850" spans="1:4" x14ac:dyDescent="0.2">
      <c r="A850" s="5">
        <v>789</v>
      </c>
      <c r="B850" s="138">
        <f>'Expenditures 15-22'!E53</f>
        <v>23236</v>
      </c>
      <c r="C850" s="2" t="s">
        <v>573</v>
      </c>
      <c r="D850" s="2" t="str">
        <f t="shared" si="12"/>
        <v>Error?</v>
      </c>
    </row>
    <row r="851" spans="1:4" x14ac:dyDescent="0.2">
      <c r="A851" s="5">
        <v>790</v>
      </c>
      <c r="B851" s="138">
        <f>'Expenditures 15-22'!E55</f>
        <v>1601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1601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810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3465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93175</v>
      </c>
      <c r="C871" s="2" t="s">
        <v>573</v>
      </c>
      <c r="D871" s="2" t="str">
        <f t="shared" si="12"/>
        <v>Error?</v>
      </c>
    </row>
    <row r="872" spans="1:4" x14ac:dyDescent="0.2">
      <c r="A872" s="5">
        <v>811</v>
      </c>
      <c r="B872" s="138">
        <f>'Expenditures 15-22'!E75</f>
        <v>647</v>
      </c>
      <c r="D872" s="2" t="str">
        <f t="shared" si="12"/>
        <v>Error?</v>
      </c>
    </row>
    <row r="873" spans="1:4" x14ac:dyDescent="0.2">
      <c r="A873" s="5">
        <v>812</v>
      </c>
      <c r="B873" s="138">
        <f>'Expenditures 15-22'!E114</f>
        <v>210458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36893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34255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4313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125593</v>
      </c>
      <c r="C894" s="2" t="s">
        <v>573</v>
      </c>
      <c r="D894" s="2" t="str">
        <f t="shared" si="12"/>
        <v>Error?</v>
      </c>
    </row>
    <row r="895" spans="1:4" x14ac:dyDescent="0.2">
      <c r="A895" s="5">
        <v>834</v>
      </c>
      <c r="B895" s="138">
        <f>'Expenditures 15-22'!F36</f>
        <v>32</v>
      </c>
      <c r="D895" s="2" t="str">
        <f t="shared" ref="D895:D958" si="13">IF(ISBLANK(B895),"OK",IF(A895-B895=0,"OK","Error?"))</f>
        <v>Error?</v>
      </c>
    </row>
    <row r="896" spans="1:4" x14ac:dyDescent="0.2">
      <c r="A896" s="5">
        <v>835</v>
      </c>
      <c r="B896" s="138">
        <f>'Expenditures 15-22'!F37</f>
        <v>1500</v>
      </c>
      <c r="D896" s="2" t="str">
        <f t="shared" si="13"/>
        <v>Error?</v>
      </c>
    </row>
    <row r="897" spans="1:4" x14ac:dyDescent="0.2">
      <c r="A897" s="5">
        <v>836</v>
      </c>
      <c r="B897" s="138">
        <f>'Expenditures 15-22'!F38</f>
        <v>1837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346</v>
      </c>
      <c r="D900" s="2" t="str">
        <f t="shared" si="13"/>
        <v>Error?</v>
      </c>
    </row>
    <row r="901" spans="1:4" x14ac:dyDescent="0.2">
      <c r="A901" s="5">
        <v>840</v>
      </c>
      <c r="B901" s="138">
        <f>'Expenditures 15-22'!F42</f>
        <v>3715</v>
      </c>
      <c r="C901" s="2" t="s">
        <v>573</v>
      </c>
      <c r="D901" s="2" t="str">
        <f t="shared" si="13"/>
        <v>Error?</v>
      </c>
    </row>
    <row r="902" spans="1:4" x14ac:dyDescent="0.2">
      <c r="A902" s="5">
        <v>841</v>
      </c>
      <c r="B902" s="138">
        <f>'Expenditures 15-22'!F44</f>
        <v>1465</v>
      </c>
      <c r="D902" s="2" t="str">
        <f t="shared" si="13"/>
        <v>Error?</v>
      </c>
    </row>
    <row r="903" spans="1:4" x14ac:dyDescent="0.2">
      <c r="A903" s="5">
        <v>842</v>
      </c>
      <c r="B903" s="138">
        <f>'Expenditures 15-22'!F45</f>
        <v>5065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6530</v>
      </c>
      <c r="C905" s="2" t="s">
        <v>573</v>
      </c>
      <c r="D905" s="2" t="str">
        <f t="shared" si="13"/>
        <v>Error?</v>
      </c>
    </row>
    <row r="906" spans="1:4" x14ac:dyDescent="0.2">
      <c r="A906" s="5">
        <v>845</v>
      </c>
      <c r="B906" s="138">
        <f>'Expenditures 15-22'!F49</f>
        <v>252</v>
      </c>
      <c r="D906" s="2" t="str">
        <f t="shared" si="13"/>
        <v>Error?</v>
      </c>
    </row>
    <row r="907" spans="1:4" x14ac:dyDescent="0.2">
      <c r="A907" s="5">
        <v>846</v>
      </c>
      <c r="B907" s="138">
        <f>'Expenditures 15-22'!F50</f>
        <v>481</v>
      </c>
      <c r="D907" s="2" t="str">
        <f t="shared" si="13"/>
        <v>Error?</v>
      </c>
    </row>
    <row r="908" spans="1:4" x14ac:dyDescent="0.2">
      <c r="A908" s="5">
        <v>847</v>
      </c>
      <c r="B908" s="138">
        <f>'Expenditures 15-22'!F53</f>
        <v>733</v>
      </c>
      <c r="C908" s="2" t="s">
        <v>573</v>
      </c>
      <c r="D908" s="2" t="str">
        <f t="shared" si="13"/>
        <v>Error?</v>
      </c>
    </row>
    <row r="909" spans="1:4" x14ac:dyDescent="0.2">
      <c r="A909" s="5">
        <v>848</v>
      </c>
      <c r="B909" s="138">
        <f>'Expenditures 15-22'!F55</f>
        <v>623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623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133920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133954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145555</v>
      </c>
      <c r="C929" s="2" t="s">
        <v>573</v>
      </c>
      <c r="D929" s="2" t="str">
        <f t="shared" si="13"/>
        <v>Error?</v>
      </c>
    </row>
    <row r="930" spans="1:4" x14ac:dyDescent="0.2">
      <c r="A930" s="5">
        <v>869</v>
      </c>
      <c r="B930" s="138">
        <f>'Expenditures 15-22'!F75</f>
        <v>6176</v>
      </c>
      <c r="D930" s="2" t="str">
        <f t="shared" si="13"/>
        <v>Error?</v>
      </c>
    </row>
    <row r="931" spans="1:4" x14ac:dyDescent="0.2">
      <c r="A931" s="5">
        <v>870</v>
      </c>
      <c r="B931" s="138">
        <f>'Expenditures 15-22'!F114</f>
        <v>277324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7632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75275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95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95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7476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7476</v>
      </c>
      <c r="C1021" s="2" t="s">
        <v>573</v>
      </c>
      <c r="D1021" s="2" t="str">
        <f t="shared" si="14"/>
        <v>Error?</v>
      </c>
    </row>
    <row r="1022" spans="1:4" x14ac:dyDescent="0.2">
      <c r="A1022" s="5">
        <v>961</v>
      </c>
      <c r="B1022" s="138">
        <f>'Expenditures 15-22'!H49</f>
        <v>9920</v>
      </c>
      <c r="D1022" s="2" t="str">
        <f t="shared" si="14"/>
        <v>Error?</v>
      </c>
    </row>
    <row r="1023" spans="1:4" x14ac:dyDescent="0.2">
      <c r="A1023" s="5">
        <v>962</v>
      </c>
      <c r="B1023" s="138">
        <f>'Expenditures 15-22'!H50</f>
        <v>3153</v>
      </c>
      <c r="D1023" s="2" t="str">
        <f t="shared" ref="D1023:D1086" si="15">IF(ISBLANK(B1023),"OK",IF(A1023-B1023=0,"OK","Error?"))</f>
        <v>Error?</v>
      </c>
    </row>
    <row r="1024" spans="1:4" x14ac:dyDescent="0.2">
      <c r="A1024" s="5">
        <v>963</v>
      </c>
      <c r="B1024" s="138">
        <f>'Expenditures 15-22'!H53</f>
        <v>13073</v>
      </c>
      <c r="C1024" s="2" t="s">
        <v>573</v>
      </c>
      <c r="D1024" s="2" t="str">
        <f t="shared" si="15"/>
        <v>Error?</v>
      </c>
    </row>
    <row r="1025" spans="1:4" x14ac:dyDescent="0.2">
      <c r="A1025" s="5">
        <v>964</v>
      </c>
      <c r="B1025" s="138">
        <f>'Expenditures 15-22'!H55</f>
        <v>3743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3743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438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24825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238084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338184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1646573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45290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74405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2487385</v>
      </c>
      <c r="C1108" s="2" t="s">
        <v>573</v>
      </c>
      <c r="D1108" s="2" t="str">
        <f t="shared" si="16"/>
        <v>Error?</v>
      </c>
    </row>
    <row r="1109" spans="1:4" x14ac:dyDescent="0.2">
      <c r="A1109" s="5">
        <v>1048</v>
      </c>
      <c r="B1109" s="138">
        <f>'Expenditures 15-22'!K36</f>
        <v>148</v>
      </c>
      <c r="C1109" s="2" t="s">
        <v>573</v>
      </c>
      <c r="D1109" s="2" t="str">
        <f t="shared" si="16"/>
        <v>Error?</v>
      </c>
    </row>
    <row r="1110" spans="1:4" x14ac:dyDescent="0.2">
      <c r="A1110" s="5">
        <v>1049</v>
      </c>
      <c r="B1110" s="138">
        <f>'Expenditures 15-22'!K37</f>
        <v>101656</v>
      </c>
      <c r="C1110" s="2" t="s">
        <v>573</v>
      </c>
      <c r="D1110" s="2" t="str">
        <f t="shared" si="16"/>
        <v>Error?</v>
      </c>
    </row>
    <row r="1111" spans="1:4" x14ac:dyDescent="0.2">
      <c r="A1111" s="5">
        <v>1050</v>
      </c>
      <c r="B1111" s="138">
        <f>'Expenditures 15-22'!K38</f>
        <v>26816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47803</v>
      </c>
      <c r="C1113" s="2" t="s">
        <v>573</v>
      </c>
      <c r="D1113" s="2" t="str">
        <f t="shared" si="16"/>
        <v>Error?</v>
      </c>
    </row>
    <row r="1114" spans="1:4" x14ac:dyDescent="0.2">
      <c r="A1114" s="5">
        <v>1053</v>
      </c>
      <c r="B1114" s="138">
        <f>'Expenditures 15-22'!K41</f>
        <v>1604</v>
      </c>
      <c r="C1114" s="2" t="s">
        <v>573</v>
      </c>
      <c r="D1114" s="2" t="str">
        <f t="shared" si="16"/>
        <v>Error?</v>
      </c>
    </row>
    <row r="1115" spans="1:4" x14ac:dyDescent="0.2">
      <c r="A1115" s="5">
        <v>1054</v>
      </c>
      <c r="B1115" s="138">
        <f>'Expenditures 15-22'!K42</f>
        <v>178027</v>
      </c>
      <c r="C1115" s="2" t="s">
        <v>573</v>
      </c>
      <c r="D1115" s="2" t="str">
        <f t="shared" si="16"/>
        <v>Error?</v>
      </c>
    </row>
    <row r="1116" spans="1:4" x14ac:dyDescent="0.2">
      <c r="A1116" s="5">
        <v>1055</v>
      </c>
      <c r="B1116" s="138">
        <f>'Expenditures 15-22'!K44</f>
        <v>20499</v>
      </c>
      <c r="C1116" s="2" t="s">
        <v>573</v>
      </c>
      <c r="D1116" s="2" t="str">
        <f t="shared" si="16"/>
        <v>Error?</v>
      </c>
    </row>
    <row r="1117" spans="1:4" x14ac:dyDescent="0.2">
      <c r="A1117" s="5">
        <v>1056</v>
      </c>
      <c r="B1117" s="138">
        <f>'Expenditures 15-22'!K45</f>
        <v>67275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87774</v>
      </c>
      <c r="C1119" s="2" t="s">
        <v>573</v>
      </c>
      <c r="D1119" s="2" t="str">
        <f t="shared" si="16"/>
        <v>Error?</v>
      </c>
    </row>
    <row r="1120" spans="1:4" x14ac:dyDescent="0.2">
      <c r="A1120" s="5">
        <v>1059</v>
      </c>
      <c r="B1120" s="138">
        <f>'Expenditures 15-22'!K49</f>
        <v>34052</v>
      </c>
      <c r="C1120" s="2" t="s">
        <v>573</v>
      </c>
      <c r="D1120" s="2" t="str">
        <f t="shared" si="16"/>
        <v>Error?</v>
      </c>
    </row>
    <row r="1121" spans="1:4" x14ac:dyDescent="0.2">
      <c r="A1121" s="5">
        <v>1060</v>
      </c>
      <c r="B1121" s="138">
        <f>'Expenditures 15-22'!K50</f>
        <v>149946</v>
      </c>
      <c r="C1121" s="2" t="s">
        <v>573</v>
      </c>
      <c r="D1121" s="2" t="str">
        <f t="shared" si="16"/>
        <v>Error?</v>
      </c>
    </row>
    <row r="1122" spans="1:4" x14ac:dyDescent="0.2">
      <c r="A1122" s="5">
        <v>1061</v>
      </c>
      <c r="B1122" s="138">
        <f>'Expenditures 15-22'!K53</f>
        <v>183998</v>
      </c>
      <c r="C1122" s="2" t="s">
        <v>573</v>
      </c>
      <c r="D1122" s="2" t="str">
        <f t="shared" si="16"/>
        <v>Error?</v>
      </c>
    </row>
    <row r="1123" spans="1:4" x14ac:dyDescent="0.2">
      <c r="A1123" s="5">
        <v>1062</v>
      </c>
      <c r="B1123" s="138">
        <f>'Expenditures 15-22'!K55</f>
        <v>155507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155507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51175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175527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226702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832008</v>
      </c>
      <c r="C1143" s="2" t="s">
        <v>573</v>
      </c>
      <c r="D1143" s="2" t="str">
        <f t="shared" si="16"/>
        <v>Error?</v>
      </c>
    </row>
    <row r="1144" spans="1:4" x14ac:dyDescent="0.2">
      <c r="A1144" s="5">
        <v>1083</v>
      </c>
      <c r="B1144" s="138">
        <f>'Expenditures 15-22'!K75</f>
        <v>77580</v>
      </c>
      <c r="C1144" s="2" t="s">
        <v>573</v>
      </c>
      <c r="D1144" s="2" t="str">
        <f t="shared" si="16"/>
        <v>Error?</v>
      </c>
    </row>
    <row r="1145" spans="1:4" x14ac:dyDescent="0.2">
      <c r="A1145" s="5">
        <v>1084</v>
      </c>
      <c r="B1145" s="138">
        <f>'Expenditures 15-22'!K102</f>
        <v>283300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3680273</v>
      </c>
      <c r="C1152" s="2" t="s">
        <v>573</v>
      </c>
      <c r="D1152" s="2" t="str">
        <f t="shared" si="17"/>
        <v>Error?</v>
      </c>
    </row>
    <row r="1153" spans="1:4" x14ac:dyDescent="0.2">
      <c r="A1153" s="5">
        <v>1092</v>
      </c>
      <c r="B1153" s="138">
        <f>'Expenditures 15-22'!K115</f>
        <v>190467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111366</v>
      </c>
      <c r="D1221" s="2" t="str">
        <f t="shared" si="18"/>
        <v>Error?</v>
      </c>
    </row>
    <row r="1222" spans="1:4" x14ac:dyDescent="0.2">
      <c r="A1222" s="10">
        <v>1161</v>
      </c>
      <c r="D1222" s="2" t="str">
        <f t="shared" si="18"/>
        <v>OK</v>
      </c>
    </row>
    <row r="1223" spans="1:4" x14ac:dyDescent="0.2">
      <c r="A1223" s="5">
        <v>1162</v>
      </c>
      <c r="B1223" s="138">
        <f>'Expenditures 15-22'!C127</f>
        <v>111366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111366</v>
      </c>
      <c r="C1225" s="2" t="s">
        <v>573</v>
      </c>
      <c r="D1225" s="2" t="str">
        <f t="shared" si="18"/>
        <v>Error?</v>
      </c>
    </row>
    <row r="1226" spans="1:4" x14ac:dyDescent="0.2">
      <c r="A1226" s="5">
        <v>1165</v>
      </c>
      <c r="B1226" s="138">
        <f>'Expenditures 15-22'!C151</f>
        <v>111366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17515</v>
      </c>
      <c r="D1229" s="2" t="str">
        <f t="shared" si="18"/>
        <v>Error?</v>
      </c>
    </row>
    <row r="1230" spans="1:4" x14ac:dyDescent="0.2">
      <c r="A1230" s="10">
        <v>1169</v>
      </c>
      <c r="D1230" s="2" t="str">
        <f t="shared" si="18"/>
        <v>OK</v>
      </c>
    </row>
    <row r="1231" spans="1:4" x14ac:dyDescent="0.2">
      <c r="A1231" s="5">
        <v>1170</v>
      </c>
      <c r="B1231" s="138">
        <f>'Expenditures 15-22'!D127</f>
        <v>17515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17515</v>
      </c>
      <c r="C1233" s="2" t="s">
        <v>573</v>
      </c>
      <c r="D1233" s="2" t="str">
        <f t="shared" si="18"/>
        <v>Error?</v>
      </c>
    </row>
    <row r="1234" spans="1:4" x14ac:dyDescent="0.2">
      <c r="A1234" s="5">
        <v>1173</v>
      </c>
      <c r="B1234" s="138">
        <f>'Expenditures 15-22'!D151</f>
        <v>17515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92229</v>
      </c>
      <c r="D1237" s="2" t="str">
        <f t="shared" si="18"/>
        <v>Error?</v>
      </c>
    </row>
    <row r="1238" spans="1:4" x14ac:dyDescent="0.2">
      <c r="A1238" s="10">
        <v>1177</v>
      </c>
      <c r="D1238" s="2" t="str">
        <f t="shared" si="18"/>
        <v>OK</v>
      </c>
    </row>
    <row r="1239" spans="1:4" x14ac:dyDescent="0.2">
      <c r="A1239" s="5">
        <v>1178</v>
      </c>
      <c r="B1239" s="138">
        <f>'Expenditures 15-22'!E127</f>
        <v>92229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92229</v>
      </c>
      <c r="C1241" s="2" t="s">
        <v>573</v>
      </c>
      <c r="D1241" s="2" t="str">
        <f t="shared" si="18"/>
        <v>Error?</v>
      </c>
    </row>
    <row r="1242" spans="1:4" x14ac:dyDescent="0.2">
      <c r="A1242" s="5">
        <v>1181</v>
      </c>
      <c r="B1242" s="138">
        <f>'Expenditures 15-22'!E151</f>
        <v>92229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65144</v>
      </c>
      <c r="D1245" s="2" t="str">
        <f t="shared" si="18"/>
        <v>Error?</v>
      </c>
    </row>
    <row r="1246" spans="1:4" x14ac:dyDescent="0.2">
      <c r="A1246" s="10">
        <v>1185</v>
      </c>
      <c r="D1246" s="2" t="str">
        <f t="shared" si="18"/>
        <v>OK</v>
      </c>
    </row>
    <row r="1247" spans="1:4" x14ac:dyDescent="0.2">
      <c r="A1247" s="5">
        <v>1186</v>
      </c>
      <c r="B1247" s="138">
        <f>'Expenditures 15-22'!F127</f>
        <v>65144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65144</v>
      </c>
      <c r="C1249" s="2" t="s">
        <v>573</v>
      </c>
      <c r="D1249" s="2" t="str">
        <f t="shared" si="18"/>
        <v>Error?</v>
      </c>
    </row>
    <row r="1250" spans="1:4" x14ac:dyDescent="0.2">
      <c r="A1250" s="5">
        <v>1189</v>
      </c>
      <c r="B1250" s="138">
        <f>'Expenditures 15-22'!F151</f>
        <v>65144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6199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6199</v>
      </c>
      <c r="C1258" s="2" t="s">
        <v>573</v>
      </c>
      <c r="D1258" s="2" t="str">
        <f t="shared" si="18"/>
        <v>Error?</v>
      </c>
    </row>
    <row r="1259" spans="1:4" x14ac:dyDescent="0.2">
      <c r="A1259" s="5">
        <v>1198</v>
      </c>
      <c r="B1259" s="138">
        <f>'Expenditures 15-22'!G151</f>
        <v>6199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292453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292453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292453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292453</v>
      </c>
      <c r="C1288" s="2" t="s">
        <v>573</v>
      </c>
      <c r="D1288" s="2" t="str">
        <f t="shared" si="19"/>
        <v>Error?</v>
      </c>
    </row>
    <row r="1289" spans="1:4" x14ac:dyDescent="0.2">
      <c r="A1289" s="5">
        <v>1228</v>
      </c>
      <c r="B1289" s="138">
        <f>'Expenditures 15-22'!K152</f>
        <v>19049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6733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67733</v>
      </c>
      <c r="C1317" s="2" t="s">
        <v>573</v>
      </c>
      <c r="D1317" s="2" t="str">
        <f t="shared" si="19"/>
        <v>Error?</v>
      </c>
    </row>
    <row r="1318" spans="1:4" x14ac:dyDescent="0.2">
      <c r="A1318" s="5">
        <v>1257</v>
      </c>
      <c r="B1318" s="138">
        <f>'Expenditures 15-22'!H174</f>
        <v>67733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6733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60000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67733</v>
      </c>
      <c r="C1331" s="2" t="s">
        <v>573</v>
      </c>
      <c r="D1331" s="2" t="str">
        <f t="shared" si="19"/>
        <v>Error?</v>
      </c>
    </row>
    <row r="1332" spans="1:4" x14ac:dyDescent="0.2">
      <c r="A1332" s="5">
        <v>1271</v>
      </c>
      <c r="B1332" s="138">
        <f>'Expenditures 15-22'!K174</f>
        <v>67733</v>
      </c>
      <c r="C1332" s="2" t="s">
        <v>573</v>
      </c>
      <c r="D1332" s="2" t="str">
        <f t="shared" si="19"/>
        <v>Error?</v>
      </c>
    </row>
    <row r="1333" spans="1:4" x14ac:dyDescent="0.2">
      <c r="A1333" s="5">
        <v>1272</v>
      </c>
      <c r="B1333" s="138">
        <f>'Expenditures 15-22'!K175</f>
        <v>-3182</v>
      </c>
      <c r="C1333" s="2" t="s">
        <v>573</v>
      </c>
      <c r="D1333" s="2" t="str">
        <f t="shared" si="19"/>
        <v>Error?</v>
      </c>
    </row>
    <row r="1334" spans="1:4" x14ac:dyDescent="0.2">
      <c r="A1334" s="10">
        <v>1273</v>
      </c>
      <c r="D1334" s="2" t="str">
        <f t="shared" si="19"/>
        <v>OK</v>
      </c>
    </row>
    <row r="1335" spans="1:4" x14ac:dyDescent="0.2">
      <c r="A1335" s="5">
        <v>1274</v>
      </c>
      <c r="B1335" s="138">
        <f>'Expenditures 15-22'!C182</f>
        <v>21685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21685</v>
      </c>
      <c r="C1339" s="2" t="s">
        <v>573</v>
      </c>
      <c r="D1339" s="2" t="str">
        <f t="shared" si="19"/>
        <v>Error?</v>
      </c>
    </row>
    <row r="1340" spans="1:4" x14ac:dyDescent="0.2">
      <c r="A1340" s="5">
        <v>1279</v>
      </c>
      <c r="B1340" s="138">
        <f>'Expenditures 15-22'!C210</f>
        <v>21685</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160361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160361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160361</v>
      </c>
      <c r="C1353" s="2" t="s">
        <v>573</v>
      </c>
      <c r="D1353" s="2" t="str">
        <f t="shared" si="20"/>
        <v>Error?</v>
      </c>
    </row>
    <row r="1354" spans="1:4" x14ac:dyDescent="0.2">
      <c r="A1354" s="5">
        <v>1293</v>
      </c>
      <c r="B1354" s="138">
        <f>'Expenditures 15-22'!F182</f>
        <v>3950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3950</v>
      </c>
      <c r="C1358" s="2" t="s">
        <v>573</v>
      </c>
      <c r="D1358" s="2" t="str">
        <f t="shared" si="20"/>
        <v>Error?</v>
      </c>
    </row>
    <row r="1359" spans="1:4" x14ac:dyDescent="0.2">
      <c r="A1359" s="5">
        <v>1298</v>
      </c>
      <c r="B1359" s="138">
        <f>'Expenditures 15-22'!F210</f>
        <v>3950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15882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15882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15882</v>
      </c>
      <c r="C1376" s="2" t="s">
        <v>573</v>
      </c>
      <c r="D1376" s="2" t="str">
        <f t="shared" si="20"/>
        <v>Error?</v>
      </c>
    </row>
    <row r="1377" spans="1:4" x14ac:dyDescent="0.2">
      <c r="A1377" s="5">
        <v>1316</v>
      </c>
      <c r="B1377" s="138">
        <f>'Expenditures 15-22'!K182</f>
        <v>201878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201878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201878</v>
      </c>
      <c r="C1388" s="2" t="s">
        <v>573</v>
      </c>
      <c r="D1388" s="2" t="str">
        <f t="shared" si="20"/>
        <v>Error?</v>
      </c>
    </row>
    <row r="1389" spans="1:4" x14ac:dyDescent="0.2">
      <c r="A1389" s="5">
        <v>1328</v>
      </c>
      <c r="B1389" s="138">
        <f>'Expenditures 15-22'!K211</f>
        <v>20855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139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3039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58469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1251</v>
      </c>
      <c r="D1412" s="2" t="str">
        <f t="shared" si="21"/>
        <v>Error?</v>
      </c>
    </row>
    <row r="1413" spans="1:4" x14ac:dyDescent="0.2">
      <c r="A1413" s="5">
        <v>1352</v>
      </c>
      <c r="B1413" s="138">
        <f>'Expenditures 15-22'!D234</f>
        <v>3314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4565</v>
      </c>
      <c r="C1417" s="2" t="s">
        <v>573</v>
      </c>
      <c r="D1417" s="2" t="str">
        <f t="shared" si="21"/>
        <v>Error?</v>
      </c>
    </row>
    <row r="1418" spans="1:4" x14ac:dyDescent="0.2">
      <c r="A1418" s="5">
        <v>1357</v>
      </c>
      <c r="B1418" s="138">
        <f>'Expenditures 15-22'!D240</f>
        <v>277</v>
      </c>
      <c r="D1418" s="2" t="str">
        <f t="shared" si="21"/>
        <v>Error?</v>
      </c>
    </row>
    <row r="1419" spans="1:4" x14ac:dyDescent="0.2">
      <c r="A1419" s="5">
        <v>1358</v>
      </c>
      <c r="B1419" s="138">
        <f>'Expenditures 15-22'!D241</f>
        <v>7510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7787</v>
      </c>
      <c r="C1421" s="2" t="s">
        <v>573</v>
      </c>
      <c r="D1421" s="2" t="str">
        <f t="shared" si="21"/>
        <v>Error?</v>
      </c>
    </row>
    <row r="1422" spans="1:4" x14ac:dyDescent="0.2">
      <c r="A1422" s="5">
        <v>1361</v>
      </c>
      <c r="B1422" s="138">
        <f>'Expenditures 15-22'!D245</f>
        <v>179</v>
      </c>
      <c r="D1422" s="2" t="str">
        <f t="shared" si="21"/>
        <v>Error?</v>
      </c>
    </row>
    <row r="1423" spans="1:4" x14ac:dyDescent="0.2">
      <c r="A1423" s="5">
        <v>1362</v>
      </c>
      <c r="B1423" s="138">
        <f>'Expenditures 15-22'!D246</f>
        <v>5859</v>
      </c>
      <c r="D1423" s="2" t="str">
        <f t="shared" si="21"/>
        <v>Error?</v>
      </c>
    </row>
    <row r="1424" spans="1:4" x14ac:dyDescent="0.2">
      <c r="A1424" s="5">
        <v>1363</v>
      </c>
      <c r="B1424" s="138">
        <f>'Expenditures 15-22'!D257</f>
        <v>15389</v>
      </c>
      <c r="C1424" s="2" t="s">
        <v>573</v>
      </c>
      <c r="D1424" s="2" t="str">
        <f t="shared" si="21"/>
        <v>Error?</v>
      </c>
    </row>
    <row r="1425" spans="1:4" x14ac:dyDescent="0.2">
      <c r="A1425" s="5">
        <v>1364</v>
      </c>
      <c r="B1425" s="138">
        <f>'Expenditures 15-22'!D259</f>
        <v>7121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7121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5972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16381</v>
      </c>
      <c r="D1431" s="2" t="str">
        <f t="shared" si="21"/>
        <v>Error?</v>
      </c>
    </row>
    <row r="1432" spans="1:4" x14ac:dyDescent="0.2">
      <c r="A1432" s="5">
        <v>1371</v>
      </c>
      <c r="B1432" s="138">
        <f>'Expenditures 15-22'!D267</f>
        <v>2293</v>
      </c>
      <c r="D1432" s="2" t="str">
        <f t="shared" si="21"/>
        <v>Error?</v>
      </c>
    </row>
    <row r="1433" spans="1:4" x14ac:dyDescent="0.2">
      <c r="A1433" s="5">
        <v>1372</v>
      </c>
      <c r="B1433" s="138">
        <f>'Expenditures 15-22'!D268</f>
        <v>6437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31083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65945</v>
      </c>
      <c r="C1446" s="2" t="s">
        <v>573</v>
      </c>
      <c r="D1446" s="2" t="str">
        <f t="shared" si="21"/>
        <v>Error?</v>
      </c>
    </row>
    <row r="1447" spans="1:4" x14ac:dyDescent="0.2">
      <c r="A1447" s="5">
        <v>1386</v>
      </c>
      <c r="B1447" s="138">
        <f>'Expenditures 15-22'!D280</f>
        <v>10563</v>
      </c>
      <c r="D1447" s="2" t="str">
        <f t="shared" si="21"/>
        <v>Error?</v>
      </c>
    </row>
    <row r="1448" spans="1:4" x14ac:dyDescent="0.2">
      <c r="A1448" s="5">
        <v>1387</v>
      </c>
      <c r="B1448" s="138">
        <f>'Expenditures 15-22'!D295</f>
        <v>134977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139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3039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58469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1251</v>
      </c>
      <c r="C1476" s="2" t="s">
        <v>573</v>
      </c>
      <c r="D1476" s="2" t="str">
        <f t="shared" si="22"/>
        <v>Error?</v>
      </c>
    </row>
    <row r="1477" spans="1:4" x14ac:dyDescent="0.2">
      <c r="A1477" s="5">
        <v>1416</v>
      </c>
      <c r="B1477" s="138">
        <f>'Expenditures 15-22'!K234</f>
        <v>3314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4565</v>
      </c>
      <c r="C1481" s="2" t="s">
        <v>573</v>
      </c>
      <c r="D1481" s="2" t="str">
        <f t="shared" si="22"/>
        <v>Error?</v>
      </c>
    </row>
    <row r="1482" spans="1:4" x14ac:dyDescent="0.2">
      <c r="A1482" s="5">
        <v>1421</v>
      </c>
      <c r="B1482" s="138">
        <f>'Expenditures 15-22'!K240</f>
        <v>277</v>
      </c>
      <c r="C1482" s="2" t="s">
        <v>573</v>
      </c>
      <c r="D1482" s="2" t="str">
        <f t="shared" si="22"/>
        <v>Error?</v>
      </c>
    </row>
    <row r="1483" spans="1:4" x14ac:dyDescent="0.2">
      <c r="A1483" s="5">
        <v>1422</v>
      </c>
      <c r="B1483" s="138">
        <f>'Expenditures 15-22'!K241</f>
        <v>7510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7787</v>
      </c>
      <c r="C1485" s="2" t="s">
        <v>573</v>
      </c>
      <c r="D1485" s="2" t="str">
        <f t="shared" si="22"/>
        <v>Error?</v>
      </c>
    </row>
    <row r="1486" spans="1:4" x14ac:dyDescent="0.2">
      <c r="A1486" s="5">
        <v>1425</v>
      </c>
      <c r="B1486" s="138">
        <f>'Expenditures 15-22'!K245</f>
        <v>179</v>
      </c>
      <c r="C1486" s="2" t="s">
        <v>573</v>
      </c>
      <c r="D1486" s="2" t="str">
        <f t="shared" si="22"/>
        <v>Error?</v>
      </c>
    </row>
    <row r="1487" spans="1:4" x14ac:dyDescent="0.2">
      <c r="A1487" s="5">
        <v>1426</v>
      </c>
      <c r="B1487" s="138">
        <f>'Expenditures 15-22'!K246</f>
        <v>5859</v>
      </c>
      <c r="C1487" s="2" t="s">
        <v>573</v>
      </c>
      <c r="D1487" s="2" t="str">
        <f t="shared" si="22"/>
        <v>Error?</v>
      </c>
    </row>
    <row r="1488" spans="1:4" x14ac:dyDescent="0.2">
      <c r="A1488" s="5">
        <v>1427</v>
      </c>
      <c r="B1488" s="138">
        <f>'Expenditures 15-22'!K257</f>
        <v>15389</v>
      </c>
      <c r="C1488" s="2" t="s">
        <v>573</v>
      </c>
      <c r="D1488" s="2" t="str">
        <f t="shared" si="22"/>
        <v>Error?</v>
      </c>
    </row>
    <row r="1489" spans="1:4" x14ac:dyDescent="0.2">
      <c r="A1489" s="5">
        <v>1428</v>
      </c>
      <c r="B1489" s="138">
        <f>'Expenditures 15-22'!K259</f>
        <v>7121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7121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5972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16381</v>
      </c>
      <c r="C1495" s="2" t="s">
        <v>573</v>
      </c>
      <c r="D1495" s="2" t="str">
        <f t="shared" si="22"/>
        <v>Error?</v>
      </c>
    </row>
    <row r="1496" spans="1:4" x14ac:dyDescent="0.2">
      <c r="A1496" s="5">
        <v>1435</v>
      </c>
      <c r="B1496" s="138">
        <f>'Expenditures 15-22'!K267</f>
        <v>2293</v>
      </c>
      <c r="C1496" s="2" t="s">
        <v>573</v>
      </c>
      <c r="D1496" s="2" t="str">
        <f t="shared" si="22"/>
        <v>Error?</v>
      </c>
    </row>
    <row r="1497" spans="1:4" x14ac:dyDescent="0.2">
      <c r="A1497" s="5">
        <v>1436</v>
      </c>
      <c r="B1497" s="138">
        <f>'Expenditures 15-22'!K268</f>
        <v>6437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31083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65945</v>
      </c>
      <c r="C1510" s="2" t="s">
        <v>573</v>
      </c>
      <c r="D1510" s="2" t="str">
        <f t="shared" si="22"/>
        <v>Error?</v>
      </c>
    </row>
    <row r="1511" spans="1:4" x14ac:dyDescent="0.2">
      <c r="A1511" s="5">
        <v>1450</v>
      </c>
      <c r="B1511" s="138">
        <f>'Expenditures 15-22'!K280</f>
        <v>10563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134977</v>
      </c>
      <c r="C1517" s="2" t="s">
        <v>573</v>
      </c>
      <c r="D1517" s="2" t="str">
        <f t="shared" si="22"/>
        <v>Error?</v>
      </c>
    </row>
    <row r="1518" spans="1:4" x14ac:dyDescent="0.2">
      <c r="A1518" s="5">
        <v>1457</v>
      </c>
      <c r="B1518" s="138">
        <f>'Expenditures 15-22'!K296</f>
        <v>-8810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654680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845147</v>
      </c>
      <c r="C1630" s="2" t="s">
        <v>573</v>
      </c>
      <c r="D1630" s="2" t="str">
        <f t="shared" si="24"/>
        <v>Error?</v>
      </c>
    </row>
    <row r="1631" spans="1:4" x14ac:dyDescent="0.2">
      <c r="A1631" s="5">
        <v>1570</v>
      </c>
      <c r="B1631" s="138">
        <f>'Acct Summary 7-8'!D79</f>
        <v>47134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66183</v>
      </c>
      <c r="C1644" s="2" t="s">
        <v>573</v>
      </c>
      <c r="D1644" s="2" t="str">
        <f t="shared" si="24"/>
        <v>Error?</v>
      </c>
    </row>
    <row r="1645" spans="1:4" x14ac:dyDescent="0.2">
      <c r="A1645" s="5">
        <v>1584</v>
      </c>
      <c r="B1645" s="138">
        <f>'Acct Summary 7-8'!E79</f>
        <v>441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-2741</v>
      </c>
      <c r="C1658" s="2" t="s">
        <v>573</v>
      </c>
      <c r="D1658" s="2" t="str">
        <f t="shared" si="24"/>
        <v>Error?</v>
      </c>
    </row>
    <row r="1659" spans="1:4" x14ac:dyDescent="0.2">
      <c r="A1659" s="5">
        <v>1598</v>
      </c>
      <c r="B1659" s="138">
        <f>'Acct Summary 7-8'!F79</f>
        <v>14751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35606</v>
      </c>
      <c r="C1672" s="2" t="s">
        <v>573</v>
      </c>
      <c r="D1672" s="2" t="str">
        <f t="shared" si="25"/>
        <v>Error?</v>
      </c>
    </row>
    <row r="1673" spans="1:4" x14ac:dyDescent="0.2">
      <c r="A1673" s="5">
        <v>1612</v>
      </c>
      <c r="B1673" s="138">
        <f>'Acct Summary 7-8'!G79</f>
        <v>192765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183955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185973</v>
      </c>
      <c r="C1744" s="2" t="s">
        <v>573</v>
      </c>
      <c r="D1744" s="2" t="str">
        <f t="shared" si="26"/>
        <v>Error?</v>
      </c>
    </row>
    <row r="1745" spans="1:5" x14ac:dyDescent="0.2">
      <c r="A1745" s="5">
        <v>1684</v>
      </c>
      <c r="B1745" s="138">
        <f>'Tax Sched 23'!B5</f>
        <v>36807</v>
      </c>
      <c r="C1745" s="2" t="s">
        <v>573</v>
      </c>
      <c r="D1745" s="2" t="str">
        <f t="shared" si="26"/>
        <v>Error?</v>
      </c>
    </row>
    <row r="1746" spans="1:5" x14ac:dyDescent="0.2">
      <c r="A1746" s="5">
        <v>1685</v>
      </c>
      <c r="B1746" s="138">
        <f>'Tax Sched 23'!B6</f>
        <v>64551</v>
      </c>
      <c r="C1746" s="2" t="s">
        <v>573</v>
      </c>
      <c r="D1746" s="2" t="str">
        <f t="shared" si="26"/>
        <v>Error?</v>
      </c>
    </row>
    <row r="1747" spans="1:5" x14ac:dyDescent="0.2">
      <c r="A1747" s="5">
        <v>1686</v>
      </c>
      <c r="B1747" s="138">
        <f>'Tax Sched 23'!B7</f>
        <v>15438</v>
      </c>
      <c r="C1747" s="2" t="s">
        <v>573</v>
      </c>
      <c r="D1747" s="2" t="str">
        <f t="shared" si="26"/>
        <v>Error?</v>
      </c>
    </row>
    <row r="1748" spans="1:5" x14ac:dyDescent="0.2">
      <c r="A1748" s="5">
        <v>1687</v>
      </c>
      <c r="B1748" s="138">
        <f>'Tax Sched 23'!B8</f>
        <v>62058</v>
      </c>
      <c r="C1748" s="2" t="s">
        <v>573</v>
      </c>
      <c r="D1748" s="2" t="str">
        <f t="shared" si="26"/>
        <v>Error?</v>
      </c>
    </row>
    <row r="1749" spans="1:5" x14ac:dyDescent="0.2">
      <c r="A1749" s="5">
        <v>1688</v>
      </c>
      <c r="B1749" s="138">
        <f>'Tax Sched 23'!B10</f>
        <v>3861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114191</v>
      </c>
      <c r="C1752" s="2" t="s">
        <v>573</v>
      </c>
      <c r="D1752" s="2" t="str">
        <f t="shared" si="26"/>
        <v>Error?</v>
      </c>
    </row>
    <row r="1753" spans="1:5" x14ac:dyDescent="0.2">
      <c r="A1753" s="5">
        <v>1692</v>
      </c>
      <c r="B1753" s="138">
        <f>'Tax Sched 23'!B12</f>
        <v>3861</v>
      </c>
      <c r="C1753" s="2" t="s">
        <v>573</v>
      </c>
      <c r="D1753" s="2" t="str">
        <f t="shared" si="26"/>
        <v>Error?</v>
      </c>
    </row>
    <row r="1754" spans="1:5" x14ac:dyDescent="0.2">
      <c r="A1754" s="5">
        <v>1693</v>
      </c>
      <c r="B1754" s="138">
        <f>'Tax Sched 23'!B14</f>
        <v>3088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555747</v>
      </c>
      <c r="C1759" s="2" t="s">
        <v>573</v>
      </c>
      <c r="D1759" s="2" t="str">
        <f t="shared" si="26"/>
        <v>Error?</v>
      </c>
    </row>
    <row r="1760" spans="1:5" x14ac:dyDescent="0.2">
      <c r="A1760" s="5">
        <v>1699</v>
      </c>
      <c r="B1760" s="138">
        <f>'Tax Sched 23'!D4</f>
        <v>185973</v>
      </c>
      <c r="C1760" s="2" t="s">
        <v>573</v>
      </c>
      <c r="D1760" s="2" t="str">
        <f t="shared" si="26"/>
        <v>Error?</v>
      </c>
    </row>
    <row r="1761" spans="1:5" x14ac:dyDescent="0.2">
      <c r="A1761" s="5">
        <v>1700</v>
      </c>
      <c r="B1761" s="138">
        <f>'Tax Sched 23'!D5</f>
        <v>36807</v>
      </c>
      <c r="C1761" s="2" t="s">
        <v>573</v>
      </c>
      <c r="D1761" s="2" t="str">
        <f t="shared" si="26"/>
        <v>Error?</v>
      </c>
    </row>
    <row r="1762" spans="1:5" s="8" customFormat="1" x14ac:dyDescent="0.2">
      <c r="A1762" s="5">
        <v>1701</v>
      </c>
      <c r="B1762" s="138">
        <f>'Tax Sched 23'!D6</f>
        <v>64551</v>
      </c>
      <c r="C1762" s="2" t="s">
        <v>573</v>
      </c>
      <c r="D1762" s="2" t="str">
        <f t="shared" si="26"/>
        <v>Error?</v>
      </c>
      <c r="E1762" s="9"/>
    </row>
    <row r="1763" spans="1:5" x14ac:dyDescent="0.2">
      <c r="A1763" s="5">
        <v>1702</v>
      </c>
      <c r="B1763" s="138">
        <f>'Tax Sched 23'!D7</f>
        <v>15438</v>
      </c>
      <c r="C1763" s="2" t="s">
        <v>573</v>
      </c>
      <c r="D1763" s="2" t="str">
        <f t="shared" si="26"/>
        <v>Error?</v>
      </c>
    </row>
    <row r="1764" spans="1:5" x14ac:dyDescent="0.2">
      <c r="A1764" s="5">
        <v>1703</v>
      </c>
      <c r="B1764" s="138">
        <f>'Tax Sched 23'!D8</f>
        <v>62058</v>
      </c>
      <c r="C1764" s="2" t="s">
        <v>573</v>
      </c>
      <c r="D1764" s="2" t="str">
        <f t="shared" si="26"/>
        <v>Error?</v>
      </c>
    </row>
    <row r="1765" spans="1:5" x14ac:dyDescent="0.2">
      <c r="A1765" s="5">
        <v>1704</v>
      </c>
      <c r="B1765" s="138">
        <f>'Tax Sched 23'!D10</f>
        <v>3861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114191</v>
      </c>
      <c r="C1768" s="2" t="s">
        <v>573</v>
      </c>
      <c r="D1768" s="2" t="str">
        <f t="shared" si="26"/>
        <v>Error?</v>
      </c>
    </row>
    <row r="1769" spans="1:5" x14ac:dyDescent="0.2">
      <c r="A1769" s="5">
        <v>1708</v>
      </c>
      <c r="B1769" s="138">
        <f>'Tax Sched 23'!D12</f>
        <v>3861</v>
      </c>
      <c r="C1769" s="2" t="s">
        <v>573</v>
      </c>
      <c r="D1769" s="2" t="str">
        <f t="shared" si="26"/>
        <v>Error?</v>
      </c>
    </row>
    <row r="1770" spans="1:5" x14ac:dyDescent="0.2">
      <c r="A1770" s="5">
        <v>1709</v>
      </c>
      <c r="B1770" s="138">
        <f>'Tax Sched 23'!D14</f>
        <v>3088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555747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200077</v>
      </c>
      <c r="C1792" s="2" t="s">
        <v>573</v>
      </c>
      <c r="D1792" s="2" t="str">
        <f t="shared" si="27"/>
        <v>Error?</v>
      </c>
    </row>
    <row r="1793" spans="1:4" x14ac:dyDescent="0.2">
      <c r="A1793" s="5">
        <v>1732</v>
      </c>
      <c r="B1793" s="138">
        <f>'Tax Sched 23'!F5</f>
        <v>39599</v>
      </c>
      <c r="C1793" s="2" t="s">
        <v>573</v>
      </c>
      <c r="D1793" s="2" t="str">
        <f t="shared" si="27"/>
        <v>Error?</v>
      </c>
    </row>
    <row r="1794" spans="1:4" x14ac:dyDescent="0.2">
      <c r="A1794" s="5">
        <v>1733</v>
      </c>
      <c r="B1794" s="138">
        <f>'Tax Sched 23'!F6</f>
        <v>69026</v>
      </c>
      <c r="C1794" s="2" t="s">
        <v>573</v>
      </c>
      <c r="D1794" s="2" t="str">
        <f t="shared" si="27"/>
        <v>Error?</v>
      </c>
    </row>
    <row r="1795" spans="1:4" x14ac:dyDescent="0.2">
      <c r="A1795" s="5">
        <v>1734</v>
      </c>
      <c r="B1795" s="138">
        <f>'Tax Sched 23'!F7</f>
        <v>16673</v>
      </c>
      <c r="C1795" s="2" t="s">
        <v>573</v>
      </c>
      <c r="D1795" s="2" t="str">
        <f t="shared" si="27"/>
        <v>Error?</v>
      </c>
    </row>
    <row r="1796" spans="1:4" x14ac:dyDescent="0.2">
      <c r="A1796" s="5">
        <v>1735</v>
      </c>
      <c r="B1796" s="138">
        <f>'Tax Sched 23'!F8</f>
        <v>64001</v>
      </c>
      <c r="C1796" s="2" t="s">
        <v>573</v>
      </c>
      <c r="D1796" s="2" t="str">
        <f t="shared" si="27"/>
        <v>Error?</v>
      </c>
    </row>
    <row r="1797" spans="1:4" x14ac:dyDescent="0.2">
      <c r="A1797" s="5">
        <v>1736</v>
      </c>
      <c r="B1797" s="138">
        <f>'Tax Sched 23'!F10</f>
        <v>4168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118101</v>
      </c>
      <c r="C1800" s="2" t="s">
        <v>573</v>
      </c>
      <c r="D1800" s="2" t="str">
        <f t="shared" si="27"/>
        <v>Error?</v>
      </c>
    </row>
    <row r="1801" spans="1:4" x14ac:dyDescent="0.2">
      <c r="A1801" s="5">
        <v>1740</v>
      </c>
      <c r="B1801" s="138">
        <f>'Tax Sched 23'!F12</f>
        <v>4168</v>
      </c>
      <c r="C1801" s="2" t="s">
        <v>573</v>
      </c>
      <c r="D1801" s="2" t="str">
        <f t="shared" si="27"/>
        <v>Error?</v>
      </c>
    </row>
    <row r="1802" spans="1:4" x14ac:dyDescent="0.2">
      <c r="A1802" s="5">
        <v>1741</v>
      </c>
      <c r="B1802" s="138">
        <f>'Tax Sched 23'!F14</f>
        <v>3335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587317</v>
      </c>
      <c r="C1807" s="2" t="s">
        <v>573</v>
      </c>
      <c r="D1807" s="2" t="str">
        <f t="shared" si="27"/>
        <v>Error?</v>
      </c>
    </row>
    <row r="1808" spans="1:4" x14ac:dyDescent="0.2">
      <c r="A1808" s="5">
        <v>1747</v>
      </c>
      <c r="B1808" s="138">
        <f>'Tax Sched 23'!E4</f>
        <v>200077</v>
      </c>
      <c r="D1808" s="2" t="str">
        <f t="shared" si="27"/>
        <v>Error?</v>
      </c>
    </row>
    <row r="1809" spans="1:4" x14ac:dyDescent="0.2">
      <c r="A1809" s="5">
        <v>1748</v>
      </c>
      <c r="B1809" s="138">
        <f>'Tax Sched 23'!E5</f>
        <v>39599</v>
      </c>
      <c r="D1809" s="2" t="str">
        <f t="shared" si="27"/>
        <v>Error?</v>
      </c>
    </row>
    <row r="1810" spans="1:4" x14ac:dyDescent="0.2">
      <c r="A1810" s="5">
        <v>1749</v>
      </c>
      <c r="B1810" s="138">
        <f>'Tax Sched 23'!E6</f>
        <v>69026</v>
      </c>
      <c r="D1810" s="2" t="str">
        <f t="shared" si="27"/>
        <v>Error?</v>
      </c>
    </row>
    <row r="1811" spans="1:4" x14ac:dyDescent="0.2">
      <c r="A1811" s="5">
        <v>1750</v>
      </c>
      <c r="B1811" s="138">
        <f>'Tax Sched 23'!E7</f>
        <v>16673</v>
      </c>
      <c r="D1811" s="2" t="str">
        <f t="shared" si="27"/>
        <v>Error?</v>
      </c>
    </row>
    <row r="1812" spans="1:4" x14ac:dyDescent="0.2">
      <c r="A1812" s="5">
        <v>1751</v>
      </c>
      <c r="B1812" s="138">
        <f>'Tax Sched 23'!E8</f>
        <v>64001</v>
      </c>
      <c r="D1812" s="2" t="str">
        <f t="shared" si="27"/>
        <v>Error?</v>
      </c>
    </row>
    <row r="1813" spans="1:4" x14ac:dyDescent="0.2">
      <c r="A1813" s="5">
        <v>1752</v>
      </c>
      <c r="B1813" s="138">
        <f>'Tax Sched 23'!E10</f>
        <v>4168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118101</v>
      </c>
      <c r="D1816" s="2" t="str">
        <f t="shared" si="27"/>
        <v>Error?</v>
      </c>
    </row>
    <row r="1817" spans="1:4" x14ac:dyDescent="0.2">
      <c r="A1817" s="5">
        <v>1756</v>
      </c>
      <c r="B1817" s="138">
        <f>'Tax Sched 23'!E12</f>
        <v>4168</v>
      </c>
      <c r="D1817" s="2" t="str">
        <f t="shared" si="27"/>
        <v>Error?</v>
      </c>
    </row>
    <row r="1818" spans="1:4" x14ac:dyDescent="0.2">
      <c r="A1818" s="5">
        <v>1757</v>
      </c>
      <c r="B1818" s="138">
        <f>'Tax Sched 23'!E14</f>
        <v>3335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587317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3088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3088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99312</v>
      </c>
      <c r="D2008" s="2" t="str">
        <f t="shared" si="30"/>
        <v>Error?</v>
      </c>
    </row>
    <row r="2009" spans="1:4" x14ac:dyDescent="0.2">
      <c r="A2009" s="5">
        <v>1948</v>
      </c>
      <c r="B2009" s="138">
        <f>'Cap Outlay Deprec 26'!C8</f>
        <v>2246964</v>
      </c>
      <c r="D2009" s="2" t="str">
        <f t="shared" si="30"/>
        <v>Error?</v>
      </c>
    </row>
    <row r="2010" spans="1:4" x14ac:dyDescent="0.2">
      <c r="A2010" s="5">
        <v>1949</v>
      </c>
      <c r="B2010" s="138">
        <f>'Cap Outlay Deprec 26'!C10</f>
        <v>176024</v>
      </c>
      <c r="D2010" s="2" t="str">
        <f t="shared" si="30"/>
        <v>Error?</v>
      </c>
    </row>
    <row r="2011" spans="1:4" x14ac:dyDescent="0.2">
      <c r="A2011" s="5">
        <v>1950</v>
      </c>
      <c r="B2011" s="138">
        <f>'Cap Outlay Deprec 26'!C12</f>
        <v>1628238</v>
      </c>
      <c r="D2011" s="2" t="str">
        <f t="shared" si="30"/>
        <v>Error?</v>
      </c>
    </row>
    <row r="2012" spans="1:4" x14ac:dyDescent="0.2">
      <c r="A2012" s="5">
        <v>1951</v>
      </c>
      <c r="B2012" s="138">
        <f>'Cap Outlay Deprec 26'!C13</f>
        <v>88361</v>
      </c>
      <c r="D2012" s="2" t="str">
        <f t="shared" si="30"/>
        <v>Error?</v>
      </c>
    </row>
    <row r="2013" spans="1:4" x14ac:dyDescent="0.2">
      <c r="A2013" s="5">
        <v>1952</v>
      </c>
      <c r="B2013" s="138">
        <f>'Cap Outlay Deprec 26'!C16</f>
        <v>4318732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6199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6199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22000</v>
      </c>
      <c r="D2024" s="2" t="str">
        <f t="shared" si="30"/>
        <v>Error?</v>
      </c>
    </row>
    <row r="2025" spans="1:4" x14ac:dyDescent="0.2">
      <c r="A2025" s="5">
        <v>1964</v>
      </c>
      <c r="B2025" s="138">
        <f>'Cap Outlay Deprec 26'!E16</f>
        <v>22000</v>
      </c>
      <c r="C2025" s="2" t="s">
        <v>573</v>
      </c>
      <c r="D2025" s="2" t="str">
        <f t="shared" si="30"/>
        <v>Error?</v>
      </c>
    </row>
    <row r="2026" spans="1:4" x14ac:dyDescent="0.2">
      <c r="A2026" s="5">
        <v>1965</v>
      </c>
      <c r="B2026" s="138">
        <f>'Cap Outlay Deprec 26'!F5</f>
        <v>99312</v>
      </c>
      <c r="C2026" s="2" t="s">
        <v>573</v>
      </c>
      <c r="D2026" s="2" t="str">
        <f t="shared" si="30"/>
        <v>Error?</v>
      </c>
    </row>
    <row r="2027" spans="1:4" x14ac:dyDescent="0.2">
      <c r="A2027" s="5">
        <v>1966</v>
      </c>
      <c r="B2027" s="138">
        <f>'Cap Outlay Deprec 26'!F8</f>
        <v>2246964</v>
      </c>
      <c r="C2027" s="2" t="s">
        <v>573</v>
      </c>
      <c r="D2027" s="2" t="str">
        <f t="shared" si="30"/>
        <v>Error?</v>
      </c>
    </row>
    <row r="2028" spans="1:4" x14ac:dyDescent="0.2">
      <c r="A2028" s="5">
        <v>1967</v>
      </c>
      <c r="B2028" s="138">
        <f>'Cap Outlay Deprec 26'!F10</f>
        <v>176024</v>
      </c>
      <c r="C2028" s="2" t="s">
        <v>573</v>
      </c>
      <c r="D2028" s="2" t="str">
        <f t="shared" si="30"/>
        <v>Error?</v>
      </c>
    </row>
    <row r="2029" spans="1:4" x14ac:dyDescent="0.2">
      <c r="A2029" s="5">
        <v>1968</v>
      </c>
      <c r="B2029" s="138">
        <f>'Cap Outlay Deprec 26'!F12</f>
        <v>1634437</v>
      </c>
      <c r="C2029" s="2" t="s">
        <v>573</v>
      </c>
      <c r="D2029" s="2" t="str">
        <f t="shared" si="30"/>
        <v>Error?</v>
      </c>
    </row>
    <row r="2030" spans="1:4" x14ac:dyDescent="0.2">
      <c r="A2030" s="5">
        <v>1969</v>
      </c>
      <c r="B2030" s="138">
        <f>'Cap Outlay Deprec 26'!F13</f>
        <v>66361</v>
      </c>
      <c r="C2030" s="2" t="s">
        <v>573</v>
      </c>
      <c r="D2030" s="2" t="str">
        <f t="shared" si="30"/>
        <v>Error?</v>
      </c>
    </row>
    <row r="2031" spans="1:4" x14ac:dyDescent="0.2">
      <c r="A2031" s="5">
        <v>1970</v>
      </c>
      <c r="B2031" s="138">
        <f>'Cap Outlay Deprec 26'!F16</f>
        <v>4302931</v>
      </c>
      <c r="C2031" s="2" t="s">
        <v>573</v>
      </c>
      <c r="D2031" s="2" t="str">
        <f t="shared" si="30"/>
        <v>Error?</v>
      </c>
    </row>
    <row r="2032" spans="1:4" x14ac:dyDescent="0.2">
      <c r="A2032" s="10">
        <v>1971</v>
      </c>
      <c r="D2032" s="2" t="str">
        <f t="shared" si="30"/>
        <v>OK</v>
      </c>
    </row>
    <row r="2033" spans="1:4" x14ac:dyDescent="0.2">
      <c r="A2033" s="5">
        <v>1972</v>
      </c>
      <c r="B2033" s="138">
        <f>'Cap Outlay Deprec 26'!H8</f>
        <v>1371242</v>
      </c>
      <c r="D2033" s="2" t="str">
        <f t="shared" si="30"/>
        <v>Error?</v>
      </c>
    </row>
    <row r="2034" spans="1:4" x14ac:dyDescent="0.2">
      <c r="A2034" s="5">
        <v>1973</v>
      </c>
      <c r="B2034" s="138">
        <f>'Cap Outlay Deprec 26'!H10</f>
        <v>102040</v>
      </c>
      <c r="D2034" s="2" t="str">
        <f t="shared" si="30"/>
        <v>Error?</v>
      </c>
    </row>
    <row r="2035" spans="1:4" x14ac:dyDescent="0.2">
      <c r="A2035" s="5">
        <v>1974</v>
      </c>
      <c r="B2035" s="138">
        <f>'Cap Outlay Deprec 26'!H12</f>
        <v>1617295</v>
      </c>
      <c r="D2035" s="2" t="str">
        <f t="shared" si="30"/>
        <v>Error?</v>
      </c>
    </row>
    <row r="2036" spans="1:4" x14ac:dyDescent="0.2">
      <c r="A2036" s="5">
        <v>1975</v>
      </c>
      <c r="B2036" s="138">
        <f>'Cap Outlay Deprec 26'!H13</f>
        <v>82789</v>
      </c>
      <c r="D2036" s="2" t="str">
        <f t="shared" si="30"/>
        <v>Error?</v>
      </c>
    </row>
    <row r="2037" spans="1:4" x14ac:dyDescent="0.2">
      <c r="A2037" s="5">
        <v>1976</v>
      </c>
      <c r="B2037" s="138">
        <f>'Cap Outlay Deprec 26'!H16</f>
        <v>3237712</v>
      </c>
      <c r="C2037" s="2" t="s">
        <v>573</v>
      </c>
      <c r="D2037" s="2" t="str">
        <f t="shared" si="30"/>
        <v>Error?</v>
      </c>
    </row>
    <row r="2038" spans="1:4" x14ac:dyDescent="0.2">
      <c r="A2038" s="10">
        <v>1977</v>
      </c>
      <c r="D2038" s="2" t="str">
        <f t="shared" si="30"/>
        <v>OK</v>
      </c>
    </row>
    <row r="2039" spans="1:4" x14ac:dyDescent="0.2">
      <c r="A2039" s="5">
        <v>1978</v>
      </c>
      <c r="B2039" s="138">
        <f>'Cap Outlay Deprec 26'!I8</f>
        <v>66093</v>
      </c>
      <c r="D2039" s="2" t="str">
        <f t="shared" si="30"/>
        <v>Error?</v>
      </c>
    </row>
    <row r="2040" spans="1:4" x14ac:dyDescent="0.2">
      <c r="A2040" s="5">
        <v>1979</v>
      </c>
      <c r="B2040" s="138">
        <f>'Cap Outlay Deprec 26'!I10</f>
        <v>5864</v>
      </c>
      <c r="D2040" s="2" t="str">
        <f t="shared" si="30"/>
        <v>Error?</v>
      </c>
    </row>
    <row r="2041" spans="1:4" x14ac:dyDescent="0.2">
      <c r="A2041" s="5">
        <v>1980</v>
      </c>
      <c r="B2041" s="138">
        <f>'Cap Outlay Deprec 26'!I12</f>
        <v>3018</v>
      </c>
      <c r="D2041" s="2" t="str">
        <f t="shared" si="30"/>
        <v>Error?</v>
      </c>
    </row>
    <row r="2042" spans="1:4" x14ac:dyDescent="0.2">
      <c r="A2042" s="5">
        <v>1981</v>
      </c>
      <c r="B2042" s="138">
        <f>'Cap Outlay Deprec 26'!I13</f>
        <v>2785</v>
      </c>
      <c r="D2042" s="2" t="str">
        <f t="shared" si="30"/>
        <v>Error?</v>
      </c>
    </row>
    <row r="2043" spans="1:4" x14ac:dyDescent="0.2">
      <c r="A2043" s="5">
        <v>1982</v>
      </c>
      <c r="B2043" s="138">
        <f>'Cap Outlay Deprec 26'!I16</f>
        <v>80272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22000</v>
      </c>
      <c r="D2048" s="2" t="str">
        <f t="shared" si="31"/>
        <v>Error?</v>
      </c>
    </row>
    <row r="2049" spans="1:4" x14ac:dyDescent="0.2">
      <c r="A2049" s="5">
        <v>1988</v>
      </c>
      <c r="B2049" s="138">
        <f>'Cap Outlay Deprec 26'!J16</f>
        <v>22000</v>
      </c>
      <c r="C2049" s="2" t="s">
        <v>573</v>
      </c>
      <c r="D2049" s="2" t="str">
        <f t="shared" si="31"/>
        <v>Error?</v>
      </c>
    </row>
    <row r="2050" spans="1:4" x14ac:dyDescent="0.2">
      <c r="A2050" s="10">
        <v>1989</v>
      </c>
      <c r="D2050" s="2" t="str">
        <f t="shared" si="31"/>
        <v>OK</v>
      </c>
    </row>
    <row r="2051" spans="1:4" x14ac:dyDescent="0.2">
      <c r="A2051" s="5">
        <v>1990</v>
      </c>
      <c r="B2051" s="138">
        <f>'Cap Outlay Deprec 26'!K8</f>
        <v>1437335</v>
      </c>
      <c r="C2051" s="2" t="s">
        <v>573</v>
      </c>
      <c r="D2051" s="2" t="str">
        <f t="shared" si="31"/>
        <v>Error?</v>
      </c>
    </row>
    <row r="2052" spans="1:4" x14ac:dyDescent="0.2">
      <c r="A2052" s="5">
        <v>1991</v>
      </c>
      <c r="B2052" s="138">
        <f>'Cap Outlay Deprec 26'!K10</f>
        <v>107904</v>
      </c>
      <c r="C2052" s="2" t="s">
        <v>573</v>
      </c>
      <c r="D2052" s="2" t="str">
        <f t="shared" si="31"/>
        <v>Error?</v>
      </c>
    </row>
    <row r="2053" spans="1:4" x14ac:dyDescent="0.2">
      <c r="A2053" s="5">
        <v>1992</v>
      </c>
      <c r="B2053" s="138">
        <f>'Cap Outlay Deprec 26'!K12</f>
        <v>1620313</v>
      </c>
      <c r="C2053" s="2" t="s">
        <v>573</v>
      </c>
      <c r="D2053" s="2" t="str">
        <f t="shared" si="31"/>
        <v>Error?</v>
      </c>
    </row>
    <row r="2054" spans="1:4" x14ac:dyDescent="0.2">
      <c r="A2054" s="5">
        <v>1993</v>
      </c>
      <c r="B2054" s="138">
        <f>'Cap Outlay Deprec 26'!K13</f>
        <v>63574</v>
      </c>
      <c r="C2054" s="2" t="s">
        <v>573</v>
      </c>
      <c r="D2054" s="2" t="str">
        <f t="shared" si="31"/>
        <v>Error?</v>
      </c>
    </row>
    <row r="2055" spans="1:4" x14ac:dyDescent="0.2">
      <c r="A2055" s="5">
        <v>1994</v>
      </c>
      <c r="B2055" s="138">
        <f>'Cap Outlay Deprec 26'!K16</f>
        <v>3295984</v>
      </c>
      <c r="C2055" s="2" t="s">
        <v>573</v>
      </c>
      <c r="D2055" s="2" t="str">
        <f t="shared" si="31"/>
        <v>Error?</v>
      </c>
    </row>
    <row r="2056" spans="1:4" x14ac:dyDescent="0.2">
      <c r="A2056" s="5">
        <v>1995</v>
      </c>
      <c r="B2056" s="138">
        <f>'Cap Outlay Deprec 26'!L5</f>
        <v>99312</v>
      </c>
      <c r="C2056" s="2" t="s">
        <v>573</v>
      </c>
      <c r="D2056" s="2" t="str">
        <f t="shared" si="31"/>
        <v>Error?</v>
      </c>
    </row>
    <row r="2057" spans="1:4" x14ac:dyDescent="0.2">
      <c r="A2057" s="5">
        <v>1996</v>
      </c>
      <c r="B2057" s="138">
        <f>'Cap Outlay Deprec 26'!L8</f>
        <v>809629</v>
      </c>
      <c r="C2057" s="2" t="s">
        <v>573</v>
      </c>
      <c r="D2057" s="2" t="str">
        <f t="shared" si="31"/>
        <v>Error?</v>
      </c>
    </row>
    <row r="2058" spans="1:4" x14ac:dyDescent="0.2">
      <c r="A2058" s="5">
        <v>1997</v>
      </c>
      <c r="B2058" s="138">
        <f>'Cap Outlay Deprec 26'!L10</f>
        <v>68120</v>
      </c>
      <c r="C2058" s="2" t="s">
        <v>573</v>
      </c>
      <c r="D2058" s="2" t="str">
        <f t="shared" si="31"/>
        <v>Error?</v>
      </c>
    </row>
    <row r="2059" spans="1:4" x14ac:dyDescent="0.2">
      <c r="A2059" s="5">
        <v>1998</v>
      </c>
      <c r="B2059" s="138">
        <f>'Cap Outlay Deprec 26'!L12</f>
        <v>14124</v>
      </c>
      <c r="C2059" s="2" t="s">
        <v>573</v>
      </c>
      <c r="D2059" s="2" t="str">
        <f t="shared" si="31"/>
        <v>Error?</v>
      </c>
    </row>
    <row r="2060" spans="1:4" x14ac:dyDescent="0.2">
      <c r="A2060" s="5">
        <v>1999</v>
      </c>
      <c r="B2060" s="138">
        <f>'Cap Outlay Deprec 26'!L13</f>
        <v>2787</v>
      </c>
      <c r="C2060" s="2" t="s">
        <v>573</v>
      </c>
      <c r="D2060" s="2" t="str">
        <f t="shared" si="31"/>
        <v>Error?</v>
      </c>
    </row>
    <row r="2061" spans="1:4" x14ac:dyDescent="0.2">
      <c r="A2061" s="5">
        <v>2000</v>
      </c>
      <c r="B2061" s="138">
        <f>'Cap Outlay Deprec 26'!L16</f>
        <v>1006947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45389</v>
      </c>
      <c r="C2088" s="2" t="s">
        <v>573</v>
      </c>
      <c r="D2088" s="2" t="str">
        <f t="shared" si="31"/>
        <v>Error?</v>
      </c>
    </row>
    <row r="2089" spans="1:4" x14ac:dyDescent="0.2">
      <c r="A2089" s="5">
        <v>2028</v>
      </c>
      <c r="B2089" s="138">
        <f>'Expenditures 15-22'!K92</f>
        <v>237911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44707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340598</v>
      </c>
      <c r="C2551" s="2" t="s">
        <v>573</v>
      </c>
      <c r="D2551" s="2" t="str">
        <f t="shared" si="38"/>
        <v>Error?</v>
      </c>
    </row>
    <row r="2552" spans="1:4" x14ac:dyDescent="0.2">
      <c r="A2552" s="10">
        <v>2491</v>
      </c>
      <c r="D2552" s="2" t="str">
        <f t="shared" si="38"/>
        <v>OK</v>
      </c>
    </row>
    <row r="2553" spans="1:4" x14ac:dyDescent="0.2">
      <c r="A2553" s="5">
        <v>2492</v>
      </c>
      <c r="B2553" s="138">
        <f>'Acct Summary 7-8'!C6</f>
        <v>3044769</v>
      </c>
      <c r="C2553" s="2" t="s">
        <v>573</v>
      </c>
      <c r="D2553" s="2" t="str">
        <f t="shared" si="38"/>
        <v>Error?</v>
      </c>
    </row>
    <row r="2554" spans="1:4" x14ac:dyDescent="0.2">
      <c r="A2554" s="5">
        <v>2493</v>
      </c>
      <c r="B2554" s="138">
        <f>'Acct Summary 7-8'!C7</f>
        <v>485373</v>
      </c>
      <c r="C2554" s="2" t="s">
        <v>573</v>
      </c>
      <c r="D2554" s="2" t="str">
        <f t="shared" si="38"/>
        <v>Error?</v>
      </c>
    </row>
    <row r="2555" spans="1:4" x14ac:dyDescent="0.2">
      <c r="A2555" s="5">
        <v>2494</v>
      </c>
      <c r="B2555" s="138">
        <f>'Acct Summary 7-8'!C8</f>
        <v>3870740</v>
      </c>
      <c r="C2555" s="2" t="s">
        <v>573</v>
      </c>
      <c r="D2555" s="2" t="str">
        <f t="shared" si="38"/>
        <v>Error?</v>
      </c>
    </row>
    <row r="2556" spans="1:4" x14ac:dyDescent="0.2">
      <c r="A2556" s="5">
        <v>2495</v>
      </c>
      <c r="B2556" s="138">
        <f>'Acct Summary 7-8'!C12</f>
        <v>2487385</v>
      </c>
      <c r="C2556" s="2" t="s">
        <v>573</v>
      </c>
      <c r="D2556" s="2" t="str">
        <f t="shared" si="38"/>
        <v>Error?</v>
      </c>
    </row>
    <row r="2557" spans="1:4" x14ac:dyDescent="0.2">
      <c r="A2557" s="5">
        <v>2496</v>
      </c>
      <c r="B2557" s="138">
        <f>'Acct Summary 7-8'!C13</f>
        <v>832008</v>
      </c>
      <c r="C2557" s="2" t="s">
        <v>573</v>
      </c>
      <c r="D2557" s="2" t="str">
        <f t="shared" si="38"/>
        <v>Error?</v>
      </c>
    </row>
    <row r="2558" spans="1:4" x14ac:dyDescent="0.2">
      <c r="A2558" s="5">
        <v>2497</v>
      </c>
      <c r="B2558" s="138">
        <f>'Acct Summary 7-8'!C14</f>
        <v>77580</v>
      </c>
      <c r="C2558" s="2" t="s">
        <v>573</v>
      </c>
      <c r="D2558" s="2" t="str">
        <f t="shared" si="38"/>
        <v>Error?</v>
      </c>
    </row>
    <row r="2559" spans="1:4" x14ac:dyDescent="0.2">
      <c r="A2559" s="5">
        <v>2498</v>
      </c>
      <c r="B2559" s="138">
        <f>'Acct Summary 7-8'!C15</f>
        <v>283300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3680273</v>
      </c>
      <c r="C2561" s="2" t="s">
        <v>573</v>
      </c>
      <c r="D2561" s="2" t="str">
        <f t="shared" si="39"/>
        <v>Error?</v>
      </c>
    </row>
    <row r="2562" spans="1:4" x14ac:dyDescent="0.2">
      <c r="A2562" s="5">
        <v>2501</v>
      </c>
      <c r="B2562" s="138">
        <f>'Acct Summary 7-8'!C20</f>
        <v>190467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43309</v>
      </c>
      <c r="C2564" s="2" t="s">
        <v>573</v>
      </c>
      <c r="D2564" s="2" t="str">
        <f t="shared" si="39"/>
        <v>Error?</v>
      </c>
    </row>
    <row r="2565" spans="1:4" x14ac:dyDescent="0.2">
      <c r="A2565" s="10">
        <v>2504</v>
      </c>
      <c r="D2565" s="2" t="str">
        <f t="shared" si="39"/>
        <v>OK</v>
      </c>
    </row>
    <row r="2566" spans="1:4" x14ac:dyDescent="0.2">
      <c r="A2566" s="5">
        <v>2505</v>
      </c>
      <c r="B2566" s="138">
        <f>'Acct Summary 7-8'!D6</f>
        <v>268193</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311502</v>
      </c>
      <c r="C2568" s="2" t="s">
        <v>573</v>
      </c>
      <c r="D2568" s="2" t="str">
        <f t="shared" si="39"/>
        <v>Error?</v>
      </c>
    </row>
    <row r="2569" spans="1:4" x14ac:dyDescent="0.2">
      <c r="A2569" s="5">
        <v>2508</v>
      </c>
      <c r="B2569" s="138">
        <f>'Acct Summary 7-8'!D13</f>
        <v>292453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292453</v>
      </c>
      <c r="C2573" s="2" t="s">
        <v>573</v>
      </c>
      <c r="D2573" s="2" t="str">
        <f t="shared" si="39"/>
        <v>Error?</v>
      </c>
    </row>
    <row r="2574" spans="1:4" x14ac:dyDescent="0.2">
      <c r="A2574" s="5">
        <v>2513</v>
      </c>
      <c r="B2574" s="138">
        <f>'Acct Summary 7-8'!D20</f>
        <v>19049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15438</v>
      </c>
      <c r="C2591" s="2" t="s">
        <v>573</v>
      </c>
      <c r="D2591" s="2" t="str">
        <f t="shared" si="39"/>
        <v>Error?</v>
      </c>
    </row>
    <row r="2592" spans="1:4" x14ac:dyDescent="0.2">
      <c r="A2592" s="10">
        <v>2531</v>
      </c>
      <c r="D2592" s="2" t="str">
        <f t="shared" si="39"/>
        <v>OK</v>
      </c>
    </row>
    <row r="2593" spans="1:4" x14ac:dyDescent="0.2">
      <c r="A2593" s="5">
        <v>2532</v>
      </c>
      <c r="B2593" s="138">
        <f>'Acct Summary 7-8'!F6</f>
        <v>207295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222733</v>
      </c>
      <c r="C2595" s="2" t="s">
        <v>573</v>
      </c>
      <c r="D2595" s="2" t="str">
        <f t="shared" si="39"/>
        <v>Error?</v>
      </c>
    </row>
    <row r="2596" spans="1:4" x14ac:dyDescent="0.2">
      <c r="A2596" s="5">
        <v>2535</v>
      </c>
      <c r="B2596" s="138">
        <f>'Acct Summary 7-8'!F13</f>
        <v>201878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201878</v>
      </c>
      <c r="C2600" s="2" t="s">
        <v>573</v>
      </c>
      <c r="D2600" s="2" t="str">
        <f t="shared" si="39"/>
        <v>Error?</v>
      </c>
    </row>
    <row r="2601" spans="1:4" x14ac:dyDescent="0.2">
      <c r="A2601" s="5">
        <v>2540</v>
      </c>
      <c r="B2601" s="138">
        <f>'Acct Summary 7-8'!F20</f>
        <v>20855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126167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126167</v>
      </c>
      <c r="C2606" s="2" t="s">
        <v>573</v>
      </c>
      <c r="D2606" s="2" t="str">
        <f t="shared" si="39"/>
        <v>Error?</v>
      </c>
    </row>
    <row r="2607" spans="1:4" x14ac:dyDescent="0.2">
      <c r="A2607" s="5">
        <v>2546</v>
      </c>
      <c r="B2607" s="138">
        <f>'Acct Summary 7-8'!G12</f>
        <v>58469</v>
      </c>
      <c r="C2607" s="2" t="s">
        <v>573</v>
      </c>
      <c r="D2607" s="2" t="str">
        <f t="shared" si="39"/>
        <v>Error?</v>
      </c>
    </row>
    <row r="2608" spans="1:4" x14ac:dyDescent="0.2">
      <c r="A2608" s="5">
        <v>2547</v>
      </c>
      <c r="B2608" s="138">
        <f>'Acct Summary 7-8'!G13</f>
        <v>65945</v>
      </c>
      <c r="C2608" s="2" t="s">
        <v>573</v>
      </c>
      <c r="D2608" s="2" t="str">
        <f t="shared" si="39"/>
        <v>Error?</v>
      </c>
    </row>
    <row r="2609" spans="1:4" x14ac:dyDescent="0.2">
      <c r="A2609" s="5">
        <v>2548</v>
      </c>
      <c r="B2609" s="138">
        <f>'Acct Summary 7-8'!G14</f>
        <v>10563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134977</v>
      </c>
      <c r="C2612" s="2" t="s">
        <v>573</v>
      </c>
      <c r="D2612" s="2" t="str">
        <f t="shared" si="39"/>
        <v>Error?</v>
      </c>
    </row>
    <row r="2613" spans="1:4" x14ac:dyDescent="0.2">
      <c r="A2613" s="5">
        <v>2552</v>
      </c>
      <c r="B2613" s="138">
        <f>'Acct Summary 7-8'!G20</f>
        <v>-8810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64551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64551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67733</v>
      </c>
      <c r="C2634" s="2" t="s">
        <v>573</v>
      </c>
      <c r="D2634" s="2" t="str">
        <f t="shared" si="40"/>
        <v>Error?</v>
      </c>
    </row>
    <row r="2635" spans="1:4" x14ac:dyDescent="0.2">
      <c r="A2635" s="5">
        <v>2574</v>
      </c>
      <c r="B2635" s="138">
        <f>'Acct Summary 7-8'!E17</f>
        <v>67733</v>
      </c>
      <c r="C2635" s="2" t="s">
        <v>573</v>
      </c>
      <c r="D2635" s="2" t="str">
        <f t="shared" si="40"/>
        <v>Error?</v>
      </c>
    </row>
    <row r="2636" spans="1:4" x14ac:dyDescent="0.2">
      <c r="A2636" s="5">
        <v>2575</v>
      </c>
      <c r="B2636" s="138">
        <f>'Acct Summary 7-8'!E20</f>
        <v>-3182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45216</v>
      </c>
      <c r="C2789" s="2" t="s">
        <v>573</v>
      </c>
      <c r="D2789" s="2" t="str">
        <f t="shared" si="42"/>
        <v>Error?</v>
      </c>
    </row>
    <row r="2790" spans="1:4" x14ac:dyDescent="0.2">
      <c r="A2790" s="5">
        <v>2729</v>
      </c>
      <c r="B2790" s="138">
        <f>'Expenditures 15-22'!E102</f>
        <v>45216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7469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48895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7469</v>
      </c>
      <c r="D2912" s="2" t="str">
        <f t="shared" si="44"/>
        <v>Error?</v>
      </c>
    </row>
    <row r="2913" spans="1:4" x14ac:dyDescent="0.2">
      <c r="A2913" s="5">
        <v>2852</v>
      </c>
      <c r="B2913" s="138">
        <f>'Assets-Liab 5-6'!I41</f>
        <v>7469</v>
      </c>
      <c r="C2913" s="2" t="s">
        <v>573</v>
      </c>
      <c r="D2913" s="2" t="str">
        <f t="shared" si="44"/>
        <v>Error?</v>
      </c>
    </row>
    <row r="2914" spans="1:4" x14ac:dyDescent="0.2">
      <c r="A2914" s="5">
        <v>2853</v>
      </c>
      <c r="B2914" s="138">
        <f>'Assets-Liab 5-6'!L33</f>
        <v>48895</v>
      </c>
      <c r="D2914" s="2" t="str">
        <f t="shared" si="44"/>
        <v>Error?</v>
      </c>
    </row>
    <row r="2915" spans="1:4" x14ac:dyDescent="0.2">
      <c r="A2915" s="10">
        <v>2854</v>
      </c>
      <c r="D2915" s="2" t="str">
        <f t="shared" si="44"/>
        <v>OK</v>
      </c>
    </row>
    <row r="2916" spans="1:4" x14ac:dyDescent="0.2">
      <c r="A2916" s="5">
        <v>2855</v>
      </c>
      <c r="B2916" s="138">
        <f>'Assets-Liab 5-6'!L34</f>
        <v>48895</v>
      </c>
      <c r="C2916" s="2" t="s">
        <v>573</v>
      </c>
      <c r="D2916" s="2" t="str">
        <f t="shared" si="44"/>
        <v>Error?</v>
      </c>
    </row>
    <row r="2917" spans="1:4" x14ac:dyDescent="0.2">
      <c r="A2917" s="5">
        <v>2856</v>
      </c>
      <c r="B2917" s="138">
        <f>'Assets-Liab 5-6'!L41</f>
        <v>48895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45216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45389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57384</v>
      </c>
      <c r="D3055" s="2" t="str">
        <f t="shared" si="46"/>
        <v>Error?</v>
      </c>
    </row>
    <row r="3056" spans="1:4" x14ac:dyDescent="0.2">
      <c r="A3056" s="5">
        <v>2995</v>
      </c>
      <c r="B3056" s="138">
        <f>'Expenditures 15-22'!D10</f>
        <v>10869</v>
      </c>
      <c r="D3056" s="2" t="str">
        <f t="shared" si="46"/>
        <v>Error?</v>
      </c>
    </row>
    <row r="3057" spans="1:4" x14ac:dyDescent="0.2">
      <c r="A3057" s="5">
        <v>2996</v>
      </c>
      <c r="B3057" s="138">
        <f>'Expenditures 15-22'!E10</f>
        <v>26868</v>
      </c>
      <c r="D3057" s="2" t="str">
        <f t="shared" si="46"/>
        <v>Error?</v>
      </c>
    </row>
    <row r="3058" spans="1:4" x14ac:dyDescent="0.2">
      <c r="A3058" s="5">
        <v>2997</v>
      </c>
      <c r="B3058" s="138">
        <f>'Expenditures 15-22'!F10</f>
        <v>42732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137853</v>
      </c>
      <c r="C3062" s="2" t="s">
        <v>573</v>
      </c>
      <c r="D3062" s="2" t="str">
        <f t="shared" si="46"/>
        <v>Error?</v>
      </c>
    </row>
    <row r="3063" spans="1:4" x14ac:dyDescent="0.2">
      <c r="A3063" s="10">
        <v>3002</v>
      </c>
      <c r="D3063" s="2" t="str">
        <f t="shared" si="46"/>
        <v>OK</v>
      </c>
    </row>
    <row r="3064" spans="1:4" x14ac:dyDescent="0.2">
      <c r="A3064" s="5">
        <v>3003</v>
      </c>
      <c r="B3064" s="138">
        <f>'Expenditures 15-22'!D219</f>
        <v>4129</v>
      </c>
      <c r="D3064" s="2" t="str">
        <f t="shared" si="46"/>
        <v>Error?</v>
      </c>
    </row>
    <row r="3065" spans="1:4" x14ac:dyDescent="0.2">
      <c r="A3065" s="5">
        <v>3004</v>
      </c>
      <c r="B3065" s="138">
        <f>'Expenditures 15-22'!K219</f>
        <v>4129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3861</v>
      </c>
      <c r="C3225" s="2" t="s">
        <v>573</v>
      </c>
      <c r="D3225" s="2" t="str">
        <f t="shared" si="49"/>
        <v>Error?</v>
      </c>
    </row>
    <row r="3226" spans="1:4" x14ac:dyDescent="0.2">
      <c r="A3226" s="5">
        <v>3165</v>
      </c>
      <c r="B3226" s="138">
        <f>'Acct Summary 7-8'!I8</f>
        <v>3861</v>
      </c>
      <c r="C3226" s="2" t="s">
        <v>573</v>
      </c>
      <c r="D3226" s="2" t="str">
        <f t="shared" si="49"/>
        <v>Error?</v>
      </c>
    </row>
    <row r="3227" spans="1:4" x14ac:dyDescent="0.2">
      <c r="A3227" s="5">
        <v>3166</v>
      </c>
      <c r="B3227" s="138">
        <f>'Acct Summary 7-8'!I20</f>
        <v>3861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190467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19049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20855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-8810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-3182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3861</v>
      </c>
      <c r="C3320" s="2" t="s">
        <v>573</v>
      </c>
      <c r="D3320" s="2" t="str">
        <f t="shared" si="50"/>
        <v>Error?</v>
      </c>
    </row>
    <row r="3321" spans="1:4" x14ac:dyDescent="0.2">
      <c r="A3321" s="5">
        <v>3260</v>
      </c>
      <c r="B3321" s="138">
        <f>'Acct Summary 7-8'!I79</f>
        <v>3608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7469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340751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23786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368257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30742</v>
      </c>
      <c r="D3387" s="2" t="str">
        <f t="shared" si="51"/>
        <v>Error?</v>
      </c>
    </row>
    <row r="3388" spans="1:4" x14ac:dyDescent="0.2">
      <c r="A3388" s="5">
        <v>3327</v>
      </c>
      <c r="B3388" s="138">
        <f>'Expenditures 15-22'!D217</f>
        <v>14529</v>
      </c>
      <c r="D3388" s="2" t="str">
        <f t="shared" si="51"/>
        <v>Error?</v>
      </c>
    </row>
    <row r="3389" spans="1:4" x14ac:dyDescent="0.2">
      <c r="A3389" s="5">
        <v>3328</v>
      </c>
      <c r="B3389" s="138">
        <f>'Expenditures 15-22'!D228</f>
        <v>7</v>
      </c>
      <c r="D3389" s="2" t="str">
        <f t="shared" si="51"/>
        <v>Error?</v>
      </c>
    </row>
    <row r="3390" spans="1:4" x14ac:dyDescent="0.2">
      <c r="A3390" s="5">
        <v>3329</v>
      </c>
      <c r="B3390" s="138">
        <f>'Expenditures 15-22'!K215</f>
        <v>30742</v>
      </c>
      <c r="C3390" s="2" t="s">
        <v>573</v>
      </c>
      <c r="D3390" s="2" t="str">
        <f t="shared" si="51"/>
        <v>Error?</v>
      </c>
    </row>
    <row r="3391" spans="1:4" x14ac:dyDescent="0.2">
      <c r="A3391" s="5">
        <v>3330</v>
      </c>
      <c r="B3391" s="138">
        <f>'Expenditures 15-22'!K217</f>
        <v>14529</v>
      </c>
      <c r="C3391" s="2" t="s">
        <v>573</v>
      </c>
      <c r="D3391" s="2" t="str">
        <f t="shared" ref="D3391:D3454" si="52">IF(ISBLANK(B3391),"OK",IF(A3391-B3391=0,"OK","Error?"))</f>
        <v>Error?</v>
      </c>
    </row>
    <row r="3392" spans="1:4" x14ac:dyDescent="0.2">
      <c r="A3392" s="5">
        <v>3331</v>
      </c>
      <c r="B3392" s="138">
        <f>'Expenditures 15-22'!K228</f>
        <v>7</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845147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66183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35606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183955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7469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48895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62058</v>
      </c>
      <c r="C3446" s="2" t="s">
        <v>573</v>
      </c>
      <c r="D3446" s="2" t="str">
        <f t="shared" si="52"/>
        <v>Error?</v>
      </c>
    </row>
    <row r="3447" spans="1:4" x14ac:dyDescent="0.2">
      <c r="A3447" s="5">
        <v>3386</v>
      </c>
      <c r="B3447" s="138">
        <f>'Tax Sched 23'!D16</f>
        <v>62058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64001</v>
      </c>
      <c r="C3449" s="2" t="s">
        <v>573</v>
      </c>
      <c r="D3449" s="2" t="str">
        <f t="shared" si="52"/>
        <v>Error?</v>
      </c>
    </row>
    <row r="3450" spans="1:4" x14ac:dyDescent="0.2">
      <c r="A3450" s="5">
        <v>3389</v>
      </c>
      <c r="B3450" s="138">
        <f>'Tax Sched 23'!E16</f>
        <v>64001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5636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5636</v>
      </c>
      <c r="D3567" s="2" t="str">
        <f t="shared" si="54"/>
        <v>Error?</v>
      </c>
    </row>
    <row r="3568" spans="1:4" x14ac:dyDescent="0.2">
      <c r="A3568" s="5">
        <v>3507</v>
      </c>
      <c r="B3568" s="138">
        <f>'Assets-Liab 5-6'!K41</f>
        <v>5636</v>
      </c>
      <c r="C3568" s="2" t="s">
        <v>573</v>
      </c>
      <c r="D3568" s="2" t="str">
        <f t="shared" si="54"/>
        <v>Error?</v>
      </c>
    </row>
    <row r="3569" spans="1:4" x14ac:dyDescent="0.2">
      <c r="A3569" s="5">
        <v>3508</v>
      </c>
      <c r="B3569" s="138">
        <f>'Acct Summary 7-8'!K4</f>
        <v>3861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3861</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3861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3861</v>
      </c>
      <c r="C3588" s="2" t="s">
        <v>573</v>
      </c>
      <c r="D3588" s="2" t="str">
        <f t="shared" si="55"/>
        <v>Error?</v>
      </c>
    </row>
    <row r="3589" spans="1:4" x14ac:dyDescent="0.2">
      <c r="A3589" s="5">
        <v>3528</v>
      </c>
      <c r="B3589" s="138">
        <f>'Acct Summary 7-8'!K79</f>
        <v>1775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5636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3861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3861</v>
      </c>
      <c r="C3725" s="2" t="s">
        <v>573</v>
      </c>
      <c r="D3725" s="2" t="str">
        <f t="shared" si="57"/>
        <v>Error?</v>
      </c>
    </row>
    <row r="3726" spans="1:4" x14ac:dyDescent="0.2">
      <c r="A3726" s="5">
        <v>3665</v>
      </c>
      <c r="B3726" s="138">
        <f>'Tax Sched 23'!D13</f>
        <v>3861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4168</v>
      </c>
      <c r="C3728" s="2" t="s">
        <v>573</v>
      </c>
      <c r="D3728" s="2" t="str">
        <f t="shared" si="57"/>
        <v>Error?</v>
      </c>
    </row>
    <row r="3729" spans="1:4" x14ac:dyDescent="0.2">
      <c r="A3729" s="5">
        <v>3668</v>
      </c>
      <c r="B3729" s="138">
        <f>'Tax Sched 23'!E13</f>
        <v>4168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1513018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5383758</v>
      </c>
      <c r="C4122" s="2" t="s">
        <v>573</v>
      </c>
      <c r="D4122" s="2" t="str">
        <f t="shared" si="63"/>
        <v>Error?</v>
      </c>
    </row>
    <row r="4123" spans="1:4" x14ac:dyDescent="0.2">
      <c r="A4123" s="5">
        <v>4062</v>
      </c>
      <c r="B4123" s="138">
        <f>'Acct Summary 7-8'!D10</f>
        <v>311502</v>
      </c>
      <c r="C4123" s="2" t="s">
        <v>573</v>
      </c>
      <c r="D4123" s="2" t="str">
        <f t="shared" si="63"/>
        <v>Error?</v>
      </c>
    </row>
    <row r="4124" spans="1:4" x14ac:dyDescent="0.2">
      <c r="A4124" s="5">
        <v>4063</v>
      </c>
      <c r="B4124" s="138">
        <f>'Acct Summary 7-8'!E10</f>
        <v>64551</v>
      </c>
      <c r="C4124" s="2" t="s">
        <v>573</v>
      </c>
      <c r="D4124" s="2" t="str">
        <f t="shared" si="63"/>
        <v>Error?</v>
      </c>
    </row>
    <row r="4125" spans="1:4" x14ac:dyDescent="0.2">
      <c r="A4125" s="5">
        <v>4064</v>
      </c>
      <c r="B4125" s="138">
        <f>'Acct Summary 7-8'!F10</f>
        <v>222733</v>
      </c>
      <c r="C4125" s="2" t="s">
        <v>573</v>
      </c>
      <c r="D4125" s="2" t="str">
        <f t="shared" si="63"/>
        <v>Error?</v>
      </c>
    </row>
    <row r="4126" spans="1:4" x14ac:dyDescent="0.2">
      <c r="A4126" s="5">
        <v>4065</v>
      </c>
      <c r="B4126" s="138">
        <f>'Acct Summary 7-8'!G10</f>
        <v>126167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3861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3861</v>
      </c>
      <c r="C4130" s="2" t="s">
        <v>573</v>
      </c>
      <c r="D4130" s="2" t="str">
        <f t="shared" si="63"/>
        <v>Error?</v>
      </c>
    </row>
    <row r="4131" spans="1:4" x14ac:dyDescent="0.2">
      <c r="A4131" s="5">
        <v>4070</v>
      </c>
      <c r="B4131" s="138">
        <f>'Acct Summary 7-8'!C18</f>
        <v>1513018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5193291</v>
      </c>
      <c r="C4136" s="2" t="s">
        <v>573</v>
      </c>
      <c r="D4136" s="2" t="str">
        <f t="shared" si="63"/>
        <v>Error?</v>
      </c>
    </row>
    <row r="4137" spans="1:4" x14ac:dyDescent="0.2">
      <c r="A4137" s="5">
        <v>4076</v>
      </c>
      <c r="B4137" s="138">
        <f>'Acct Summary 7-8'!D19</f>
        <v>292453</v>
      </c>
      <c r="C4137" s="2" t="s">
        <v>573</v>
      </c>
      <c r="D4137" s="2" t="str">
        <f t="shared" si="63"/>
        <v>Error?</v>
      </c>
    </row>
    <row r="4138" spans="1:4" x14ac:dyDescent="0.2">
      <c r="A4138" s="5">
        <v>4077</v>
      </c>
      <c r="B4138" s="138">
        <f>'Acct Summary 7-8'!E19</f>
        <v>67733</v>
      </c>
      <c r="C4138" s="2" t="s">
        <v>573</v>
      </c>
      <c r="D4138" s="2" t="str">
        <f t="shared" si="63"/>
        <v>Error?</v>
      </c>
    </row>
    <row r="4139" spans="1:4" x14ac:dyDescent="0.2">
      <c r="A4139" s="5">
        <v>4078</v>
      </c>
      <c r="B4139" s="138">
        <f>'Acct Summary 7-8'!F19</f>
        <v>201878</v>
      </c>
      <c r="C4139" s="2" t="s">
        <v>573</v>
      </c>
      <c r="D4139" s="2" t="str">
        <f t="shared" si="63"/>
        <v>Error?</v>
      </c>
    </row>
    <row r="4140" spans="1:4" x14ac:dyDescent="0.2">
      <c r="A4140" s="5">
        <v>4079</v>
      </c>
      <c r="B4140" s="138">
        <f>'Acct Summary 7-8'!G19</f>
        <v>134977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195000</v>
      </c>
      <c r="C4171" s="2" t="s">
        <v>573</v>
      </c>
      <c r="D4171" s="2" t="str">
        <f t="shared" si="64"/>
        <v>Error?</v>
      </c>
    </row>
    <row r="4172" spans="1:4" x14ac:dyDescent="0.2">
      <c r="A4172" s="5">
        <v>4111</v>
      </c>
      <c r="B4172" s="138">
        <f>'Short-Term Long-Term Debt 24'!J49</f>
        <v>195000</v>
      </c>
      <c r="C4172" s="2" t="s">
        <v>573</v>
      </c>
      <c r="D4172" s="2" t="str">
        <f t="shared" si="64"/>
        <v>Error?</v>
      </c>
    </row>
    <row r="4173" spans="1:4" x14ac:dyDescent="0.2">
      <c r="A4173" s="5">
        <v>4112</v>
      </c>
      <c r="B4173" s="138">
        <f>'Short-Term Long-Term Debt 24'!H49</f>
        <v>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2400</v>
      </c>
      <c r="C4265" s="2" t="s">
        <v>573</v>
      </c>
      <c r="D4265" s="2" t="str">
        <f t="shared" si="65"/>
        <v>Error?</v>
      </c>
      <c r="E4265" s="128"/>
    </row>
    <row r="4266" spans="1:5" x14ac:dyDescent="0.2">
      <c r="A4266" s="12">
        <v>4205</v>
      </c>
      <c r="B4266" s="138">
        <f>('FP Info 3'!F10)*100000</f>
        <v>475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3075</v>
      </c>
      <c r="C4268" s="2" t="s">
        <v>573</v>
      </c>
      <c r="D4268" s="2" t="str">
        <f t="shared" si="65"/>
        <v>Error?</v>
      </c>
    </row>
    <row r="4269" spans="1:5" x14ac:dyDescent="0.2">
      <c r="A4269" s="12">
        <v>4208</v>
      </c>
      <c r="B4269" s="138">
        <f>'FP Info 3'!J16</f>
        <v>954405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20587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46109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46109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16430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8308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96361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8336549</v>
      </c>
      <c r="D4995" s="2" t="str">
        <f t="shared" si="77"/>
        <v>Error?</v>
      </c>
    </row>
    <row r="4996" spans="1:4" x14ac:dyDescent="0.2">
      <c r="A4996" s="12">
        <v>4935</v>
      </c>
      <c r="B4996" s="138">
        <f>'FP Info 3'!H31</f>
        <v>1150443.7620000001</v>
      </c>
      <c r="D4996" s="2" t="str">
        <f t="shared" si="77"/>
        <v>Error?</v>
      </c>
    </row>
    <row r="4997" spans="1:4" x14ac:dyDescent="0.2">
      <c r="A4997" s="12">
        <v>4936</v>
      </c>
      <c r="B4997" s="138">
        <f>'FP Info 3'!H37</f>
        <v>195000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3861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185973</v>
      </c>
      <c r="D5061" s="2" t="str">
        <f t="shared" si="78"/>
        <v>Error?</v>
      </c>
    </row>
    <row r="5062" spans="1:4" x14ac:dyDescent="0.2">
      <c r="A5062" s="10">
        <v>5001</v>
      </c>
      <c r="D5062" s="2" t="str">
        <f t="shared" si="78"/>
        <v>OK</v>
      </c>
    </row>
    <row r="5063" spans="1:4" x14ac:dyDescent="0.2">
      <c r="A5063" s="5">
        <v>5002</v>
      </c>
      <c r="B5063" s="138">
        <f>'Revenues 9-14'!C7</f>
        <v>3088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192922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79435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79435</v>
      </c>
      <c r="C5071" s="2" t="s">
        <v>573</v>
      </c>
      <c r="D5071" s="2" t="str">
        <f t="shared" si="78"/>
        <v>Error?</v>
      </c>
    </row>
    <row r="5072" spans="1:4" x14ac:dyDescent="0.2">
      <c r="A5072" s="5">
        <v>5011</v>
      </c>
      <c r="B5072" s="138">
        <f>'Revenues 9-14'!C20</f>
        <v>400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400</v>
      </c>
      <c r="C5087" s="2" t="s">
        <v>573</v>
      </c>
      <c r="D5087" s="2" t="str">
        <f t="shared" si="78"/>
        <v>Error?</v>
      </c>
    </row>
    <row r="5088" spans="1:4" x14ac:dyDescent="0.2">
      <c r="A5088" s="5">
        <v>5027</v>
      </c>
      <c r="B5088" s="138">
        <f>'Revenues 9-14'!C65</f>
        <v>6135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6135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5508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5508</v>
      </c>
      <c r="C5096" s="2" t="s">
        <v>573</v>
      </c>
      <c r="D5096" s="2" t="str">
        <f t="shared" si="78"/>
        <v>Error?</v>
      </c>
    </row>
    <row r="5097" spans="1:4" x14ac:dyDescent="0.2">
      <c r="A5097" s="5">
        <v>5036</v>
      </c>
      <c r="B5097" s="138">
        <f>'Revenues 9-14'!C77</f>
        <v>7579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5666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13245</v>
      </c>
      <c r="C5102" s="2" t="s">
        <v>573</v>
      </c>
      <c r="D5102" s="2" t="str">
        <f t="shared" si="78"/>
        <v>Error?</v>
      </c>
    </row>
    <row r="5103" spans="1:4" x14ac:dyDescent="0.2">
      <c r="A5103" s="5">
        <v>5042</v>
      </c>
      <c r="B5103" s="138">
        <f>'Revenues 9-14'!C84</f>
        <v>10884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10884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6320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25722</v>
      </c>
      <c r="D5119" s="2" t="str">
        <f t="shared" ref="D5119:D5182" si="79">IF(ISBLANK(B5119),"OK",IF(A5119-B5119=0,"OK","Error?"))</f>
        <v>Error?</v>
      </c>
    </row>
    <row r="5120" spans="1:4" x14ac:dyDescent="0.2">
      <c r="A5120" s="5">
        <v>5059</v>
      </c>
      <c r="B5120" s="138">
        <f>'Revenues 9-14'!C108</f>
        <v>32069</v>
      </c>
      <c r="C5120" s="2" t="s">
        <v>573</v>
      </c>
      <c r="D5120" s="2" t="str">
        <f t="shared" si="79"/>
        <v>Error?</v>
      </c>
    </row>
    <row r="5121" spans="1:4" x14ac:dyDescent="0.2">
      <c r="A5121" s="5">
        <v>5060</v>
      </c>
      <c r="B5121" s="138">
        <f>'Revenues 9-14'!C109</f>
        <v>340598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2694021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2694021</v>
      </c>
      <c r="C5132" s="2" t="s">
        <v>573</v>
      </c>
      <c r="D5132" s="2" t="str">
        <f t="shared" si="79"/>
        <v>Error?</v>
      </c>
    </row>
    <row r="5133" spans="1:4" x14ac:dyDescent="0.2">
      <c r="A5133" s="5">
        <v>5072</v>
      </c>
      <c r="B5133" s="138">
        <f>'Revenues 9-14'!C125</f>
        <v>23908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23908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6769</v>
      </c>
      <c r="D5167" s="2" t="str">
        <f t="shared" si="79"/>
        <v>Error?</v>
      </c>
    </row>
    <row r="5168" spans="1:4" x14ac:dyDescent="0.2">
      <c r="A5168" s="5">
        <v>5107</v>
      </c>
      <c r="B5168" s="138">
        <f>'Revenues 9-14'!C148</f>
        <v>5689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218021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350748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3044769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180606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114887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299270</v>
      </c>
      <c r="C5246" s="2" t="s">
        <v>573</v>
      </c>
      <c r="D5246" s="2" t="str">
        <f t="shared" si="80"/>
        <v>Error?</v>
      </c>
    </row>
    <row r="5247" spans="1:4" x14ac:dyDescent="0.2">
      <c r="A5247" s="5">
        <v>5186</v>
      </c>
      <c r="B5247" s="138">
        <f>'Revenues 9-14'!C200</f>
        <v>94669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94669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485373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485373</v>
      </c>
      <c r="C5326" s="2" t="s">
        <v>573</v>
      </c>
      <c r="D5326" s="2" t="str">
        <f t="shared" si="82"/>
        <v>Error?</v>
      </c>
    </row>
    <row r="5327" spans="1:5" x14ac:dyDescent="0.2">
      <c r="A5327" s="5">
        <v>5266</v>
      </c>
      <c r="B5327" s="138">
        <f>'Revenues 9-14'!C268</f>
        <v>3870740</v>
      </c>
      <c r="C5327" s="2" t="s">
        <v>573</v>
      </c>
      <c r="D5327" s="2" t="str">
        <f t="shared" si="82"/>
        <v>Error?</v>
      </c>
    </row>
    <row r="5328" spans="1:5" x14ac:dyDescent="0.2">
      <c r="A5328" s="5">
        <v>5267</v>
      </c>
      <c r="B5328" s="138">
        <f>'Revenues 9-14'!D5</f>
        <v>36807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36807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6502</v>
      </c>
      <c r="D5354" s="2" t="str">
        <f t="shared" si="82"/>
        <v>Error?</v>
      </c>
    </row>
    <row r="5355" spans="1:4" x14ac:dyDescent="0.2">
      <c r="A5355" s="5">
        <v>5294</v>
      </c>
      <c r="B5355" s="138">
        <f>'Revenues 9-14'!D108</f>
        <v>6502</v>
      </c>
      <c r="C5355" s="2" t="s">
        <v>573</v>
      </c>
      <c r="D5355" s="2" t="str">
        <f t="shared" si="82"/>
        <v>Error?</v>
      </c>
    </row>
    <row r="5356" spans="1:4" x14ac:dyDescent="0.2">
      <c r="A5356" s="5">
        <v>5295</v>
      </c>
      <c r="B5356" s="138">
        <f>'Revenues 9-14'!D109</f>
        <v>43309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268193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268193</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268193</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311502</v>
      </c>
      <c r="C5508" s="2" t="s">
        <v>573</v>
      </c>
      <c r="D5508" s="2" t="str">
        <f t="shared" si="85"/>
        <v>Error?</v>
      </c>
    </row>
    <row r="5509" spans="1:4" x14ac:dyDescent="0.2">
      <c r="A5509" s="5">
        <v>5448</v>
      </c>
      <c r="B5509" s="138">
        <f>'Revenues 9-14'!E5</f>
        <v>64551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64551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64551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64551</v>
      </c>
      <c r="C5552" s="2" t="s">
        <v>573</v>
      </c>
      <c r="D5552" s="2" t="str">
        <f t="shared" si="85"/>
        <v>Error?</v>
      </c>
    </row>
    <row r="5553" spans="1:4" x14ac:dyDescent="0.2">
      <c r="A5553" s="5">
        <v>5492</v>
      </c>
      <c r="B5553" s="138">
        <f>'Revenues 9-14'!F5</f>
        <v>15438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15438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15438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111209</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111209</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82060</v>
      </c>
      <c r="D5615" s="2" t="str">
        <f t="shared" si="86"/>
        <v>Error?</v>
      </c>
    </row>
    <row r="5616" spans="1:4" x14ac:dyDescent="0.2">
      <c r="A5616" s="10">
        <v>5555</v>
      </c>
      <c r="D5616" s="2" t="str">
        <f t="shared" si="86"/>
        <v>OK</v>
      </c>
    </row>
    <row r="5617" spans="1:5" x14ac:dyDescent="0.2">
      <c r="A5617" s="5">
        <v>5556</v>
      </c>
      <c r="B5617" s="138">
        <f>'Revenues 9-14'!F153</f>
        <v>14026</v>
      </c>
      <c r="D5617" s="2" t="str">
        <f t="shared" si="86"/>
        <v>Error?</v>
      </c>
    </row>
    <row r="5618" spans="1:5" x14ac:dyDescent="0.2">
      <c r="A5618" s="5">
        <v>5557</v>
      </c>
      <c r="B5618" s="138">
        <f>'Revenues 9-14'!F155</f>
        <v>96086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96086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207295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222733</v>
      </c>
      <c r="C5720" s="2" t="s">
        <v>573</v>
      </c>
      <c r="D5720" s="2" t="str">
        <f t="shared" si="88"/>
        <v>Error?</v>
      </c>
    </row>
    <row r="5721" spans="1:4" x14ac:dyDescent="0.2">
      <c r="A5721" s="5">
        <v>5660</v>
      </c>
      <c r="B5721" s="138">
        <f>'Revenues 9-14'!G5</f>
        <v>62058</v>
      </c>
      <c r="D5721" s="2" t="str">
        <f t="shared" si="88"/>
        <v>Error?</v>
      </c>
    </row>
    <row r="5722" spans="1:4" x14ac:dyDescent="0.2">
      <c r="A5722" s="5">
        <v>5661</v>
      </c>
      <c r="B5722" s="138">
        <f>'Revenues 9-14'!G7</f>
        <v>0</v>
      </c>
      <c r="D5722" s="2" t="str">
        <f t="shared" si="88"/>
        <v>Error?</v>
      </c>
    </row>
    <row r="5723" spans="1:4" x14ac:dyDescent="0.2">
      <c r="A5723" s="5">
        <v>5662</v>
      </c>
      <c r="B5723" s="138">
        <f>'Revenues 9-14'!G8</f>
        <v>62058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124116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2051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2051</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126167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3861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3861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3861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3861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3861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3861</v>
      </c>
      <c r="C6023" s="2" t="s">
        <v>573</v>
      </c>
      <c r="D6023" s="2" t="str">
        <f t="shared" si="93"/>
        <v>Error?</v>
      </c>
    </row>
    <row r="6024" spans="1:5" x14ac:dyDescent="0.2">
      <c r="A6024" s="5">
        <v>5963</v>
      </c>
      <c r="B6024" s="138">
        <f>'Revenues 9-14'!G109</f>
        <v>126167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3861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3861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15308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381.19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40955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2741</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76392</v>
      </c>
      <c r="D6214" s="2" t="str">
        <f t="shared" si="96"/>
        <v>Error?</v>
      </c>
      <c r="E6214" s="2" t="s">
        <v>190</v>
      </c>
    </row>
    <row r="6215" spans="1:5" x14ac:dyDescent="0.2">
      <c r="A6215">
        <v>6154</v>
      </c>
      <c r="B6215" s="138">
        <f>'Assets-Liab 5-6'!J39</f>
        <v>-35437</v>
      </c>
      <c r="D6215" s="2" t="str">
        <f t="shared" si="96"/>
        <v>Error?</v>
      </c>
      <c r="E6215" s="2" t="s">
        <v>190</v>
      </c>
    </row>
    <row r="6216" spans="1:5" x14ac:dyDescent="0.2">
      <c r="A6216">
        <v>6155</v>
      </c>
      <c r="B6216" s="138">
        <f>'Assets-Liab 5-6'!J41</f>
        <v>40955</v>
      </c>
      <c r="D6216" s="2" t="str">
        <f t="shared" si="96"/>
        <v>Error?</v>
      </c>
      <c r="E6216" s="2" t="s">
        <v>190</v>
      </c>
    </row>
    <row r="6217" spans="1:5" x14ac:dyDescent="0.2">
      <c r="A6217">
        <v>6156</v>
      </c>
      <c r="B6217" s="138">
        <f>'Assets-Liab 5-6'!J4</f>
        <v>40955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114191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114191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114191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129929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129929</v>
      </c>
      <c r="D6229" s="2" t="str">
        <f t="shared" si="96"/>
        <v>Error?</v>
      </c>
      <c r="E6229" s="2" t="s">
        <v>190</v>
      </c>
    </row>
    <row r="6230" spans="1:5" x14ac:dyDescent="0.2">
      <c r="A6230">
        <v>6169</v>
      </c>
      <c r="B6230" s="138">
        <f>'Acct Summary 7-8'!J20</f>
        <v>-15738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-15738</v>
      </c>
      <c r="D6263" s="2" t="str">
        <f t="shared" si="96"/>
        <v>Error?</v>
      </c>
      <c r="E6263" s="2" t="s">
        <v>190</v>
      </c>
    </row>
    <row r="6264" spans="1:5" x14ac:dyDescent="0.2">
      <c r="A6264">
        <v>6203</v>
      </c>
      <c r="B6264" s="138">
        <f>'Acct Summary 7-8'!J79</f>
        <v>56693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40955</v>
      </c>
      <c r="D6266" s="2" t="str">
        <f t="shared" si="96"/>
        <v>Error?</v>
      </c>
      <c r="E6266" s="2" t="s">
        <v>190</v>
      </c>
    </row>
    <row r="6267" spans="1:5" x14ac:dyDescent="0.2">
      <c r="A6267">
        <v>6206</v>
      </c>
      <c r="B6267" s="138">
        <f>'Acct Summary 7-8'!C82</f>
        <v>190467</v>
      </c>
      <c r="D6267" s="2" t="str">
        <f t="shared" si="96"/>
        <v>Error?</v>
      </c>
      <c r="E6267" s="2" t="s">
        <v>190</v>
      </c>
    </row>
    <row r="6268" spans="1:5" x14ac:dyDescent="0.2">
      <c r="A6268">
        <v>6207</v>
      </c>
      <c r="B6268" s="138">
        <f>'Acct Summary 7-8'!D82</f>
        <v>19049</v>
      </c>
      <c r="D6268" s="2" t="str">
        <f t="shared" si="96"/>
        <v>Error?</v>
      </c>
      <c r="E6268" s="2" t="s">
        <v>190</v>
      </c>
    </row>
    <row r="6269" spans="1:5" x14ac:dyDescent="0.2">
      <c r="A6269">
        <v>6208</v>
      </c>
      <c r="B6269" s="138">
        <f>'Acct Summary 7-8'!E82</f>
        <v>-3182</v>
      </c>
      <c r="D6269" s="2" t="str">
        <f t="shared" si="96"/>
        <v>Error?</v>
      </c>
      <c r="E6269" s="2" t="s">
        <v>190</v>
      </c>
    </row>
    <row r="6270" spans="1:5" x14ac:dyDescent="0.2">
      <c r="A6270">
        <v>6209</v>
      </c>
      <c r="B6270" s="138">
        <f>'Acct Summary 7-8'!F82</f>
        <v>20855</v>
      </c>
      <c r="D6270" s="2" t="str">
        <f t="shared" si="96"/>
        <v>Error?</v>
      </c>
      <c r="E6270" s="2" t="s">
        <v>190</v>
      </c>
    </row>
    <row r="6271" spans="1:5" x14ac:dyDescent="0.2">
      <c r="A6271">
        <v>6210</v>
      </c>
      <c r="B6271" s="138">
        <f>'Acct Summary 7-8'!G82</f>
        <v>-8810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3861</v>
      </c>
      <c r="D6273" s="2" t="str">
        <f t="shared" si="97"/>
        <v>Error?</v>
      </c>
      <c r="E6273" s="2" t="s">
        <v>190</v>
      </c>
    </row>
    <row r="6274" spans="1:5" x14ac:dyDescent="0.2">
      <c r="A6274">
        <v>6213</v>
      </c>
      <c r="B6274" s="138">
        <f>'Acct Summary 7-8'!J82</f>
        <v>-15738</v>
      </c>
      <c r="D6274" s="2" t="str">
        <f t="shared" si="97"/>
        <v>Error?</v>
      </c>
      <c r="E6274" s="2" t="s">
        <v>190</v>
      </c>
    </row>
    <row r="6275" spans="1:5" x14ac:dyDescent="0.2">
      <c r="A6275">
        <v>6214</v>
      </c>
      <c r="B6275" s="138">
        <f>'Acct Summary 7-8'!K82</f>
        <v>3861</v>
      </c>
      <c r="D6275" s="2" t="str">
        <f t="shared" si="97"/>
        <v>Error?</v>
      </c>
      <c r="E6275" s="2" t="s">
        <v>190</v>
      </c>
    </row>
    <row r="6276" spans="1:5" x14ac:dyDescent="0.2">
      <c r="A6276">
        <v>6215</v>
      </c>
      <c r="B6276" s="138">
        <f>'Acct Summary 7-8'!C83</f>
        <v>0.22536552812705957</v>
      </c>
      <c r="D6276" s="2" t="str">
        <f t="shared" si="97"/>
        <v>Error?</v>
      </c>
      <c r="E6276" s="2" t="s">
        <v>190</v>
      </c>
    </row>
    <row r="6277" spans="1:5" x14ac:dyDescent="0.2">
      <c r="A6277">
        <v>6216</v>
      </c>
      <c r="B6277" s="138">
        <f>'Acct Summary 7-8'!D83</f>
        <v>0.28782315700406447</v>
      </c>
      <c r="D6277" s="2" t="str">
        <f t="shared" si="97"/>
        <v>Error?</v>
      </c>
      <c r="E6277" s="2" t="s">
        <v>190</v>
      </c>
    </row>
    <row r="6278" spans="1:5" x14ac:dyDescent="0.2">
      <c r="A6278">
        <v>6217</v>
      </c>
      <c r="B6278" s="138">
        <f>'Acct Summary 7-8'!E83</f>
        <v>1.1608901860634804</v>
      </c>
      <c r="D6278" s="2" t="str">
        <f t="shared" si="97"/>
        <v>Error?</v>
      </c>
      <c r="E6278" s="2" t="s">
        <v>190</v>
      </c>
    </row>
    <row r="6279" spans="1:5" x14ac:dyDescent="0.2">
      <c r="A6279">
        <v>6218</v>
      </c>
      <c r="B6279" s="138">
        <f>'Acct Summary 7-8'!F83</f>
        <v>0.58571589058023932</v>
      </c>
      <c r="D6279" s="2" t="str">
        <f t="shared" si="97"/>
        <v>Error?</v>
      </c>
      <c r="E6279" s="2" t="s">
        <v>190</v>
      </c>
    </row>
    <row r="6280" spans="1:5" x14ac:dyDescent="0.2">
      <c r="A6280">
        <v>6219</v>
      </c>
      <c r="B6280" s="138">
        <f>'Acct Summary 7-8'!G83</f>
        <v>-4.7892147536082195E-2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0.51693667157584688</v>
      </c>
      <c r="D6282" s="2" t="str">
        <f t="shared" si="97"/>
        <v>Error?</v>
      </c>
      <c r="E6282" s="2" t="s">
        <v>190</v>
      </c>
    </row>
    <row r="6283" spans="1:5" x14ac:dyDescent="0.2">
      <c r="A6283">
        <v>6222</v>
      </c>
      <c r="B6283" s="138">
        <f>'Acct Summary 7-8'!J83</f>
        <v>-0.38427542424612382</v>
      </c>
      <c r="D6283" s="2" t="str">
        <f t="shared" si="97"/>
        <v>Error?</v>
      </c>
      <c r="E6283" s="2" t="s">
        <v>190</v>
      </c>
    </row>
    <row r="6284" spans="1:5" x14ac:dyDescent="0.2">
      <c r="A6284">
        <v>6223</v>
      </c>
      <c r="B6284" s="138">
        <f>'Acct Summary 7-8'!K83</f>
        <v>0.68506032647267567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114191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114191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114191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71910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84697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54025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11874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64411</v>
      </c>
      <c r="D6880" s="2" t="str">
        <f t="shared" si="106"/>
        <v>Error?</v>
      </c>
    </row>
    <row r="6881" spans="1:4" x14ac:dyDescent="0.2">
      <c r="A6881">
        <v>6820</v>
      </c>
      <c r="B6881" s="138">
        <f>'Expenditures 15-22'!K22</f>
        <v>64411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159460</v>
      </c>
      <c r="D6983" s="2" t="str">
        <f t="shared" si="108"/>
        <v>Error?</v>
      </c>
    </row>
    <row r="6984" spans="1:4" x14ac:dyDescent="0.2">
      <c r="A6984">
        <v>6923</v>
      </c>
      <c r="B6984" s="138">
        <f>'Expenditures 15-22'!K86</f>
        <v>159460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72114</v>
      </c>
      <c r="D6987" s="2" t="str">
        <f t="shared" si="108"/>
        <v>Error?</v>
      </c>
    </row>
    <row r="6988" spans="1:4" x14ac:dyDescent="0.2">
      <c r="A6988">
        <v>6927</v>
      </c>
      <c r="B6988" s="138">
        <f>'Expenditures 15-22'!K88</f>
        <v>72114</v>
      </c>
      <c r="D6988" s="2" t="str">
        <f t="shared" si="108"/>
        <v>Error?</v>
      </c>
    </row>
    <row r="6989" spans="1:4" x14ac:dyDescent="0.2">
      <c r="A6989">
        <v>6928</v>
      </c>
      <c r="B6989" s="138">
        <f>'Expenditures 15-22'!H89</f>
        <v>6337</v>
      </c>
      <c r="D6989" s="2" t="str">
        <f t="shared" si="108"/>
        <v>Error?</v>
      </c>
    </row>
    <row r="6990" spans="1:4" x14ac:dyDescent="0.2">
      <c r="A6990">
        <v>6929</v>
      </c>
      <c r="B6990" s="138">
        <f>'Expenditures 15-22'!K89</f>
        <v>6337</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237911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129929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114191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5059</v>
      </c>
      <c r="D7073" s="2" t="str">
        <f t="shared" si="109"/>
        <v>Error?</v>
      </c>
    </row>
    <row r="7074" spans="1:4" x14ac:dyDescent="0.2">
      <c r="A7074">
        <v>7013</v>
      </c>
      <c r="B7074" s="138">
        <f>'Expenditures 15-22'!K216</f>
        <v>5059</v>
      </c>
      <c r="D7074" s="2" t="str">
        <f t="shared" si="109"/>
        <v>Error?</v>
      </c>
    </row>
    <row r="7075" spans="1:4" x14ac:dyDescent="0.2">
      <c r="A7075">
        <v>7014</v>
      </c>
      <c r="B7075" s="138">
        <f>'Expenditures 15-22'!D218</f>
        <v>672</v>
      </c>
      <c r="D7075" s="2" t="str">
        <f t="shared" si="109"/>
        <v>Error?</v>
      </c>
    </row>
    <row r="7076" spans="1:4" x14ac:dyDescent="0.2">
      <c r="A7076">
        <v>7015</v>
      </c>
      <c r="B7076" s="138">
        <f>'Expenditures 15-22'!K218</f>
        <v>672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153</v>
      </c>
      <c r="D7079" s="2" t="str">
        <f t="shared" si="109"/>
        <v>Error?</v>
      </c>
    </row>
    <row r="7080" spans="1:4" x14ac:dyDescent="0.2">
      <c r="A7080">
        <v>7019</v>
      </c>
      <c r="B7080" s="138">
        <f>'Expenditures 15-22'!K226</f>
        <v>153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9351</v>
      </c>
      <c r="D7093" s="2" t="str">
        <f t="shared" si="109"/>
        <v>Error?</v>
      </c>
    </row>
    <row r="7094" spans="1:4" x14ac:dyDescent="0.2">
      <c r="A7094">
        <v>7033</v>
      </c>
      <c r="B7094" s="138">
        <f>'Expenditures 15-22'!K254</f>
        <v>9351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11857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11857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2945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2945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740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82430</v>
      </c>
      <c r="D7172" s="2" t="str">
        <f t="shared" si="111"/>
        <v>Error?</v>
      </c>
    </row>
    <row r="7173" spans="1:4" x14ac:dyDescent="0.2">
      <c r="A7173">
        <v>7112</v>
      </c>
      <c r="B7173" s="138">
        <f>'Expenditures 15-22'!D325</f>
        <v>13139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95569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82430</v>
      </c>
      <c r="D7199" s="2" t="str">
        <f t="shared" si="111"/>
        <v>Error?</v>
      </c>
    </row>
    <row r="7200" spans="1:4" x14ac:dyDescent="0.2">
      <c r="A7200">
        <v>7139</v>
      </c>
      <c r="B7200" s="138">
        <f>'Expenditures 15-22'!D330</f>
        <v>13139</v>
      </c>
      <c r="D7200" s="2" t="str">
        <f t="shared" si="111"/>
        <v>Error?</v>
      </c>
    </row>
    <row r="7201" spans="1:4" x14ac:dyDescent="0.2">
      <c r="A7201">
        <v>7140</v>
      </c>
      <c r="B7201" s="138">
        <f>'Expenditures 15-22'!E330</f>
        <v>34360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129929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82430</v>
      </c>
      <c r="D7216" s="2" t="str">
        <f t="shared" si="111"/>
        <v>Error?</v>
      </c>
    </row>
    <row r="7217" spans="1:4" x14ac:dyDescent="0.2">
      <c r="A7217">
        <v>7156</v>
      </c>
      <c r="B7217" s="138">
        <f>'Expenditures 15-22'!D342</f>
        <v>13139</v>
      </c>
      <c r="D7217" s="2" t="str">
        <f t="shared" si="111"/>
        <v>Error?</v>
      </c>
    </row>
    <row r="7218" spans="1:4" x14ac:dyDescent="0.2">
      <c r="A7218">
        <v>7157</v>
      </c>
      <c r="B7218" s="138">
        <f>'Expenditures 15-22'!E342</f>
        <v>34360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129929</v>
      </c>
      <c r="D7224" s="2" t="str">
        <f t="shared" si="111"/>
        <v>Error?</v>
      </c>
    </row>
    <row r="7225" spans="1:4" x14ac:dyDescent="0.2">
      <c r="A7225">
        <v>7164</v>
      </c>
      <c r="B7225" s="138">
        <f>'Expenditures 15-22'!K343</f>
        <v>-15738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7706</v>
      </c>
      <c r="D7246" s="2" t="str">
        <f t="shared" si="112"/>
        <v>Error?</v>
      </c>
    </row>
    <row r="7247" spans="1:4" x14ac:dyDescent="0.2">
      <c r="A7247">
        <f t="shared" si="113"/>
        <v>7186</v>
      </c>
      <c r="B7247" s="138">
        <f>'Expenditures 15-22'!E7</f>
        <v>1163</v>
      </c>
      <c r="D7247" s="2" t="str">
        <f t="shared" si="112"/>
        <v>Error?</v>
      </c>
    </row>
    <row r="7248" spans="1:4" x14ac:dyDescent="0.2">
      <c r="A7248">
        <f t="shared" si="113"/>
        <v>7187</v>
      </c>
      <c r="B7248" s="138">
        <f>'Expenditures 15-22'!F7</f>
        <v>3918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47015</v>
      </c>
      <c r="D7251" s="2" t="str">
        <f t="shared" si="112"/>
        <v>Error?</v>
      </c>
    </row>
    <row r="7252" spans="1:4" x14ac:dyDescent="0.2">
      <c r="A7252">
        <f t="shared" si="113"/>
        <v>7191</v>
      </c>
      <c r="B7252" s="138">
        <f>'Expenditures 15-22'!D9</f>
        <v>7010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10628</v>
      </c>
      <c r="D7263" s="2" t="str">
        <f t="shared" si="112"/>
        <v>Error?</v>
      </c>
    </row>
    <row r="7264" spans="1:4" x14ac:dyDescent="0.2">
      <c r="A7264">
        <f t="shared" si="113"/>
        <v>7203</v>
      </c>
      <c r="B7264" s="138">
        <f>'Expenditures 15-22'!D17</f>
        <v>1167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79</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79833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79833</v>
      </c>
      <c r="D7618" s="2" t="str">
        <f t="shared" si="124"/>
        <v>Error?</v>
      </c>
      <c r="E7618" s="2" t="s">
        <v>19</v>
      </c>
    </row>
    <row r="7619" spans="1:5" x14ac:dyDescent="0.2">
      <c r="A7619">
        <f t="shared" si="123"/>
        <v>7558</v>
      </c>
      <c r="B7619" s="138">
        <f>'Cap Outlay Deprec 26'!H14</f>
        <v>64346</v>
      </c>
      <c r="D7619" s="2" t="str">
        <f t="shared" si="124"/>
        <v>Error?</v>
      </c>
      <c r="E7619" s="2" t="s">
        <v>19</v>
      </c>
    </row>
    <row r="7620" spans="1:5" x14ac:dyDescent="0.2">
      <c r="A7620">
        <f t="shared" si="123"/>
        <v>7559</v>
      </c>
      <c r="B7620" s="138">
        <f>'Cap Outlay Deprec 26'!I14</f>
        <v>2512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66858</v>
      </c>
      <c r="D7622" s="2" t="str">
        <f t="shared" si="124"/>
        <v>Error?</v>
      </c>
      <c r="E7622" s="2" t="s">
        <v>19</v>
      </c>
    </row>
    <row r="7623" spans="1:5" x14ac:dyDescent="0.2">
      <c r="A7623">
        <f t="shared" si="123"/>
        <v>7562</v>
      </c>
      <c r="B7623" s="138">
        <f>'Cap Outlay Deprec 26'!L14</f>
        <v>12975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80272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3777</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18818</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18818</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5689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5689</v>
      </c>
      <c r="D7719" s="2" t="str">
        <f t="shared" si="126"/>
        <v>Error?</v>
      </c>
      <c r="E7719" s="2" t="s">
        <v>827</v>
      </c>
    </row>
    <row r="7720" spans="1:6" x14ac:dyDescent="0.2">
      <c r="A7720">
        <v>7659</v>
      </c>
      <c r="B7720" s="138">
        <f>'Rest Tax Levies-Tort Im 25'!H14</f>
        <v>3088</v>
      </c>
      <c r="D7720" s="2" t="str">
        <f t="shared" si="126"/>
        <v>Error?</v>
      </c>
      <c r="E7720" s="2" t="s">
        <v>827</v>
      </c>
    </row>
    <row r="7721" spans="1:6" x14ac:dyDescent="0.2">
      <c r="A7721">
        <v>7660</v>
      </c>
      <c r="B7721" s="138">
        <f>'Rest Tax Levies-Tort Im 25'!K14</f>
        <v>5689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29'!D140</f>
        <v>12907</v>
      </c>
      <c r="D7797" s="2" t="str">
        <f t="shared" si="127"/>
        <v>Error?</v>
      </c>
      <c r="E7797" s="4" t="s">
        <v>1903</v>
      </c>
    </row>
    <row r="7798" spans="1:5" x14ac:dyDescent="0.2">
      <c r="A7798">
        <v>7737</v>
      </c>
      <c r="B7798" s="138">
        <f>'Contracts Paid in CY 29'!F140</f>
        <v>12907</v>
      </c>
      <c r="D7798" s="2" t="str">
        <f t="shared" si="127"/>
        <v>Error?</v>
      </c>
      <c r="E7798" s="4" t="s">
        <v>1903</v>
      </c>
    </row>
    <row r="7799" spans="1:5" x14ac:dyDescent="0.2">
      <c r="A7799">
        <v>7738</v>
      </c>
      <c r="B7799" s="138">
        <f>'Contracts Paid in CY 29'!G140</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1988</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DePue USD 103</v>
      </c>
      <c r="B7" s="2383"/>
      <c r="C7" s="2383"/>
      <c r="D7" s="2420"/>
      <c r="E7" s="2421">
        <f>COVER!A13</f>
        <v>28006103022</v>
      </c>
      <c r="F7" s="2422"/>
      <c r="G7" s="2389" t="str">
        <f>COVER!T23</f>
        <v>066-004501</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Hopkins &amp; Associates, CPAs</v>
      </c>
      <c r="H9" s="2396"/>
      <c r="I9" s="2396"/>
      <c r="J9" s="2396"/>
      <c r="K9" s="2396"/>
      <c r="L9" s="2397"/>
    </row>
    <row r="10" spans="1:29" ht="13.5" customHeight="1" x14ac:dyDescent="0.2">
      <c r="A10" s="2379" t="str">
        <f>COVER!A38</f>
        <v>Brad Kenser</v>
      </c>
      <c r="B10" s="2380"/>
      <c r="C10" s="2380"/>
      <c r="D10" s="2380"/>
      <c r="E10" s="2380"/>
      <c r="F10" s="2381"/>
      <c r="G10" s="2395" t="str">
        <f>COVER!T17</f>
        <v>314 S McCoy St</v>
      </c>
      <c r="H10" s="2408"/>
      <c r="I10" s="2408"/>
      <c r="J10" s="2408"/>
      <c r="K10" s="2408"/>
      <c r="L10" s="2409"/>
    </row>
    <row r="11" spans="1:29" ht="13.5" customHeight="1" x14ac:dyDescent="0.2">
      <c r="A11" s="1184" t="s">
        <v>1519</v>
      </c>
      <c r="B11" s="1185"/>
      <c r="C11" s="1186"/>
      <c r="D11" s="1191"/>
      <c r="E11" s="1186"/>
      <c r="F11" s="1190"/>
      <c r="G11" s="2395" t="str">
        <f>COVER!T19</f>
        <v>Granville</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kim@hopkinsoffice.com</v>
      </c>
      <c r="J13" s="2417"/>
      <c r="K13" s="2417"/>
      <c r="L13" s="2418"/>
    </row>
    <row r="14" spans="1:29" ht="13.5" customHeight="1" x14ac:dyDescent="0.2">
      <c r="A14" s="2395" t="str">
        <f>COVER!A19</f>
        <v>204 Pleasant St.</v>
      </c>
      <c r="B14" s="2408"/>
      <c r="C14" s="2408"/>
      <c r="D14" s="2408"/>
      <c r="E14" s="2408"/>
      <c r="F14" s="2409"/>
      <c r="G14" s="1195" t="s">
        <v>1185</v>
      </c>
      <c r="H14" s="1193"/>
      <c r="I14" s="1193"/>
      <c r="J14" s="1193"/>
      <c r="K14" s="1193"/>
      <c r="L14" s="1194"/>
    </row>
    <row r="15" spans="1:29" ht="13.5" customHeight="1" x14ac:dyDescent="0.2">
      <c r="A15" s="2395" t="str">
        <f>COVER!A21</f>
        <v xml:space="preserve">DePue  </v>
      </c>
      <c r="B15" s="2408"/>
      <c r="C15" s="2408"/>
      <c r="D15" s="2408"/>
      <c r="E15" s="2408"/>
      <c r="F15" s="2409"/>
      <c r="G15" s="2405" t="str">
        <f>COVER!T15</f>
        <v>Kim Bird</v>
      </c>
      <c r="H15" s="2406"/>
      <c r="I15" s="2406"/>
      <c r="J15" s="2406"/>
      <c r="K15" s="2406"/>
      <c r="L15" s="2407"/>
    </row>
    <row r="16" spans="1:29" ht="12.2" customHeight="1" x14ac:dyDescent="0.2">
      <c r="A16" s="2385">
        <f>COVER!A25</f>
        <v>61322</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815-339-6630</v>
      </c>
      <c r="H18" s="2383"/>
      <c r="I18" s="2383"/>
      <c r="J18" s="2383"/>
      <c r="K18" s="2382" t="str">
        <f>COVER!X21</f>
        <v>815-339-6643</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DePue USD 103</v>
      </c>
      <c r="B1" s="2419"/>
      <c r="C1" s="2419"/>
      <c r="D1" s="2419"/>
    </row>
    <row r="2" spans="1:11" s="1212" customFormat="1" ht="12.75" x14ac:dyDescent="0.2">
      <c r="A2" s="2424">
        <f>'Single Audit Cover'!E7</f>
        <v>28006103022</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DePue USD 103</v>
      </c>
      <c r="B1" s="2427"/>
      <c r="C1" s="2427"/>
      <c r="D1" s="2427"/>
      <c r="E1" s="2427"/>
    </row>
    <row r="2" spans="1:5" x14ac:dyDescent="0.2">
      <c r="A2" s="2428">
        <f>'Single Audit Cover'!E7</f>
        <v>28006103022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485373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15308</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0</v>
      </c>
    </row>
    <row r="19" spans="1:4" ht="13.5" thickBot="1" x14ac:dyDescent="0.25">
      <c r="A19" s="1262" t="s">
        <v>1235</v>
      </c>
      <c r="D19" s="1263">
        <f>SUM(D10:D17)</f>
        <v>500681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500681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500681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DePue USD 103</v>
      </c>
      <c r="C1" s="2431"/>
      <c r="D1" s="2431"/>
      <c r="E1" s="2431"/>
      <c r="F1" s="2431"/>
      <c r="G1" s="2431"/>
      <c r="H1" s="2431"/>
      <c r="I1" s="2431"/>
      <c r="J1" s="2431"/>
      <c r="K1" s="2431"/>
      <c r="L1" s="2431"/>
      <c r="M1" s="2431"/>
    </row>
    <row r="2" spans="2:14" ht="15" x14ac:dyDescent="0.2">
      <c r="B2" s="2432">
        <f>'Single Audit Cover'!E7</f>
        <v>28006103022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DePue USD 103</v>
      </c>
      <c r="B1" s="2436"/>
      <c r="C1" s="2436"/>
      <c r="D1" s="2436"/>
      <c r="E1" s="2436"/>
      <c r="F1" s="2436"/>
    </row>
    <row r="2" spans="1:7" ht="13.5" customHeight="1" x14ac:dyDescent="0.2">
      <c r="A2" s="2432">
        <f>'Single Audit Cover'!E7</f>
        <v>28006103022</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5" t="s">
        <v>1270</v>
      </c>
      <c r="D15" s="2440" t="s">
        <v>1269</v>
      </c>
      <c r="E15" s="2440"/>
      <c r="F15" s="2440"/>
    </row>
    <row r="16" spans="1:7" ht="13.5" customHeight="1" x14ac:dyDescent="0.2">
      <c r="A16" s="1279"/>
      <c r="B16" s="1273" t="s">
        <v>1268</v>
      </c>
      <c r="C16" s="1845"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2"/>
      <c r="E33" s="1283"/>
    </row>
    <row r="34" spans="1:6" ht="13.5" customHeight="1" x14ac:dyDescent="0.2">
      <c r="A34" s="328" t="s">
        <v>1838</v>
      </c>
      <c r="B34" s="328"/>
      <c r="C34" s="1286">
        <v>0</v>
      </c>
      <c r="D34" s="1902" t="s">
        <v>1589</v>
      </c>
      <c r="E34" s="2444">
        <f>+C33+C34</f>
        <v>0</v>
      </c>
      <c r="F34" s="2445"/>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c r="D38" s="1902"/>
      <c r="E38" s="1283"/>
    </row>
    <row r="39" spans="1:6" ht="14.25" customHeight="1" x14ac:dyDescent="0.2">
      <c r="A39" s="328"/>
      <c r="B39" s="328" t="s">
        <v>1436</v>
      </c>
      <c r="C39" s="1289"/>
      <c r="D39" s="1902"/>
      <c r="E39" s="1283"/>
    </row>
    <row r="40" spans="1:6" ht="14.25" customHeight="1" x14ac:dyDescent="0.2">
      <c r="A40" s="328"/>
      <c r="B40" s="328" t="s">
        <v>1437</v>
      </c>
      <c r="C40" s="1289"/>
      <c r="D40" s="1902"/>
      <c r="E40" s="1283"/>
    </row>
    <row r="41" spans="1:6" ht="14.25" customHeight="1" x14ac:dyDescent="0.2">
      <c r="A41" s="328"/>
      <c r="B41" s="328" t="s">
        <v>1438</v>
      </c>
      <c r="C41" s="1289"/>
      <c r="D41" s="1902"/>
      <c r="E41" s="1283"/>
    </row>
    <row r="42" spans="1:6" ht="14.25" customHeight="1" x14ac:dyDescent="0.2">
      <c r="A42" s="328" t="s">
        <v>1439</v>
      </c>
      <c r="B42" s="328"/>
      <c r="C42" s="1900"/>
      <c r="D42" s="1902"/>
      <c r="E42" s="1283"/>
    </row>
    <row r="43" spans="1:6" ht="14.25" customHeight="1" x14ac:dyDescent="0.2">
      <c r="A43" s="328" t="s">
        <v>1440</v>
      </c>
      <c r="B43" s="328"/>
      <c r="C43" s="1290"/>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4"/>
      <c r="C50" s="1844"/>
      <c r="D50" s="1844"/>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6"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DePue USD 103</v>
      </c>
      <c r="C1" s="2452"/>
      <c r="D1" s="2452"/>
      <c r="E1" s="2452"/>
      <c r="F1" s="2452"/>
      <c r="G1" s="2452"/>
      <c r="H1" s="2452"/>
      <c r="I1" s="2452"/>
      <c r="J1" s="1406"/>
    </row>
    <row r="2" spans="2:10" s="317" customFormat="1" ht="12.75" customHeight="1" x14ac:dyDescent="0.2">
      <c r="B2" s="2453">
        <f>'Single Audit Cover'!E7</f>
        <v>28006103022</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2069</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DePue USD 103</v>
      </c>
      <c r="C1" s="2451"/>
      <c r="D1" s="2451"/>
      <c r="E1" s="2451"/>
      <c r="F1" s="2451"/>
      <c r="G1" s="2451"/>
      <c r="H1" s="2451"/>
      <c r="I1" s="2451"/>
      <c r="J1" s="2451"/>
      <c r="K1" s="2451"/>
      <c r="L1" s="1371"/>
      <c r="M1" s="1371"/>
    </row>
    <row r="2" spans="1:13" ht="12" customHeight="1" x14ac:dyDescent="0.2">
      <c r="B2" s="2453">
        <f>'Single Audit Cover'!E7</f>
        <v>28006103022</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DePue USD 103</v>
      </c>
      <c r="C1" s="2478"/>
      <c r="D1" s="2478"/>
      <c r="E1" s="2478"/>
      <c r="F1" s="2478"/>
      <c r="G1" s="2478"/>
      <c r="H1" s="2478"/>
      <c r="I1" s="2478"/>
      <c r="J1" s="2478"/>
      <c r="K1" s="2478"/>
      <c r="L1" s="1449"/>
    </row>
    <row r="2" spans="1:12" ht="12.75" customHeight="1" x14ac:dyDescent="0.2">
      <c r="B2" s="2479">
        <f>'Single Audit Cover'!E7</f>
        <v>28006103022</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DePue USD 103</v>
      </c>
      <c r="C1" s="2451"/>
      <c r="D1" s="2451"/>
      <c r="E1" s="1469"/>
    </row>
    <row r="2" spans="2:5" s="1279" customFormat="1" ht="12.75" customHeight="1" x14ac:dyDescent="0.2">
      <c r="B2" s="2453">
        <f>'Single Audit Cover'!E7</f>
        <v>28006103022</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8336549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2.4E-2</v>
      </c>
      <c r="E10" s="356" t="s">
        <v>1005</v>
      </c>
      <c r="F10" s="355">
        <v>4.7499999999999999E-3</v>
      </c>
      <c r="G10" s="356" t="s">
        <v>1005</v>
      </c>
      <c r="H10" s="355">
        <v>2E-3</v>
      </c>
      <c r="I10" s="356" t="s">
        <v>1006</v>
      </c>
      <c r="J10" s="1731">
        <f>ROUND(D10+F10+H10,5)</f>
        <v>3.075E-2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4408836</v>
      </c>
      <c r="E16" s="356"/>
      <c r="F16" s="1732">
        <f>SUM('Acct Summary 7-8'!C17,'Acct Summary 7-8'!D17,'Acct Summary 7-8'!F17)</f>
        <v>4174604</v>
      </c>
      <c r="G16" s="356"/>
      <c r="H16" s="1732">
        <f>SUM(D16-F16)</f>
        <v>234232</v>
      </c>
      <c r="I16" s="222"/>
      <c r="J16" s="1732">
        <f>SUM('Acct Summary 7-8'!C81,'Acct Summary 7-8'!D81,'Acct Summary 7-8'!F81,'Acct Summary 7-8'!I81)</f>
        <v>954405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1150443.7620000001</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DePue USD 103</v>
      </c>
      <c r="E7" s="391"/>
      <c r="G7" s="252"/>
      <c r="H7" s="387"/>
      <c r="I7" s="387"/>
      <c r="J7" s="387"/>
      <c r="K7" s="387"/>
      <c r="L7" s="329"/>
      <c r="M7" s="329"/>
      <c r="N7" s="329"/>
      <c r="O7" s="329"/>
      <c r="P7" s="329"/>
    </row>
    <row r="8" spans="1:18" ht="12.75" x14ac:dyDescent="0.2">
      <c r="A8" s="329"/>
      <c r="B8" s="329"/>
      <c r="C8" s="389" t="s">
        <v>1125</v>
      </c>
      <c r="D8" s="392">
        <f>COVER!A13</f>
        <v>28006103022</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954405</v>
      </c>
      <c r="I12" s="404"/>
      <c r="J12" s="404"/>
      <c r="K12" s="405">
        <f>TRUNC((H12/H13*100000),5)/100000</f>
        <v>0.21647550500000001</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4408836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4174604</v>
      </c>
      <c r="I17" s="404"/>
      <c r="J17" s="416"/>
      <c r="K17" s="405">
        <f>TRUNC((H17/H18*100000),5)/100000</f>
        <v>0.94687214489999993</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4408836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954405</v>
      </c>
      <c r="I24" s="422"/>
      <c r="J24" s="422"/>
      <c r="K24" s="423">
        <f>TRUNC(((H24/H25*100000)/100000),2)</f>
        <v>82.3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11596.122219999999</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217896.54949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195000</v>
      </c>
      <c r="I32" s="420"/>
      <c r="J32" s="420"/>
      <c r="K32" s="423">
        <f>TRUNC(100-((((H32/H33*100))*100)/100),2)</f>
        <v>83.05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1150443.7620000001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C30" sqref="C3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845147</v>
      </c>
      <c r="D4" s="466">
        <v>66183</v>
      </c>
      <c r="E4" s="466"/>
      <c r="F4" s="466">
        <v>35606</v>
      </c>
      <c r="G4" s="466">
        <v>183955</v>
      </c>
      <c r="H4" s="466"/>
      <c r="I4" s="466">
        <v>7469</v>
      </c>
      <c r="J4" s="467">
        <v>40955</v>
      </c>
      <c r="K4" s="466">
        <v>5636</v>
      </c>
      <c r="L4" s="466">
        <v>48895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845147</v>
      </c>
      <c r="D13" s="1736">
        <f t="shared" ref="D13:L13" si="0">SUM(D4:D12)</f>
        <v>66183</v>
      </c>
      <c r="E13" s="1736">
        <f t="shared" si="0"/>
        <v>0</v>
      </c>
      <c r="F13" s="1736">
        <f t="shared" si="0"/>
        <v>35606</v>
      </c>
      <c r="G13" s="1736">
        <f t="shared" si="0"/>
        <v>183955</v>
      </c>
      <c r="H13" s="1736">
        <f t="shared" si="0"/>
        <v>0</v>
      </c>
      <c r="I13" s="1736">
        <f t="shared" si="0"/>
        <v>7469</v>
      </c>
      <c r="J13" s="1736">
        <f t="shared" si="0"/>
        <v>40955</v>
      </c>
      <c r="K13" s="1736">
        <f t="shared" si="0"/>
        <v>5636</v>
      </c>
      <c r="L13" s="1736">
        <f t="shared" si="0"/>
        <v>48895</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99312</v>
      </c>
      <c r="N16" s="484"/>
    </row>
    <row r="17" spans="1:14" s="485" customFormat="1" ht="12.75" customHeight="1" x14ac:dyDescent="0.2">
      <c r="A17" s="482" t="s">
        <v>1403</v>
      </c>
      <c r="B17" s="483">
        <v>230</v>
      </c>
      <c r="C17" s="477"/>
      <c r="D17" s="477"/>
      <c r="E17" s="477"/>
      <c r="F17" s="477"/>
      <c r="G17" s="477"/>
      <c r="H17" s="477"/>
      <c r="I17" s="477"/>
      <c r="J17" s="477"/>
      <c r="K17" s="477"/>
      <c r="L17" s="477"/>
      <c r="M17" s="467">
        <v>2246964</v>
      </c>
      <c r="N17" s="484"/>
    </row>
    <row r="18" spans="1:14" s="485" customFormat="1" ht="12.75" customHeight="1" x14ac:dyDescent="0.2">
      <c r="A18" s="482" t="s">
        <v>1404</v>
      </c>
      <c r="B18" s="483">
        <v>240</v>
      </c>
      <c r="C18" s="477"/>
      <c r="D18" s="477"/>
      <c r="E18" s="477"/>
      <c r="F18" s="477"/>
      <c r="G18" s="477"/>
      <c r="H18" s="477"/>
      <c r="I18" s="477"/>
      <c r="J18" s="477"/>
      <c r="K18" s="477"/>
      <c r="L18" s="477"/>
      <c r="M18" s="467">
        <v>176024</v>
      </c>
      <c r="N18" s="484"/>
    </row>
    <row r="19" spans="1:14" s="485" customFormat="1" ht="12.75" customHeight="1" x14ac:dyDescent="0.2">
      <c r="A19" s="482" t="s">
        <v>1405</v>
      </c>
      <c r="B19" s="483">
        <v>250</v>
      </c>
      <c r="C19" s="477"/>
      <c r="D19" s="477"/>
      <c r="E19" s="477"/>
      <c r="F19" s="477"/>
      <c r="G19" s="477"/>
      <c r="H19" s="477"/>
      <c r="I19" s="477"/>
      <c r="J19" s="477"/>
      <c r="K19" s="477"/>
      <c r="L19" s="477"/>
      <c r="M19" s="467">
        <v>1780631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195000</v>
      </c>
    </row>
    <row r="23" spans="1:14" ht="13.5" customHeight="1" thickBot="1" x14ac:dyDescent="0.25">
      <c r="A23" s="1735" t="s">
        <v>643</v>
      </c>
      <c r="B23" s="1740"/>
      <c r="C23" s="468"/>
      <c r="D23" s="468"/>
      <c r="E23" s="468"/>
      <c r="F23" s="468"/>
      <c r="G23" s="468"/>
      <c r="H23" s="468"/>
      <c r="I23" s="468"/>
      <c r="J23" s="468"/>
      <c r="K23" s="468"/>
      <c r="L23" s="468"/>
      <c r="M23" s="1687">
        <f>SUM(M15:M22)</f>
        <v>4302931</v>
      </c>
      <c r="N23" s="1687">
        <f>SUM(N21:N22)</f>
        <v>195000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v>2741</v>
      </c>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48895</v>
      </c>
      <c r="M33" s="468"/>
      <c r="N33" s="469"/>
    </row>
    <row r="34" spans="1:14" ht="13.5" customHeight="1" thickBot="1" x14ac:dyDescent="0.25">
      <c r="A34" s="1737" t="s">
        <v>654</v>
      </c>
      <c r="B34" s="1738"/>
      <c r="C34" s="1739">
        <f>SUM(C25:C33)</f>
        <v>0</v>
      </c>
      <c r="D34" s="1739">
        <f t="shared" ref="D34:K34" si="1">SUM(D25:D33)</f>
        <v>0</v>
      </c>
      <c r="E34" s="1739">
        <f t="shared" si="1"/>
        <v>2741</v>
      </c>
      <c r="F34" s="1739">
        <f t="shared" si="1"/>
        <v>0</v>
      </c>
      <c r="G34" s="1739">
        <f t="shared" si="1"/>
        <v>0</v>
      </c>
      <c r="H34" s="1739">
        <f t="shared" si="1"/>
        <v>0</v>
      </c>
      <c r="I34" s="1739">
        <f t="shared" si="1"/>
        <v>0</v>
      </c>
      <c r="J34" s="1739">
        <f t="shared" si="1"/>
        <v>0</v>
      </c>
      <c r="K34" s="1739">
        <f t="shared" si="1"/>
        <v>0</v>
      </c>
      <c r="L34" s="1720">
        <f>SUM(L33)</f>
        <v>48895</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195000</v>
      </c>
    </row>
    <row r="37" spans="1:14" ht="13.5" thickBot="1" x14ac:dyDescent="0.25">
      <c r="A37" s="1735" t="s">
        <v>653</v>
      </c>
      <c r="B37" s="1740"/>
      <c r="C37" s="477"/>
      <c r="D37" s="477"/>
      <c r="E37" s="477"/>
      <c r="F37" s="477"/>
      <c r="G37" s="477"/>
      <c r="H37" s="477"/>
      <c r="I37" s="477"/>
      <c r="J37" s="477"/>
      <c r="K37" s="477"/>
      <c r="L37" s="480"/>
      <c r="M37" s="468"/>
      <c r="N37" s="1687">
        <f>SUM(N36:N36)</f>
        <v>195000</v>
      </c>
    </row>
    <row r="38" spans="1:14" s="329" customFormat="1" ht="13.5" customHeight="1" thickTop="1" x14ac:dyDescent="0.2">
      <c r="A38" s="496" t="s">
        <v>420</v>
      </c>
      <c r="B38" s="483">
        <v>714</v>
      </c>
      <c r="C38" s="466"/>
      <c r="D38" s="466"/>
      <c r="E38" s="466"/>
      <c r="F38" s="466"/>
      <c r="G38" s="466">
        <v>44707</v>
      </c>
      <c r="H38" s="466"/>
      <c r="I38" s="466"/>
      <c r="J38" s="467">
        <v>76392</v>
      </c>
      <c r="K38" s="466"/>
      <c r="L38" s="481"/>
      <c r="M38" s="497"/>
      <c r="N38" s="497"/>
    </row>
    <row r="39" spans="1:14" s="329" customFormat="1" ht="13.5" customHeight="1" x14ac:dyDescent="0.2">
      <c r="A39" s="496" t="s">
        <v>342</v>
      </c>
      <c r="B39" s="483">
        <v>730</v>
      </c>
      <c r="C39" s="466">
        <v>845147</v>
      </c>
      <c r="D39" s="466">
        <v>66183</v>
      </c>
      <c r="E39" s="466">
        <v>-2741</v>
      </c>
      <c r="F39" s="466">
        <v>35606</v>
      </c>
      <c r="G39" s="466">
        <f>-44707+183955</f>
        <v>139248</v>
      </c>
      <c r="H39" s="466"/>
      <c r="I39" s="466">
        <v>7469</v>
      </c>
      <c r="J39" s="467">
        <f>-76392+40955</f>
        <v>-35437</v>
      </c>
      <c r="K39" s="466">
        <v>5636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4302931</v>
      </c>
      <c r="N40" s="497"/>
    </row>
    <row r="41" spans="1:14" ht="13.5" customHeight="1" thickBot="1" x14ac:dyDescent="0.25">
      <c r="A41" s="1735" t="s">
        <v>655</v>
      </c>
      <c r="B41" s="1705"/>
      <c r="C41" s="1687">
        <f>(SUM(C34,C37,C38,C39))</f>
        <v>845147</v>
      </c>
      <c r="D41" s="1687">
        <f t="shared" ref="D41:L41" si="2">SUM(D34,D37,D38:D39)</f>
        <v>66183</v>
      </c>
      <c r="E41" s="1687">
        <f t="shared" si="2"/>
        <v>0</v>
      </c>
      <c r="F41" s="1687">
        <f t="shared" si="2"/>
        <v>35606</v>
      </c>
      <c r="G41" s="1687">
        <f t="shared" si="2"/>
        <v>183955</v>
      </c>
      <c r="H41" s="1687">
        <f t="shared" si="2"/>
        <v>0</v>
      </c>
      <c r="I41" s="1687">
        <f t="shared" si="2"/>
        <v>7469</v>
      </c>
      <c r="J41" s="1687">
        <f t="shared" si="2"/>
        <v>40955</v>
      </c>
      <c r="K41" s="1687">
        <f t="shared" si="2"/>
        <v>5636</v>
      </c>
      <c r="L41" s="1687">
        <f t="shared" si="2"/>
        <v>48895</v>
      </c>
      <c r="M41" s="1687">
        <f>SUM(M40)</f>
        <v>4302931</v>
      </c>
      <c r="N41" s="1687">
        <f>SUM(N37)</f>
        <v>195000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7" t="s">
        <v>1499</v>
      </c>
      <c r="B4" s="1928">
        <v>1000</v>
      </c>
      <c r="C4" s="1741">
        <f>'Revenues 9-14'!C109</f>
        <v>340598</v>
      </c>
      <c r="D4" s="1741">
        <f>'Revenues 9-14'!D109</f>
        <v>43309</v>
      </c>
      <c r="E4" s="1741">
        <f>'Revenues 9-14'!E109</f>
        <v>64551</v>
      </c>
      <c r="F4" s="1741">
        <f>'Revenues 9-14'!F109</f>
        <v>15438</v>
      </c>
      <c r="G4" s="1741">
        <f>'Revenues 9-14'!G109</f>
        <v>126167</v>
      </c>
      <c r="H4" s="1741">
        <f>'Revenues 9-14'!H109</f>
        <v>0</v>
      </c>
      <c r="I4" s="1741">
        <f>'Revenues 9-14'!I109</f>
        <v>3861</v>
      </c>
      <c r="J4" s="1741">
        <f>'Revenues 9-14'!J109</f>
        <v>114191</v>
      </c>
      <c r="K4" s="1741">
        <f>'Revenues 9-14'!K109</f>
        <v>3861</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3044769</v>
      </c>
      <c r="D6" s="1742">
        <f>'Revenues 9-14'!D170</f>
        <v>268193</v>
      </c>
      <c r="E6" s="1742">
        <f>'Revenues 9-14'!E170</f>
        <v>0</v>
      </c>
      <c r="F6" s="1742">
        <f>'Revenues 9-14'!F170</f>
        <v>207295</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485373</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3870740</v>
      </c>
      <c r="D8" s="1687">
        <f t="shared" ref="D8:K8" si="0">SUM(D4:D7)</f>
        <v>311502</v>
      </c>
      <c r="E8" s="1687">
        <f t="shared" si="0"/>
        <v>64551</v>
      </c>
      <c r="F8" s="1687">
        <f t="shared" si="0"/>
        <v>222733</v>
      </c>
      <c r="G8" s="1687">
        <f t="shared" si="0"/>
        <v>126167</v>
      </c>
      <c r="H8" s="1687">
        <f t="shared" si="0"/>
        <v>0</v>
      </c>
      <c r="I8" s="1687">
        <f t="shared" si="0"/>
        <v>3861</v>
      </c>
      <c r="J8" s="1687">
        <f t="shared" si="0"/>
        <v>114191</v>
      </c>
      <c r="K8" s="1687">
        <f t="shared" si="0"/>
        <v>3861</v>
      </c>
      <c r="L8" s="347"/>
    </row>
    <row r="9" spans="1:13" ht="15.75" thickTop="1" x14ac:dyDescent="0.2">
      <c r="A9" s="514" t="s">
        <v>1653</v>
      </c>
      <c r="B9" s="515">
        <v>3998</v>
      </c>
      <c r="C9" s="481">
        <f>1487774+25244</f>
        <v>1513018</v>
      </c>
      <c r="D9" s="516"/>
      <c r="E9" s="481"/>
      <c r="F9" s="481"/>
      <c r="G9" s="517"/>
      <c r="H9" s="481"/>
      <c r="I9" s="509" t="s">
        <v>1169</v>
      </c>
      <c r="J9" s="478"/>
      <c r="K9" s="481"/>
      <c r="L9" s="347"/>
    </row>
    <row r="10" spans="1:13" s="519" customFormat="1" ht="13.5" thickBot="1" x14ac:dyDescent="0.25">
      <c r="A10" s="1735" t="s">
        <v>1173</v>
      </c>
      <c r="B10" s="1708"/>
      <c r="C10" s="1687">
        <f>SUM(C8:C9)</f>
        <v>5383758</v>
      </c>
      <c r="D10" s="1687">
        <f t="shared" ref="D10:K10" si="1">SUM(D8:D9)</f>
        <v>311502</v>
      </c>
      <c r="E10" s="1687">
        <f t="shared" si="1"/>
        <v>64551</v>
      </c>
      <c r="F10" s="1687">
        <f t="shared" si="1"/>
        <v>222733</v>
      </c>
      <c r="G10" s="1687">
        <f t="shared" si="1"/>
        <v>126167</v>
      </c>
      <c r="H10" s="1687">
        <f t="shared" si="1"/>
        <v>0</v>
      </c>
      <c r="I10" s="1687">
        <f t="shared" si="1"/>
        <v>3861</v>
      </c>
      <c r="J10" s="1687">
        <f t="shared" si="1"/>
        <v>114191</v>
      </c>
      <c r="K10" s="1687">
        <f t="shared" si="1"/>
        <v>3861</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1">
        <f>'Expenditures 15-22'!K33</f>
        <v>2487385</v>
      </c>
      <c r="D12" s="520" t="s">
        <v>1169</v>
      </c>
      <c r="E12" s="468" t="s">
        <v>1169</v>
      </c>
      <c r="F12" s="468" t="s">
        <v>1169</v>
      </c>
      <c r="G12" s="1741">
        <f>'Expenditures 15-22'!K229</f>
        <v>58469</v>
      </c>
      <c r="H12" s="521"/>
      <c r="I12" s="468" t="s">
        <v>1169</v>
      </c>
      <c r="J12" s="468" t="s">
        <v>1169</v>
      </c>
      <c r="K12" s="521" t="s">
        <v>1169</v>
      </c>
      <c r="L12" s="347"/>
    </row>
    <row r="13" spans="1:13" ht="15.75" customHeight="1" x14ac:dyDescent="0.2">
      <c r="A13" s="1576" t="s">
        <v>457</v>
      </c>
      <c r="B13" s="1578">
        <v>2000</v>
      </c>
      <c r="C13" s="1742">
        <f>'Expenditures 15-22'!K74</f>
        <v>832008</v>
      </c>
      <c r="D13" s="1742">
        <f>'Expenditures 15-22'!K129</f>
        <v>292453</v>
      </c>
      <c r="E13" s="469" t="s">
        <v>1169</v>
      </c>
      <c r="F13" s="1742">
        <f>'Expenditures 15-22'!K184</f>
        <v>201878</v>
      </c>
      <c r="G13" s="1742">
        <f>'Expenditures 15-22'!K279</f>
        <v>65945</v>
      </c>
      <c r="H13" s="1742">
        <f>'Expenditures 15-22'!K303</f>
        <v>0</v>
      </c>
      <c r="I13" s="468" t="s">
        <v>1169</v>
      </c>
      <c r="J13" s="1742">
        <f>'Expenditures 15-22'!K330</f>
        <v>129929</v>
      </c>
      <c r="K13" s="1746">
        <f>'Expenditures 15-22'!K352</f>
        <v>0</v>
      </c>
      <c r="L13" s="347"/>
    </row>
    <row r="14" spans="1:13" ht="15.75" customHeight="1" x14ac:dyDescent="0.2">
      <c r="A14" s="1576" t="s">
        <v>449</v>
      </c>
      <c r="B14" s="1578">
        <v>3000</v>
      </c>
      <c r="C14" s="1742">
        <f>'Expenditures 15-22'!K75</f>
        <v>77580</v>
      </c>
      <c r="D14" s="1742">
        <f>'Expenditures 15-22'!K130</f>
        <v>0</v>
      </c>
      <c r="E14" s="520" t="s">
        <v>1169</v>
      </c>
      <c r="F14" s="1742">
        <f>'Expenditures 15-22'!K185</f>
        <v>0</v>
      </c>
      <c r="G14" s="1742">
        <f>'Expenditures 15-22'!K280</f>
        <v>10563</v>
      </c>
      <c r="H14" s="512"/>
      <c r="I14" s="468" t="s">
        <v>1169</v>
      </c>
      <c r="J14" s="468" t="s">
        <v>1169</v>
      </c>
      <c r="K14" s="512" t="s">
        <v>1169</v>
      </c>
      <c r="L14" s="347"/>
    </row>
    <row r="15" spans="1:13" ht="15.75" customHeight="1" x14ac:dyDescent="0.2">
      <c r="A15" s="1576" t="s">
        <v>107</v>
      </c>
      <c r="B15" s="1578">
        <v>4000</v>
      </c>
      <c r="C15" s="1742">
        <f>'Expenditures 15-22'!K102</f>
        <v>283300</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67733</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3680273</v>
      </c>
      <c r="D17" s="1687">
        <f t="shared" si="2"/>
        <v>292453</v>
      </c>
      <c r="E17" s="1687">
        <f t="shared" si="2"/>
        <v>67733</v>
      </c>
      <c r="F17" s="1687">
        <f t="shared" si="2"/>
        <v>201878</v>
      </c>
      <c r="G17" s="1687">
        <f t="shared" si="2"/>
        <v>134977</v>
      </c>
      <c r="H17" s="1687">
        <f t="shared" si="2"/>
        <v>0</v>
      </c>
      <c r="I17" s="468"/>
      <c r="J17" s="1687">
        <f>SUM(J12:J16)</f>
        <v>129929</v>
      </c>
      <c r="K17" s="1687">
        <f>SUM(K12:K16)</f>
        <v>0</v>
      </c>
      <c r="L17" s="347"/>
    </row>
    <row r="18" spans="1:12" ht="15" customHeight="1" thickTop="1" x14ac:dyDescent="0.2">
      <c r="A18" s="1743" t="s">
        <v>1654</v>
      </c>
      <c r="B18" s="1744">
        <v>4180</v>
      </c>
      <c r="C18" s="1741">
        <f t="shared" ref="C18:H18" si="3">C9</f>
        <v>1513018</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5193291</v>
      </c>
      <c r="D19" s="1687">
        <f t="shared" si="4"/>
        <v>292453</v>
      </c>
      <c r="E19" s="1687">
        <f t="shared" si="4"/>
        <v>67733</v>
      </c>
      <c r="F19" s="1687">
        <f t="shared" si="4"/>
        <v>201878</v>
      </c>
      <c r="G19" s="1687">
        <f t="shared" si="4"/>
        <v>134977</v>
      </c>
      <c r="H19" s="1687">
        <f t="shared" si="4"/>
        <v>0</v>
      </c>
      <c r="I19" s="468"/>
      <c r="J19" s="1687">
        <f>SUM(J17:J18)</f>
        <v>129929</v>
      </c>
      <c r="K19" s="1687">
        <f>SUM(K17:K18)</f>
        <v>0</v>
      </c>
      <c r="L19" s="347"/>
    </row>
    <row r="20" spans="1:12" ht="16.5" thickTop="1" thickBot="1" x14ac:dyDescent="0.25">
      <c r="A20" s="2124" t="s">
        <v>1655</v>
      </c>
      <c r="B20" s="2125"/>
      <c r="C20" s="1745">
        <f>C8-C17</f>
        <v>190467</v>
      </c>
      <c r="D20" s="1745">
        <f t="shared" ref="D20:K20" si="5">D8-D17</f>
        <v>19049</v>
      </c>
      <c r="E20" s="1745">
        <f t="shared" si="5"/>
        <v>-3182</v>
      </c>
      <c r="F20" s="1745">
        <f t="shared" si="5"/>
        <v>20855</v>
      </c>
      <c r="G20" s="1745">
        <f t="shared" si="5"/>
        <v>-8810</v>
      </c>
      <c r="H20" s="1745">
        <f t="shared" si="5"/>
        <v>0</v>
      </c>
      <c r="I20" s="1745">
        <f t="shared" si="5"/>
        <v>3861</v>
      </c>
      <c r="J20" s="1745">
        <f t="shared" si="5"/>
        <v>-15738</v>
      </c>
      <c r="K20" s="1745">
        <f t="shared" si="5"/>
        <v>3861</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6" t="s">
        <v>1177</v>
      </c>
      <c r="B77" s="2117"/>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0" t="s">
        <v>597</v>
      </c>
      <c r="B78" s="2121"/>
      <c r="C78" s="1701">
        <f t="shared" ref="C78:K78" si="9">C20+C77</f>
        <v>190467</v>
      </c>
      <c r="D78" s="1701">
        <f t="shared" si="9"/>
        <v>19049</v>
      </c>
      <c r="E78" s="1701">
        <f t="shared" si="9"/>
        <v>-3182</v>
      </c>
      <c r="F78" s="1701">
        <f t="shared" si="9"/>
        <v>20855</v>
      </c>
      <c r="G78" s="1701">
        <f t="shared" si="9"/>
        <v>-8810</v>
      </c>
      <c r="H78" s="1701">
        <f t="shared" si="9"/>
        <v>0</v>
      </c>
      <c r="I78" s="1701">
        <f t="shared" si="9"/>
        <v>3861</v>
      </c>
      <c r="J78" s="1701">
        <f t="shared" si="9"/>
        <v>-15738</v>
      </c>
      <c r="K78" s="1701">
        <f t="shared" si="9"/>
        <v>3861</v>
      </c>
      <c r="L78" s="533"/>
    </row>
    <row r="79" spans="1:12" ht="13.5" thickTop="1" x14ac:dyDescent="0.2">
      <c r="A79" s="1494" t="s">
        <v>1948</v>
      </c>
      <c r="B79" s="534"/>
      <c r="C79" s="478">
        <v>654680</v>
      </c>
      <c r="D79" s="535">
        <v>47134</v>
      </c>
      <c r="E79" s="535">
        <v>441</v>
      </c>
      <c r="F79" s="535">
        <v>14751</v>
      </c>
      <c r="G79" s="535">
        <v>192765</v>
      </c>
      <c r="H79" s="535"/>
      <c r="I79" s="535">
        <v>3608</v>
      </c>
      <c r="J79" s="535">
        <v>56693</v>
      </c>
      <c r="K79" s="535">
        <v>1775</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1949</v>
      </c>
      <c r="B81" s="2119"/>
      <c r="C81" s="1687">
        <f>(SUM(C78:C80))</f>
        <v>845147</v>
      </c>
      <c r="D81" s="1687">
        <f>SUM(D78:D80)</f>
        <v>66183</v>
      </c>
      <c r="E81" s="1687">
        <f t="shared" ref="E81:K81" si="10">SUM(E78:E80)</f>
        <v>-2741</v>
      </c>
      <c r="F81" s="1687">
        <f t="shared" si="10"/>
        <v>35606</v>
      </c>
      <c r="G81" s="1687">
        <f t="shared" si="10"/>
        <v>183955</v>
      </c>
      <c r="H81" s="1687">
        <f t="shared" si="10"/>
        <v>0</v>
      </c>
      <c r="I81" s="1687">
        <f t="shared" si="10"/>
        <v>7469</v>
      </c>
      <c r="J81" s="1687">
        <f t="shared" si="10"/>
        <v>40955</v>
      </c>
      <c r="K81" s="1687">
        <f t="shared" si="10"/>
        <v>5636</v>
      </c>
      <c r="L81" s="347"/>
    </row>
    <row r="82" spans="1:12" ht="0.75" customHeight="1" thickTop="1" thickBot="1" x14ac:dyDescent="0.25">
      <c r="A82" s="536" t="s">
        <v>343</v>
      </c>
      <c r="B82" s="537"/>
      <c r="C82" s="538">
        <f>(C81-C79)</f>
        <v>190467</v>
      </c>
      <c r="D82" s="538">
        <f t="shared" ref="D82:K82" si="11">(D81-D79)</f>
        <v>19049</v>
      </c>
      <c r="E82" s="538">
        <f t="shared" si="11"/>
        <v>-3182</v>
      </c>
      <c r="F82" s="538">
        <f t="shared" si="11"/>
        <v>20855</v>
      </c>
      <c r="G82" s="538">
        <f t="shared" si="11"/>
        <v>-8810</v>
      </c>
      <c r="H82" s="538">
        <f t="shared" si="11"/>
        <v>0</v>
      </c>
      <c r="I82" s="538">
        <f t="shared" si="11"/>
        <v>3861</v>
      </c>
      <c r="J82" s="538">
        <f t="shared" si="11"/>
        <v>-15738</v>
      </c>
      <c r="K82" s="538">
        <f t="shared" si="11"/>
        <v>3861</v>
      </c>
    </row>
    <row r="83" spans="1:12" ht="14.25" hidden="1" thickTop="1" thickBot="1" x14ac:dyDescent="0.25">
      <c r="A83" s="539" t="s">
        <v>344</v>
      </c>
      <c r="B83" s="464"/>
      <c r="C83" s="540">
        <f>C82/C81</f>
        <v>0.22536552812705957</v>
      </c>
      <c r="D83" s="540">
        <f t="shared" ref="D83:K83" si="12">D82/D81</f>
        <v>0.28782315700406447</v>
      </c>
      <c r="E83" s="540">
        <f t="shared" si="12"/>
        <v>1.1608901860634804</v>
      </c>
      <c r="F83" s="540">
        <f t="shared" si="12"/>
        <v>0.58571589058023932</v>
      </c>
      <c r="G83" s="540">
        <f t="shared" si="12"/>
        <v>-4.7892147536082195E-2</v>
      </c>
      <c r="H83" s="540" t="e">
        <f t="shared" si="12"/>
        <v>#DIV/0!</v>
      </c>
      <c r="I83" s="540">
        <f t="shared" si="12"/>
        <v>0.51693667157584688</v>
      </c>
      <c r="J83" s="540">
        <f t="shared" si="12"/>
        <v>-0.38427542424612382</v>
      </c>
      <c r="K83" s="540">
        <f t="shared" si="12"/>
        <v>0.68506032647267567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G8" sqref="G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185973</v>
      </c>
      <c r="D5" s="481">
        <v>36807</v>
      </c>
      <c r="E5" s="466">
        <v>64551</v>
      </c>
      <c r="F5" s="548">
        <v>15438</v>
      </c>
      <c r="G5" s="466">
        <v>62058</v>
      </c>
      <c r="H5" s="466"/>
      <c r="I5" s="466">
        <v>3861</v>
      </c>
      <c r="J5" s="467">
        <v>114191</v>
      </c>
      <c r="K5" s="466">
        <v>3861</v>
      </c>
    </row>
    <row r="6" spans="1:12" ht="15" x14ac:dyDescent="0.2">
      <c r="A6" s="463" t="s">
        <v>1662</v>
      </c>
      <c r="B6" s="470">
        <v>1130</v>
      </c>
      <c r="C6" s="466">
        <v>3861</v>
      </c>
      <c r="D6" s="466"/>
      <c r="E6" s="475"/>
      <c r="F6" s="475"/>
      <c r="G6" s="468"/>
      <c r="H6" s="468"/>
      <c r="I6" s="468"/>
      <c r="J6" s="468"/>
      <c r="K6" s="468"/>
    </row>
    <row r="7" spans="1:12" x14ac:dyDescent="0.2">
      <c r="A7" s="463" t="s">
        <v>110</v>
      </c>
      <c r="B7" s="549">
        <v>1140</v>
      </c>
      <c r="C7" s="466">
        <v>3088</v>
      </c>
      <c r="D7" s="466"/>
      <c r="E7" s="468"/>
      <c r="F7" s="467"/>
      <c r="G7" s="467"/>
      <c r="H7" s="467"/>
      <c r="I7" s="468"/>
      <c r="J7" s="468"/>
      <c r="K7" s="468"/>
    </row>
    <row r="8" spans="1:12" x14ac:dyDescent="0.2">
      <c r="A8" s="463" t="s">
        <v>413</v>
      </c>
      <c r="B8" s="470">
        <v>1150</v>
      </c>
      <c r="C8" s="475"/>
      <c r="D8" s="475"/>
      <c r="E8" s="477"/>
      <c r="F8" s="477"/>
      <c r="G8" s="481">
        <v>62058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192922</v>
      </c>
      <c r="D12" s="1706">
        <f t="shared" si="0"/>
        <v>36807</v>
      </c>
      <c r="E12" s="1706">
        <f t="shared" si="0"/>
        <v>64551</v>
      </c>
      <c r="F12" s="1706">
        <f t="shared" si="0"/>
        <v>15438</v>
      </c>
      <c r="G12" s="1706">
        <f t="shared" si="0"/>
        <v>124116</v>
      </c>
      <c r="H12" s="1706">
        <f t="shared" si="0"/>
        <v>0</v>
      </c>
      <c r="I12" s="1706">
        <f t="shared" si="0"/>
        <v>3861</v>
      </c>
      <c r="J12" s="1706">
        <f t="shared" si="0"/>
        <v>114191</v>
      </c>
      <c r="K12" s="1687">
        <f t="shared" si="0"/>
        <v>3861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79435</v>
      </c>
      <c r="D16" s="466"/>
      <c r="E16" s="466"/>
      <c r="F16" s="466"/>
      <c r="G16" s="466">
        <v>2051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79435</v>
      </c>
      <c r="D18" s="1709">
        <f t="shared" ref="D18:K18" si="1">SUM(D14:D17)</f>
        <v>0</v>
      </c>
      <c r="E18" s="1709">
        <f t="shared" si="1"/>
        <v>0</v>
      </c>
      <c r="F18" s="1709">
        <f t="shared" si="1"/>
        <v>0</v>
      </c>
      <c r="G18" s="1709">
        <f t="shared" si="1"/>
        <v>2051</v>
      </c>
      <c r="H18" s="1709">
        <f t="shared" si="1"/>
        <v>0</v>
      </c>
      <c r="I18" s="1709">
        <f t="shared" si="1"/>
        <v>0</v>
      </c>
      <c r="J18" s="1709">
        <f t="shared" si="1"/>
        <v>0</v>
      </c>
      <c r="K18" s="1710">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400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400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6135</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6135</v>
      </c>
      <c r="D67" s="1687">
        <f t="shared" ref="D67:K67" si="2">SUM(D65:D66)</f>
        <v>0</v>
      </c>
      <c r="E67" s="1687">
        <f t="shared" si="2"/>
        <v>0</v>
      </c>
      <c r="F67" s="1687">
        <f t="shared" si="2"/>
        <v>0</v>
      </c>
      <c r="G67" s="1687">
        <f t="shared" si="2"/>
        <v>0</v>
      </c>
      <c r="H67" s="1687">
        <f t="shared" si="2"/>
        <v>0</v>
      </c>
      <c r="I67" s="1687">
        <f t="shared" si="2"/>
        <v>0</v>
      </c>
      <c r="J67" s="1687">
        <f t="shared" si="2"/>
        <v>0</v>
      </c>
      <c r="K67" s="1687">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f>1917+3591</f>
        <v>5508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5508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7579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5666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13245</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10884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10884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6320</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25722</v>
      </c>
      <c r="D107" s="466">
        <v>6502</v>
      </c>
      <c r="E107" s="466"/>
      <c r="F107" s="466"/>
      <c r="G107" s="466"/>
      <c r="H107" s="466"/>
      <c r="I107" s="466"/>
      <c r="J107" s="467"/>
      <c r="K107" s="466"/>
    </row>
    <row r="108" spans="1:12" ht="12.75" customHeight="1" thickBot="1" x14ac:dyDescent="0.25">
      <c r="A108" s="1707" t="s">
        <v>487</v>
      </c>
      <c r="B108" s="1711"/>
      <c r="C108" s="1706">
        <f>SUM(C95:C107)</f>
        <v>32069</v>
      </c>
      <c r="D108" s="1706">
        <f t="shared" ref="D108:K108" si="3">SUM(D95:D107)</f>
        <v>6502</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340598</v>
      </c>
      <c r="D109" s="1714">
        <f t="shared" si="4"/>
        <v>43309</v>
      </c>
      <c r="E109" s="1714">
        <f t="shared" si="4"/>
        <v>64551</v>
      </c>
      <c r="F109" s="1714">
        <f t="shared" si="4"/>
        <v>15438</v>
      </c>
      <c r="G109" s="1714">
        <f t="shared" si="4"/>
        <v>126167</v>
      </c>
      <c r="H109" s="1714">
        <f t="shared" si="4"/>
        <v>0</v>
      </c>
      <c r="I109" s="1714">
        <f t="shared" si="4"/>
        <v>3861</v>
      </c>
      <c r="J109" s="1714">
        <f t="shared" si="4"/>
        <v>114191</v>
      </c>
      <c r="K109" s="1701">
        <f t="shared" si="4"/>
        <v>3861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2694021</v>
      </c>
      <c r="D117" s="481">
        <v>268193</v>
      </c>
      <c r="E117" s="466"/>
      <c r="F117" s="481">
        <v>111209</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2694021</v>
      </c>
      <c r="D122" s="1706">
        <f t="shared" si="5"/>
        <v>268193</v>
      </c>
      <c r="E122" s="1706">
        <f t="shared" si="5"/>
        <v>0</v>
      </c>
      <c r="F122" s="1706">
        <f t="shared" si="5"/>
        <v>111209</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23908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23908</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6769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5689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82060</v>
      </c>
      <c r="G152" s="467"/>
      <c r="H152" s="468"/>
      <c r="I152" s="468"/>
      <c r="J152" s="468"/>
      <c r="K152" s="468"/>
    </row>
    <row r="153" spans="1:11" ht="12.75" customHeight="1" x14ac:dyDescent="0.2">
      <c r="A153" s="463" t="s">
        <v>1057</v>
      </c>
      <c r="B153" s="562">
        <v>3510</v>
      </c>
      <c r="C153" s="551"/>
      <c r="D153" s="466"/>
      <c r="E153" s="561"/>
      <c r="F153" s="466">
        <v>14026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96086</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218021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96361</v>
      </c>
      <c r="D168" s="580"/>
      <c r="E168" s="580"/>
      <c r="F168" s="580"/>
      <c r="G168" s="581"/>
      <c r="H168" s="582"/>
      <c r="I168" s="581"/>
      <c r="J168" s="581"/>
      <c r="K168" s="582"/>
    </row>
    <row r="169" spans="1:11" ht="12.75" customHeight="1" thickTop="1" thickBot="1" x14ac:dyDescent="0.25">
      <c r="A169" s="2142" t="s">
        <v>398</v>
      </c>
      <c r="B169" s="2143"/>
      <c r="C169" s="1721">
        <f t="shared" ref="C169:K169" si="6">SUM(C132,C141,C145,C146:C150,C155,C156:C167,C168)</f>
        <v>350748</v>
      </c>
      <c r="D169" s="1721">
        <f t="shared" si="6"/>
        <v>0</v>
      </c>
      <c r="E169" s="1721">
        <f t="shared" si="6"/>
        <v>0</v>
      </c>
      <c r="F169" s="1721">
        <f t="shared" si="6"/>
        <v>96086</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3044769</v>
      </c>
      <c r="D170" s="1714">
        <f t="shared" si="7"/>
        <v>268193</v>
      </c>
      <c r="E170" s="1714">
        <f t="shared" si="7"/>
        <v>0</v>
      </c>
      <c r="F170" s="1714">
        <f t="shared" si="7"/>
        <v>207295</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46109</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46109</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180606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114887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3777</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299270</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94669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94669</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0</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16430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8308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1936</v>
      </c>
      <c r="B261" s="470">
        <v>4981</v>
      </c>
      <c r="C261" s="575"/>
      <c r="D261" s="576"/>
      <c r="E261" s="468"/>
      <c r="F261" s="576"/>
      <c r="G261" s="576"/>
      <c r="H261" s="468"/>
      <c r="I261" s="468"/>
      <c r="J261" s="468"/>
      <c r="K261" s="468"/>
    </row>
    <row r="262" spans="1:11" ht="12.75" customHeight="1" thickTop="1" thickBot="1" x14ac:dyDescent="0.25">
      <c r="A262" s="1930"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20587</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485373</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485373</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3870740</v>
      </c>
      <c r="D268" s="1714">
        <f t="shared" si="12"/>
        <v>311502</v>
      </c>
      <c r="E268" s="1714">
        <f t="shared" si="12"/>
        <v>64551</v>
      </c>
      <c r="F268" s="1714">
        <f t="shared" si="12"/>
        <v>222733</v>
      </c>
      <c r="G268" s="1714">
        <f t="shared" si="12"/>
        <v>126167</v>
      </c>
      <c r="H268" s="1714">
        <f t="shared" si="12"/>
        <v>0</v>
      </c>
      <c r="I268" s="1714">
        <f t="shared" si="12"/>
        <v>3861</v>
      </c>
      <c r="J268" s="1714">
        <f t="shared" si="12"/>
        <v>114191</v>
      </c>
      <c r="K268" s="1701">
        <f t="shared" si="12"/>
        <v>3861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3" activePane="bottomLeft" state="frozen"/>
      <selection pane="bottomLeft" activeCell="L114" activeCellId="6" sqref="L367 L342 L295 L210 L174 L151 L1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1380596</v>
      </c>
      <c r="D5" s="466">
        <v>187366</v>
      </c>
      <c r="E5" s="466">
        <v>34086</v>
      </c>
      <c r="F5" s="466">
        <v>36893</v>
      </c>
      <c r="G5" s="466"/>
      <c r="H5" s="466">
        <v>7632</v>
      </c>
      <c r="I5" s="467"/>
      <c r="J5" s="467"/>
      <c r="K5" s="1670">
        <f>SUM(C5:J5)</f>
        <v>1646573</v>
      </c>
      <c r="L5" s="466">
        <v>1777591</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v>71910</v>
      </c>
      <c r="D7" s="467">
        <v>7706</v>
      </c>
      <c r="E7" s="467">
        <v>1163</v>
      </c>
      <c r="F7" s="467">
        <v>3918</v>
      </c>
      <c r="G7" s="467"/>
      <c r="H7" s="467"/>
      <c r="I7" s="467"/>
      <c r="J7" s="467"/>
      <c r="K7" s="1670">
        <f t="shared" ref="K7:K32" si="0">SUM(C7:J7)</f>
        <v>84697</v>
      </c>
      <c r="L7" s="466">
        <v>119568</v>
      </c>
    </row>
    <row r="8" spans="1:14" x14ac:dyDescent="0.2">
      <c r="A8" s="1504" t="s">
        <v>164</v>
      </c>
      <c r="B8" s="614">
        <v>1200</v>
      </c>
      <c r="C8" s="466">
        <v>340751</v>
      </c>
      <c r="D8" s="466">
        <v>23786</v>
      </c>
      <c r="E8" s="466">
        <v>238</v>
      </c>
      <c r="F8" s="466">
        <v>3482</v>
      </c>
      <c r="G8" s="466"/>
      <c r="H8" s="466"/>
      <c r="I8" s="467"/>
      <c r="J8" s="467"/>
      <c r="K8" s="1670">
        <f t="shared" si="0"/>
        <v>368257</v>
      </c>
      <c r="L8" s="466">
        <v>392957</v>
      </c>
    </row>
    <row r="9" spans="1:14" x14ac:dyDescent="0.2">
      <c r="A9" s="1504" t="s">
        <v>721</v>
      </c>
      <c r="B9" s="614" t="s">
        <v>968</v>
      </c>
      <c r="C9" s="467">
        <v>47015</v>
      </c>
      <c r="D9" s="467">
        <v>7010</v>
      </c>
      <c r="E9" s="467"/>
      <c r="F9" s="467"/>
      <c r="G9" s="467"/>
      <c r="H9" s="467"/>
      <c r="I9" s="467"/>
      <c r="J9" s="467"/>
      <c r="K9" s="1670">
        <f t="shared" si="0"/>
        <v>54025</v>
      </c>
      <c r="L9" s="466">
        <v>39101</v>
      </c>
    </row>
    <row r="10" spans="1:14" x14ac:dyDescent="0.2">
      <c r="A10" s="1504" t="s">
        <v>722</v>
      </c>
      <c r="B10" s="614">
        <v>1250</v>
      </c>
      <c r="C10" s="466">
        <v>57384</v>
      </c>
      <c r="D10" s="466">
        <v>10869</v>
      </c>
      <c r="E10" s="466">
        <v>26868</v>
      </c>
      <c r="F10" s="466">
        <v>42732</v>
      </c>
      <c r="G10" s="466"/>
      <c r="H10" s="466"/>
      <c r="I10" s="467"/>
      <c r="J10" s="467"/>
      <c r="K10" s="1670">
        <f t="shared" si="0"/>
        <v>137853</v>
      </c>
      <c r="L10" s="466">
        <v>80082</v>
      </c>
    </row>
    <row r="11" spans="1:14" x14ac:dyDescent="0.2">
      <c r="A11" s="1504" t="s">
        <v>1130</v>
      </c>
      <c r="B11" s="614" t="s">
        <v>161</v>
      </c>
      <c r="C11" s="467"/>
      <c r="D11" s="467"/>
      <c r="E11" s="467"/>
      <c r="F11" s="467"/>
      <c r="G11" s="467"/>
      <c r="H11" s="467"/>
      <c r="I11" s="467"/>
      <c r="J11" s="467"/>
      <c r="K11" s="1670">
        <f t="shared" si="0"/>
        <v>0</v>
      </c>
      <c r="L11" s="466">
        <v>8680</v>
      </c>
    </row>
    <row r="12" spans="1:14" x14ac:dyDescent="0.2">
      <c r="A12" s="1504" t="s">
        <v>962</v>
      </c>
      <c r="B12" s="614">
        <v>1300</v>
      </c>
      <c r="C12" s="466"/>
      <c r="D12" s="466"/>
      <c r="E12" s="466"/>
      <c r="F12" s="466"/>
      <c r="G12" s="466"/>
      <c r="H12" s="466"/>
      <c r="I12" s="467"/>
      <c r="J12" s="467"/>
      <c r="K12" s="1670">
        <f t="shared" si="0"/>
        <v>0</v>
      </c>
      <c r="L12" s="466"/>
    </row>
    <row r="13" spans="1:14" x14ac:dyDescent="0.2">
      <c r="A13" s="1504" t="s">
        <v>723</v>
      </c>
      <c r="B13" s="614">
        <v>1400</v>
      </c>
      <c r="C13" s="466"/>
      <c r="D13" s="466"/>
      <c r="E13" s="466"/>
      <c r="F13" s="466"/>
      <c r="G13" s="466"/>
      <c r="H13" s="466"/>
      <c r="I13" s="467"/>
      <c r="J13" s="467"/>
      <c r="K13" s="1670">
        <f t="shared" si="0"/>
        <v>0</v>
      </c>
      <c r="L13" s="466"/>
    </row>
    <row r="14" spans="1:14" x14ac:dyDescent="0.2">
      <c r="A14" s="1504" t="s">
        <v>963</v>
      </c>
      <c r="B14" s="614">
        <v>1500</v>
      </c>
      <c r="C14" s="466">
        <v>57217</v>
      </c>
      <c r="D14" s="466">
        <v>807</v>
      </c>
      <c r="E14" s="466">
        <v>8915</v>
      </c>
      <c r="F14" s="466">
        <v>4313</v>
      </c>
      <c r="G14" s="466"/>
      <c r="H14" s="466">
        <v>3153</v>
      </c>
      <c r="I14" s="467"/>
      <c r="J14" s="467"/>
      <c r="K14" s="1670">
        <f t="shared" si="0"/>
        <v>74405</v>
      </c>
      <c r="L14" s="466">
        <v>76570</v>
      </c>
    </row>
    <row r="15" spans="1:14" x14ac:dyDescent="0.2">
      <c r="A15" s="1504" t="s">
        <v>964</v>
      </c>
      <c r="B15" s="614">
        <v>1600</v>
      </c>
      <c r="C15" s="466"/>
      <c r="D15" s="466"/>
      <c r="E15" s="466"/>
      <c r="F15" s="466"/>
      <c r="G15" s="466"/>
      <c r="H15" s="466"/>
      <c r="I15" s="467"/>
      <c r="J15" s="467"/>
      <c r="K15" s="1670">
        <f t="shared" si="0"/>
        <v>0</v>
      </c>
      <c r="L15" s="466">
        <v>14400</v>
      </c>
    </row>
    <row r="16" spans="1:14" x14ac:dyDescent="0.2">
      <c r="A16" s="1504" t="s">
        <v>987</v>
      </c>
      <c r="B16" s="614" t="s">
        <v>424</v>
      </c>
      <c r="C16" s="466"/>
      <c r="D16" s="466"/>
      <c r="E16" s="466"/>
      <c r="F16" s="466"/>
      <c r="G16" s="466"/>
      <c r="H16" s="466"/>
      <c r="I16" s="467"/>
      <c r="J16" s="467"/>
      <c r="K16" s="1670">
        <f t="shared" si="0"/>
        <v>0</v>
      </c>
      <c r="L16" s="466"/>
    </row>
    <row r="17" spans="1:12" x14ac:dyDescent="0.2">
      <c r="A17" s="1504" t="s">
        <v>724</v>
      </c>
      <c r="B17" s="614" t="s">
        <v>162</v>
      </c>
      <c r="C17" s="467">
        <v>10628</v>
      </c>
      <c r="D17" s="467">
        <v>1167</v>
      </c>
      <c r="E17" s="467"/>
      <c r="F17" s="467"/>
      <c r="G17" s="467"/>
      <c r="H17" s="467">
        <v>79</v>
      </c>
      <c r="I17" s="467"/>
      <c r="J17" s="467"/>
      <c r="K17" s="1670">
        <f t="shared" si="0"/>
        <v>11874</v>
      </c>
      <c r="L17" s="466">
        <v>13430</v>
      </c>
    </row>
    <row r="18" spans="1:12" x14ac:dyDescent="0.2">
      <c r="A18" s="1504" t="s">
        <v>1087</v>
      </c>
      <c r="B18" s="614">
        <v>1800</v>
      </c>
      <c r="C18" s="466">
        <v>9569</v>
      </c>
      <c r="D18" s="466">
        <v>1316</v>
      </c>
      <c r="E18" s="466">
        <v>150</v>
      </c>
      <c r="F18" s="466">
        <v>34255</v>
      </c>
      <c r="G18" s="466"/>
      <c r="H18" s="466"/>
      <c r="I18" s="467"/>
      <c r="J18" s="467"/>
      <c r="K18" s="1670">
        <f t="shared" si="0"/>
        <v>45290</v>
      </c>
      <c r="L18" s="466">
        <v>12022</v>
      </c>
    </row>
    <row r="19" spans="1:12" x14ac:dyDescent="0.2">
      <c r="A19" s="1504" t="s">
        <v>134</v>
      </c>
      <c r="B19" s="614">
        <v>1900</v>
      </c>
      <c r="C19" s="466"/>
      <c r="D19" s="466"/>
      <c r="E19" s="466"/>
      <c r="F19" s="466"/>
      <c r="G19" s="466"/>
      <c r="H19" s="466"/>
      <c r="I19" s="467"/>
      <c r="J19" s="467"/>
      <c r="K19" s="1670">
        <f t="shared" si="0"/>
        <v>0</v>
      </c>
      <c r="L19" s="466">
        <v>8350</v>
      </c>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v>64411</v>
      </c>
      <c r="I22" s="616"/>
      <c r="J22" s="477"/>
      <c r="K22" s="1670">
        <f t="shared" si="0"/>
        <v>64411</v>
      </c>
      <c r="L22" s="471"/>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1975070</v>
      </c>
      <c r="D33" s="1669">
        <f t="shared" ref="D33:L33" si="1">SUM(D5:D32)</f>
        <v>240027</v>
      </c>
      <c r="E33" s="1669">
        <f t="shared" si="1"/>
        <v>71420</v>
      </c>
      <c r="F33" s="1669">
        <f t="shared" si="1"/>
        <v>125593</v>
      </c>
      <c r="G33" s="1669">
        <f t="shared" si="1"/>
        <v>0</v>
      </c>
      <c r="H33" s="1669">
        <f t="shared" si="1"/>
        <v>75275</v>
      </c>
      <c r="I33" s="1669">
        <f t="shared" si="1"/>
        <v>0</v>
      </c>
      <c r="J33" s="1669">
        <f t="shared" si="1"/>
        <v>0</v>
      </c>
      <c r="K33" s="1669">
        <f t="shared" si="1"/>
        <v>2487385</v>
      </c>
      <c r="L33" s="1669">
        <f t="shared" si="1"/>
        <v>2542751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116</v>
      </c>
      <c r="F36" s="481">
        <v>32</v>
      </c>
      <c r="G36" s="481"/>
      <c r="H36" s="481"/>
      <c r="I36" s="467"/>
      <c r="J36" s="467"/>
      <c r="K36" s="1670">
        <f t="shared" ref="K36:K41" si="2">SUM(C36:J36)</f>
        <v>148</v>
      </c>
      <c r="L36" s="466"/>
    </row>
    <row r="37" spans="1:14" x14ac:dyDescent="0.2">
      <c r="A37" s="1504" t="s">
        <v>1090</v>
      </c>
      <c r="B37" s="614">
        <v>2120</v>
      </c>
      <c r="C37" s="466">
        <v>91812</v>
      </c>
      <c r="D37" s="466">
        <v>8249</v>
      </c>
      <c r="E37" s="466"/>
      <c r="F37" s="466">
        <v>1500</v>
      </c>
      <c r="G37" s="466"/>
      <c r="H37" s="466">
        <v>95</v>
      </c>
      <c r="I37" s="467"/>
      <c r="J37" s="467"/>
      <c r="K37" s="1670">
        <f t="shared" si="2"/>
        <v>101656</v>
      </c>
      <c r="L37" s="466">
        <v>43341</v>
      </c>
    </row>
    <row r="38" spans="1:14" x14ac:dyDescent="0.2">
      <c r="A38" s="1504" t="s">
        <v>198</v>
      </c>
      <c r="B38" s="614">
        <v>2130</v>
      </c>
      <c r="C38" s="466">
        <v>21329</v>
      </c>
      <c r="D38" s="466"/>
      <c r="E38" s="466">
        <v>3650</v>
      </c>
      <c r="F38" s="466">
        <v>1837</v>
      </c>
      <c r="G38" s="466"/>
      <c r="H38" s="466"/>
      <c r="I38" s="467"/>
      <c r="J38" s="467"/>
      <c r="K38" s="1670">
        <f t="shared" si="2"/>
        <v>26816</v>
      </c>
      <c r="L38" s="466">
        <v>24391</v>
      </c>
    </row>
    <row r="39" spans="1:14" x14ac:dyDescent="0.2">
      <c r="A39" s="1504" t="s">
        <v>199</v>
      </c>
      <c r="B39" s="614">
        <v>2140</v>
      </c>
      <c r="C39" s="466"/>
      <c r="D39" s="466"/>
      <c r="E39" s="466"/>
      <c r="F39" s="466"/>
      <c r="G39" s="466"/>
      <c r="H39" s="466"/>
      <c r="I39" s="467"/>
      <c r="J39" s="467"/>
      <c r="K39" s="1670">
        <f t="shared" si="2"/>
        <v>0</v>
      </c>
      <c r="L39" s="466"/>
    </row>
    <row r="40" spans="1:14" x14ac:dyDescent="0.2">
      <c r="A40" s="1504" t="s">
        <v>200</v>
      </c>
      <c r="B40" s="614">
        <v>2150</v>
      </c>
      <c r="C40" s="466"/>
      <c r="D40" s="466"/>
      <c r="E40" s="466">
        <v>47803</v>
      </c>
      <c r="F40" s="466"/>
      <c r="G40" s="466"/>
      <c r="H40" s="466"/>
      <c r="I40" s="467"/>
      <c r="J40" s="467"/>
      <c r="K40" s="1670">
        <f t="shared" si="2"/>
        <v>47803</v>
      </c>
      <c r="L40" s="466">
        <v>53000</v>
      </c>
    </row>
    <row r="41" spans="1:14" x14ac:dyDescent="0.2">
      <c r="A41" s="1504" t="s">
        <v>1669</v>
      </c>
      <c r="B41" s="614">
        <v>2190</v>
      </c>
      <c r="C41" s="466"/>
      <c r="D41" s="466"/>
      <c r="E41" s="466">
        <v>1258</v>
      </c>
      <c r="F41" s="466">
        <v>346</v>
      </c>
      <c r="G41" s="466"/>
      <c r="H41" s="466"/>
      <c r="I41" s="467"/>
      <c r="J41" s="467"/>
      <c r="K41" s="1670">
        <f t="shared" si="2"/>
        <v>1604</v>
      </c>
      <c r="L41" s="466">
        <v>1200</v>
      </c>
    </row>
    <row r="42" spans="1:14" ht="12.75" customHeight="1" thickBot="1" x14ac:dyDescent="0.25">
      <c r="A42" s="1667" t="s">
        <v>560</v>
      </c>
      <c r="B42" s="1668" t="s">
        <v>716</v>
      </c>
      <c r="C42" s="1669">
        <f>SUM(C36:C41)</f>
        <v>113141</v>
      </c>
      <c r="D42" s="1669">
        <f t="shared" ref="D42:L42" si="3">SUM(D36:D41)</f>
        <v>8249</v>
      </c>
      <c r="E42" s="1669">
        <f t="shared" si="3"/>
        <v>52827</v>
      </c>
      <c r="F42" s="1669">
        <f t="shared" si="3"/>
        <v>3715</v>
      </c>
      <c r="G42" s="1669">
        <f t="shared" si="3"/>
        <v>0</v>
      </c>
      <c r="H42" s="1669">
        <f t="shared" si="3"/>
        <v>95</v>
      </c>
      <c r="I42" s="1669">
        <f t="shared" si="3"/>
        <v>0</v>
      </c>
      <c r="J42" s="1669">
        <f t="shared" si="3"/>
        <v>0</v>
      </c>
      <c r="K42" s="1669">
        <f t="shared" si="3"/>
        <v>178027</v>
      </c>
      <c r="L42" s="1669">
        <f t="shared" si="3"/>
        <v>121932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6280</v>
      </c>
      <c r="D44" s="481">
        <v>708</v>
      </c>
      <c r="E44" s="481">
        <v>12046</v>
      </c>
      <c r="F44" s="481">
        <v>1465</v>
      </c>
      <c r="G44" s="481"/>
      <c r="H44" s="481"/>
      <c r="I44" s="467"/>
      <c r="J44" s="467"/>
      <c r="K44" s="1671">
        <f>SUM(C44:J44)</f>
        <v>20499</v>
      </c>
      <c r="L44" s="481">
        <v>68387</v>
      </c>
    </row>
    <row r="45" spans="1:14" x14ac:dyDescent="0.2">
      <c r="A45" s="1504" t="s">
        <v>815</v>
      </c>
      <c r="B45" s="614">
        <v>2220</v>
      </c>
      <c r="C45" s="466">
        <f>41717+6273</f>
        <v>47990</v>
      </c>
      <c r="D45" s="466">
        <v>6744</v>
      </c>
      <c r="E45" s="466"/>
      <c r="F45" s="466">
        <f>1974-65+3156</f>
        <v>5065</v>
      </c>
      <c r="G45" s="466"/>
      <c r="H45" s="466">
        <v>7476</v>
      </c>
      <c r="I45" s="467"/>
      <c r="J45" s="467"/>
      <c r="K45" s="1671">
        <f>SUM(C45:J45)</f>
        <v>67275</v>
      </c>
      <c r="L45" s="466">
        <v>77146</v>
      </c>
    </row>
    <row r="46" spans="1:14" x14ac:dyDescent="0.2">
      <c r="A46" s="1504"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54270</v>
      </c>
      <c r="D47" s="1669">
        <f t="shared" ref="D47:K47" si="4">SUM(D44:D46)</f>
        <v>7452</v>
      </c>
      <c r="E47" s="1669">
        <f t="shared" si="4"/>
        <v>12046</v>
      </c>
      <c r="F47" s="1669">
        <f t="shared" si="4"/>
        <v>6530</v>
      </c>
      <c r="G47" s="1669">
        <f t="shared" si="4"/>
        <v>0</v>
      </c>
      <c r="H47" s="1669">
        <f t="shared" si="4"/>
        <v>7476</v>
      </c>
      <c r="I47" s="1669">
        <f t="shared" si="4"/>
        <v>0</v>
      </c>
      <c r="J47" s="1669">
        <f t="shared" si="4"/>
        <v>0</v>
      </c>
      <c r="K47" s="1669">
        <f t="shared" si="4"/>
        <v>87774</v>
      </c>
      <c r="L47" s="1669">
        <f>SUM(L44:L46)</f>
        <v>145533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1139</v>
      </c>
      <c r="D49" s="481">
        <v>208</v>
      </c>
      <c r="E49" s="481">
        <v>22533</v>
      </c>
      <c r="F49" s="481">
        <v>252</v>
      </c>
      <c r="G49" s="481"/>
      <c r="H49" s="481">
        <v>9920</v>
      </c>
      <c r="I49" s="467"/>
      <c r="J49" s="467"/>
      <c r="K49" s="1671">
        <f>SUM(C49:J49)</f>
        <v>34052</v>
      </c>
      <c r="L49" s="481">
        <v>37868</v>
      </c>
    </row>
    <row r="50" spans="1:14" x14ac:dyDescent="0.2">
      <c r="A50" s="1504" t="s">
        <v>818</v>
      </c>
      <c r="B50" s="614">
        <v>2320</v>
      </c>
      <c r="C50" s="466">
        <v>138416</v>
      </c>
      <c r="D50" s="466">
        <v>7193</v>
      </c>
      <c r="E50" s="466">
        <v>703</v>
      </c>
      <c r="F50" s="466">
        <v>481</v>
      </c>
      <c r="G50" s="466"/>
      <c r="H50" s="466">
        <v>3153</v>
      </c>
      <c r="I50" s="467"/>
      <c r="J50" s="467"/>
      <c r="K50" s="1671">
        <f>SUM(C50:J50)</f>
        <v>149946</v>
      </c>
      <c r="L50" s="466">
        <v>131824</v>
      </c>
    </row>
    <row r="51" spans="1:14" x14ac:dyDescent="0.2">
      <c r="A51" s="1504" t="s">
        <v>42</v>
      </c>
      <c r="B51" s="614">
        <v>2330</v>
      </c>
      <c r="C51" s="466"/>
      <c r="D51" s="466"/>
      <c r="E51" s="466"/>
      <c r="F51" s="466"/>
      <c r="G51" s="466"/>
      <c r="H51" s="466"/>
      <c r="I51" s="467"/>
      <c r="J51" s="467"/>
      <c r="K51" s="1671">
        <f>SUM(C51:J51)</f>
        <v>0</v>
      </c>
      <c r="L51" s="466"/>
    </row>
    <row r="52" spans="1:14" ht="22.5" x14ac:dyDescent="0.2">
      <c r="A52" s="1505"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139555</v>
      </c>
      <c r="D53" s="1669">
        <f t="shared" ref="D53:L53" si="5">SUM(D49:D52)</f>
        <v>7401</v>
      </c>
      <c r="E53" s="1669">
        <f t="shared" si="5"/>
        <v>23236</v>
      </c>
      <c r="F53" s="1669">
        <f t="shared" si="5"/>
        <v>733</v>
      </c>
      <c r="G53" s="1669">
        <f t="shared" si="5"/>
        <v>0</v>
      </c>
      <c r="H53" s="1669">
        <f t="shared" si="5"/>
        <v>13073</v>
      </c>
      <c r="I53" s="1669">
        <f t="shared" si="5"/>
        <v>0</v>
      </c>
      <c r="J53" s="1669">
        <f t="shared" si="5"/>
        <v>0</v>
      </c>
      <c r="K53" s="1669">
        <f t="shared" si="5"/>
        <v>183998</v>
      </c>
      <c r="L53" s="1669">
        <f t="shared" si="5"/>
        <v>169692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135971</v>
      </c>
      <c r="D55" s="481">
        <v>13569</v>
      </c>
      <c r="E55" s="481">
        <v>1601</v>
      </c>
      <c r="F55" s="481">
        <v>623</v>
      </c>
      <c r="G55" s="481"/>
      <c r="H55" s="481">
        <v>3743</v>
      </c>
      <c r="I55" s="467"/>
      <c r="J55" s="467"/>
      <c r="K55" s="1671">
        <f>SUM(C55:J55)</f>
        <v>155507</v>
      </c>
      <c r="L55" s="481">
        <v>145460</v>
      </c>
    </row>
    <row r="56" spans="1:14" ht="12.75" customHeight="1" x14ac:dyDescent="0.2">
      <c r="A56" s="1508" t="s">
        <v>376</v>
      </c>
      <c r="B56" s="628">
        <v>2490</v>
      </c>
      <c r="C56" s="466"/>
      <c r="D56" s="466"/>
      <c r="E56" s="466"/>
      <c r="F56" s="466"/>
      <c r="G56" s="466"/>
      <c r="H56" s="466"/>
      <c r="I56" s="467"/>
      <c r="J56" s="467"/>
      <c r="K56" s="1671">
        <f>SUM(C56:J56)</f>
        <v>0</v>
      </c>
      <c r="L56" s="466">
        <v>1200</v>
      </c>
    </row>
    <row r="57" spans="1:14" s="343" customFormat="1" ht="12.75" customHeight="1" thickBot="1" x14ac:dyDescent="0.25">
      <c r="A57" s="1667" t="s">
        <v>263</v>
      </c>
      <c r="B57" s="1672" t="s">
        <v>34</v>
      </c>
      <c r="C57" s="1673">
        <f>SUM(C55:C56)</f>
        <v>135971</v>
      </c>
      <c r="D57" s="1673">
        <f t="shared" ref="D57:K57" si="6">SUM(D55:D56)</f>
        <v>13569</v>
      </c>
      <c r="E57" s="1673">
        <f t="shared" si="6"/>
        <v>1601</v>
      </c>
      <c r="F57" s="1673">
        <f t="shared" si="6"/>
        <v>623</v>
      </c>
      <c r="G57" s="1673">
        <f t="shared" si="6"/>
        <v>0</v>
      </c>
      <c r="H57" s="1673">
        <f t="shared" si="6"/>
        <v>3743</v>
      </c>
      <c r="I57" s="1673">
        <f t="shared" si="6"/>
        <v>0</v>
      </c>
      <c r="J57" s="1673">
        <f t="shared" si="6"/>
        <v>0</v>
      </c>
      <c r="K57" s="1673">
        <f t="shared" si="6"/>
        <v>155507</v>
      </c>
      <c r="L57" s="1669">
        <f>SUM(L55:L56)</f>
        <v>146660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4" t="s">
        <v>463</v>
      </c>
      <c r="B60" s="614">
        <v>2520</v>
      </c>
      <c r="C60" s="466">
        <v>41242</v>
      </c>
      <c r="D60" s="466">
        <v>7244</v>
      </c>
      <c r="E60" s="466">
        <v>2655</v>
      </c>
      <c r="F60" s="466">
        <v>34</v>
      </c>
      <c r="G60" s="466"/>
      <c r="H60" s="466"/>
      <c r="I60" s="467"/>
      <c r="J60" s="467"/>
      <c r="K60" s="1671">
        <f t="shared" si="7"/>
        <v>51175</v>
      </c>
      <c r="L60" s="466">
        <v>42950</v>
      </c>
      <c r="M60" s="609"/>
      <c r="N60" s="609"/>
    </row>
    <row r="61" spans="1:14" s="343" customFormat="1" x14ac:dyDescent="0.2">
      <c r="A61" s="1504" t="s">
        <v>197</v>
      </c>
      <c r="B61" s="614">
        <v>2540</v>
      </c>
      <c r="C61" s="466"/>
      <c r="D61" s="466"/>
      <c r="E61" s="466"/>
      <c r="F61" s="466"/>
      <c r="G61" s="466"/>
      <c r="H61" s="466"/>
      <c r="I61" s="467"/>
      <c r="J61" s="467"/>
      <c r="K61" s="1671">
        <f t="shared" si="7"/>
        <v>0</v>
      </c>
      <c r="L61" s="466"/>
      <c r="M61" s="609"/>
      <c r="N61" s="609"/>
    </row>
    <row r="62" spans="1:14" s="343" customFormat="1" x14ac:dyDescent="0.2">
      <c r="A62" s="1504" t="s">
        <v>953</v>
      </c>
      <c r="B62" s="614">
        <v>2550</v>
      </c>
      <c r="C62" s="466"/>
      <c r="D62" s="466"/>
      <c r="E62" s="466"/>
      <c r="F62" s="466"/>
      <c r="G62" s="466"/>
      <c r="H62" s="466"/>
      <c r="I62" s="467"/>
      <c r="J62" s="467"/>
      <c r="K62" s="1671">
        <f t="shared" si="7"/>
        <v>0</v>
      </c>
      <c r="L62" s="466"/>
      <c r="M62" s="609"/>
      <c r="N62" s="609"/>
    </row>
    <row r="63" spans="1:14" s="609" customFormat="1" x14ac:dyDescent="0.2">
      <c r="A63" s="1504" t="s">
        <v>100</v>
      </c>
      <c r="B63" s="614">
        <v>2560</v>
      </c>
      <c r="C63" s="466">
        <v>40340</v>
      </c>
      <c r="D63" s="466">
        <v>19</v>
      </c>
      <c r="E63" s="466">
        <v>810</v>
      </c>
      <c r="F63" s="466">
        <v>133920</v>
      </c>
      <c r="G63" s="466"/>
      <c r="H63" s="466">
        <v>438</v>
      </c>
      <c r="I63" s="467"/>
      <c r="J63" s="467"/>
      <c r="K63" s="1671">
        <f t="shared" si="7"/>
        <v>175527</v>
      </c>
      <c r="L63" s="466">
        <v>189800</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81582</v>
      </c>
      <c r="D65" s="1669">
        <f t="shared" ref="D65:L65" si="8">SUM(D59:D64)</f>
        <v>7263</v>
      </c>
      <c r="E65" s="1669">
        <f t="shared" si="8"/>
        <v>3465</v>
      </c>
      <c r="F65" s="1669">
        <f t="shared" si="8"/>
        <v>133954</v>
      </c>
      <c r="G65" s="1669">
        <f t="shared" si="8"/>
        <v>0</v>
      </c>
      <c r="H65" s="1669">
        <f t="shared" si="8"/>
        <v>438</v>
      </c>
      <c r="I65" s="1669">
        <f t="shared" si="8"/>
        <v>0</v>
      </c>
      <c r="J65" s="1669">
        <f t="shared" si="8"/>
        <v>0</v>
      </c>
      <c r="K65" s="1669">
        <f t="shared" si="8"/>
        <v>226702</v>
      </c>
      <c r="L65" s="1669">
        <f t="shared" si="8"/>
        <v>232750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c r="F69" s="466"/>
      <c r="G69" s="466"/>
      <c r="H69" s="466"/>
      <c r="I69" s="467"/>
      <c r="J69" s="467"/>
      <c r="K69" s="1671">
        <f>SUM(C69:J69)</f>
        <v>0</v>
      </c>
      <c r="L69" s="466"/>
      <c r="M69" s="609"/>
      <c r="N69" s="609"/>
    </row>
    <row r="70" spans="1:14" s="343" customFormat="1" x14ac:dyDescent="0.2">
      <c r="A70" s="1504" t="s">
        <v>403</v>
      </c>
      <c r="B70" s="614">
        <v>2640</v>
      </c>
      <c r="C70" s="466"/>
      <c r="D70" s="466"/>
      <c r="E70" s="466"/>
      <c r="F70" s="466"/>
      <c r="G70" s="466"/>
      <c r="H70" s="466"/>
      <c r="I70" s="467"/>
      <c r="J70" s="467"/>
      <c r="K70" s="1671">
        <f>SUM(C70:J70)</f>
        <v>0</v>
      </c>
      <c r="L70" s="466"/>
      <c r="M70" s="609"/>
      <c r="N70" s="609"/>
    </row>
    <row r="71" spans="1:14" s="343" customFormat="1" x14ac:dyDescent="0.2">
      <c r="A71" s="1504"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524519</v>
      </c>
      <c r="D74" s="1676">
        <f t="shared" ref="D74:K74" si="10">SUM(D42,D47,D53,D57,D65,D72,D73)</f>
        <v>43934</v>
      </c>
      <c r="E74" s="1676">
        <f t="shared" si="10"/>
        <v>93175</v>
      </c>
      <c r="F74" s="1676">
        <f t="shared" si="10"/>
        <v>145555</v>
      </c>
      <c r="G74" s="1676">
        <f t="shared" si="10"/>
        <v>0</v>
      </c>
      <c r="H74" s="1676">
        <f t="shared" si="10"/>
        <v>24825</v>
      </c>
      <c r="I74" s="1676">
        <f t="shared" si="10"/>
        <v>0</v>
      </c>
      <c r="J74" s="1676">
        <f t="shared" si="10"/>
        <v>0</v>
      </c>
      <c r="K74" s="1676">
        <f t="shared" si="10"/>
        <v>832008</v>
      </c>
      <c r="L74" s="1676">
        <f>SUM(L42,L47,L53,L57,L65,L72,L73)</f>
        <v>816567</v>
      </c>
    </row>
    <row r="75" spans="1:14" s="259" customFormat="1" ht="15.75" customHeight="1" thickTop="1" thickBot="1" x14ac:dyDescent="0.25">
      <c r="A75" s="1610" t="s">
        <v>47</v>
      </c>
      <c r="B75" s="1611" t="s">
        <v>575</v>
      </c>
      <c r="C75" s="573">
        <f>10205+59717</f>
        <v>69922</v>
      </c>
      <c r="D75" s="573">
        <f>130+705</f>
        <v>835</v>
      </c>
      <c r="E75" s="573">
        <v>647</v>
      </c>
      <c r="F75" s="573">
        <f>5307+869</f>
        <v>6176</v>
      </c>
      <c r="G75" s="573"/>
      <c r="H75" s="573"/>
      <c r="I75" s="531"/>
      <c r="J75" s="531"/>
      <c r="K75" s="1669">
        <f>SUM(C75:J75)</f>
        <v>77580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row>
    <row r="79" spans="1:14" x14ac:dyDescent="0.2">
      <c r="A79" s="1504" t="s">
        <v>304</v>
      </c>
      <c r="B79" s="614">
        <v>4120</v>
      </c>
      <c r="C79" s="616"/>
      <c r="D79" s="616"/>
      <c r="E79" s="466">
        <v>45216</v>
      </c>
      <c r="F79" s="616"/>
      <c r="G79" s="616"/>
      <c r="H79" s="466">
        <v>173</v>
      </c>
      <c r="I79" s="477"/>
      <c r="J79" s="477"/>
      <c r="K79" s="1670">
        <f t="shared" si="11"/>
        <v>45389</v>
      </c>
      <c r="L79" s="466">
        <v>46217</v>
      </c>
    </row>
    <row r="80" spans="1:14" x14ac:dyDescent="0.2">
      <c r="A80" s="1504" t="s">
        <v>305</v>
      </c>
      <c r="B80" s="614">
        <v>4130</v>
      </c>
      <c r="C80" s="616"/>
      <c r="D80" s="616"/>
      <c r="E80" s="466"/>
      <c r="F80" s="616"/>
      <c r="G80" s="616"/>
      <c r="H80" s="466"/>
      <c r="I80" s="477"/>
      <c r="J80" s="477"/>
      <c r="K80" s="1670">
        <f t="shared" si="11"/>
        <v>0</v>
      </c>
      <c r="L80" s="466"/>
    </row>
    <row r="81" spans="1:12" x14ac:dyDescent="0.2">
      <c r="A81" s="1504" t="s">
        <v>697</v>
      </c>
      <c r="B81" s="614">
        <v>4140</v>
      </c>
      <c r="C81" s="616"/>
      <c r="D81" s="616"/>
      <c r="E81" s="466"/>
      <c r="F81" s="616"/>
      <c r="G81" s="616"/>
      <c r="H81" s="466"/>
      <c r="I81" s="477"/>
      <c r="J81" s="477"/>
      <c r="K81" s="1670">
        <f t="shared" si="11"/>
        <v>0</v>
      </c>
      <c r="L81" s="466"/>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c r="I83" s="477"/>
      <c r="J83" s="477"/>
      <c r="K83" s="1670">
        <f t="shared" si="11"/>
        <v>0</v>
      </c>
      <c r="L83" s="466">
        <v>2800</v>
      </c>
    </row>
    <row r="84" spans="1:12" ht="13.5" thickBot="1" x14ac:dyDescent="0.25">
      <c r="A84" s="1667" t="s">
        <v>1485</v>
      </c>
      <c r="B84" s="1677">
        <v>4100</v>
      </c>
      <c r="C84" s="616"/>
      <c r="D84" s="616"/>
      <c r="E84" s="1669">
        <f>SUM(E78:E83)</f>
        <v>45216</v>
      </c>
      <c r="F84" s="616"/>
      <c r="G84" s="616"/>
      <c r="H84" s="1669">
        <f>SUM(H78:H83)</f>
        <v>173</v>
      </c>
      <c r="I84" s="477"/>
      <c r="J84" s="477"/>
      <c r="K84" s="1669">
        <f>SUM(K78:K83)</f>
        <v>45389</v>
      </c>
      <c r="L84" s="1669">
        <f>SUM(L78:L83)</f>
        <v>49017</v>
      </c>
    </row>
    <row r="85" spans="1:12" ht="12.75" customHeight="1" thickTop="1" thickBot="1" x14ac:dyDescent="0.25">
      <c r="A85" s="1511" t="s">
        <v>255</v>
      </c>
      <c r="B85" s="635">
        <v>4210</v>
      </c>
      <c r="C85" s="616"/>
      <c r="D85" s="616"/>
      <c r="E85" s="636"/>
      <c r="F85" s="616"/>
      <c r="G85" s="616"/>
      <c r="H85" s="535"/>
      <c r="I85" s="477"/>
      <c r="J85" s="477"/>
      <c r="K85" s="1676">
        <f>H85</f>
        <v>0</v>
      </c>
      <c r="L85" s="530"/>
    </row>
    <row r="86" spans="1:12" ht="12.75" customHeight="1" thickTop="1" thickBot="1" x14ac:dyDescent="0.25">
      <c r="A86" s="1512" t="s">
        <v>699</v>
      </c>
      <c r="B86" s="637">
        <v>4220</v>
      </c>
      <c r="C86" s="616"/>
      <c r="D86" s="616"/>
      <c r="E86" s="638"/>
      <c r="F86" s="616"/>
      <c r="G86" s="616"/>
      <c r="H86" s="467">
        <v>159460</v>
      </c>
      <c r="I86" s="477"/>
      <c r="J86" s="477"/>
      <c r="K86" s="1676">
        <f t="shared" ref="K86:K98" si="12">H86</f>
        <v>159460</v>
      </c>
      <c r="L86" s="530">
        <v>205000</v>
      </c>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v>72114</v>
      </c>
      <c r="I88" s="477"/>
      <c r="J88" s="477"/>
      <c r="K88" s="1676">
        <f t="shared" si="12"/>
        <v>72114</v>
      </c>
      <c r="L88" s="530">
        <v>75000</v>
      </c>
    </row>
    <row r="89" spans="1:12" ht="12.75" customHeight="1" thickTop="1" thickBot="1" x14ac:dyDescent="0.25">
      <c r="A89" s="1513" t="s">
        <v>701</v>
      </c>
      <c r="B89" s="639">
        <v>4270</v>
      </c>
      <c r="C89" s="616"/>
      <c r="D89" s="616"/>
      <c r="E89" s="638"/>
      <c r="F89" s="616"/>
      <c r="G89" s="616"/>
      <c r="H89" s="467">
        <v>6337</v>
      </c>
      <c r="I89" s="477"/>
      <c r="J89" s="477"/>
      <c r="K89" s="1676">
        <f t="shared" si="12"/>
        <v>6337</v>
      </c>
      <c r="L89" s="530"/>
    </row>
    <row r="90" spans="1:12" ht="12.75" customHeight="1" thickTop="1" thickBot="1" x14ac:dyDescent="0.25">
      <c r="A90" s="1513" t="s">
        <v>686</v>
      </c>
      <c r="B90" s="639">
        <v>4280</v>
      </c>
      <c r="C90" s="616"/>
      <c r="D90" s="616"/>
      <c r="E90" s="638"/>
      <c r="F90" s="616"/>
      <c r="G90" s="616"/>
      <c r="H90" s="467"/>
      <c r="I90" s="477"/>
      <c r="J90" s="477"/>
      <c r="K90" s="1676">
        <f t="shared" si="12"/>
        <v>0</v>
      </c>
      <c r="L90" s="530"/>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237911</v>
      </c>
      <c r="I92" s="477"/>
      <c r="J92" s="477"/>
      <c r="K92" s="1676">
        <f t="shared" si="12"/>
        <v>237911</v>
      </c>
      <c r="L92" s="1669">
        <f>SUM(L85:L91)</f>
        <v>280000</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45216</v>
      </c>
      <c r="F102" s="616"/>
      <c r="G102" s="616"/>
      <c r="H102" s="1676">
        <f>SUM(H84,H92,H100,H101)</f>
        <v>238084</v>
      </c>
      <c r="I102" s="477"/>
      <c r="J102" s="477"/>
      <c r="K102" s="1676">
        <f>SUM(K84,K92,K100,K101)</f>
        <v>283300</v>
      </c>
      <c r="L102" s="1676">
        <f>SUM(L84,L92,L100,L101)</f>
        <v>329017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2569511</v>
      </c>
      <c r="D114" s="1669">
        <f t="shared" ref="D114:K114" si="13">SUM(D33,D74,D75,D102,D112,D113)</f>
        <v>284796</v>
      </c>
      <c r="E114" s="1669">
        <f t="shared" si="13"/>
        <v>210458</v>
      </c>
      <c r="F114" s="1669">
        <f t="shared" si="13"/>
        <v>277324</v>
      </c>
      <c r="G114" s="1669">
        <f t="shared" si="13"/>
        <v>0</v>
      </c>
      <c r="H114" s="1669">
        <f>SUM(H33,H74,H75,H102,H112,H113)</f>
        <v>338184</v>
      </c>
      <c r="I114" s="1669">
        <f t="shared" si="13"/>
        <v>0</v>
      </c>
      <c r="J114" s="1669">
        <f t="shared" si="13"/>
        <v>0</v>
      </c>
      <c r="K114" s="1669">
        <f t="shared" si="13"/>
        <v>3680273</v>
      </c>
      <c r="L114" s="1669">
        <f>SUM(L33,L74,L75,L102,L112,L113)</f>
        <v>3688335</v>
      </c>
    </row>
    <row r="115" spans="1:14" ht="13.5" thickTop="1" x14ac:dyDescent="0.2">
      <c r="A115" s="2154" t="s">
        <v>996</v>
      </c>
      <c r="B115" s="2155"/>
      <c r="C115" s="618"/>
      <c r="D115" s="618"/>
      <c r="E115" s="618"/>
      <c r="F115" s="618"/>
      <c r="G115" s="618"/>
      <c r="H115" s="618"/>
      <c r="I115" s="618"/>
      <c r="J115" s="618"/>
      <c r="K115" s="1683">
        <f>'Revenues 9-14'!C268-'Expenditures 15-22'!K114</f>
        <v>190467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c r="F123" s="466"/>
      <c r="G123" s="466"/>
      <c r="H123" s="466"/>
      <c r="I123" s="467"/>
      <c r="J123" s="467"/>
      <c r="K123" s="1669">
        <f>SUM(C123:J123)</f>
        <v>0</v>
      </c>
      <c r="L123" s="466"/>
    </row>
    <row r="124" spans="1:14" ht="14.25" thickTop="1" thickBot="1" x14ac:dyDescent="0.25">
      <c r="A124" s="1504" t="s">
        <v>197</v>
      </c>
      <c r="B124" s="614">
        <v>2540</v>
      </c>
      <c r="C124" s="466">
        <v>111366</v>
      </c>
      <c r="D124" s="466">
        <v>17515</v>
      </c>
      <c r="E124" s="466">
        <v>92229</v>
      </c>
      <c r="F124" s="466">
        <v>65144</v>
      </c>
      <c r="G124" s="466">
        <v>6199</v>
      </c>
      <c r="H124" s="466"/>
      <c r="I124" s="467"/>
      <c r="J124" s="467"/>
      <c r="K124" s="1669">
        <f>SUM(C124:J124)</f>
        <v>292453</v>
      </c>
      <c r="L124" s="466">
        <v>343720</v>
      </c>
    </row>
    <row r="125" spans="1:14" ht="14.25" thickTop="1" thickBot="1" x14ac:dyDescent="0.25">
      <c r="A125" s="1504" t="s">
        <v>953</v>
      </c>
      <c r="B125" s="614">
        <v>2550</v>
      </c>
      <c r="C125" s="466"/>
      <c r="D125" s="466"/>
      <c r="E125" s="466"/>
      <c r="F125" s="466"/>
      <c r="G125" s="466"/>
      <c r="H125" s="466"/>
      <c r="I125" s="467"/>
      <c r="J125" s="467"/>
      <c r="K125" s="1669">
        <f>SUM(C125:J125)</f>
        <v>0</v>
      </c>
      <c r="L125" s="466"/>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111366</v>
      </c>
      <c r="D127" s="1669">
        <f t="shared" ref="D127:L127" si="14">SUM(D122:D126)</f>
        <v>17515</v>
      </c>
      <c r="E127" s="1669">
        <f t="shared" si="14"/>
        <v>92229</v>
      </c>
      <c r="F127" s="1669">
        <f t="shared" si="14"/>
        <v>65144</v>
      </c>
      <c r="G127" s="1669">
        <f t="shared" si="14"/>
        <v>6199</v>
      </c>
      <c r="H127" s="1669">
        <f t="shared" si="14"/>
        <v>0</v>
      </c>
      <c r="I127" s="1669">
        <f t="shared" si="14"/>
        <v>0</v>
      </c>
      <c r="J127" s="1669">
        <f t="shared" si="14"/>
        <v>0</v>
      </c>
      <c r="K127" s="1669">
        <f t="shared" si="14"/>
        <v>292453</v>
      </c>
      <c r="L127" s="1669">
        <f t="shared" si="14"/>
        <v>343720</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111366</v>
      </c>
      <c r="D129" s="1676">
        <f t="shared" ref="D129:L129" si="15">SUM(D120,D127,D128)</f>
        <v>17515</v>
      </c>
      <c r="E129" s="1676">
        <f t="shared" si="15"/>
        <v>92229</v>
      </c>
      <c r="F129" s="1676">
        <f t="shared" si="15"/>
        <v>65144</v>
      </c>
      <c r="G129" s="1676">
        <f t="shared" si="15"/>
        <v>6199</v>
      </c>
      <c r="H129" s="1676">
        <f t="shared" si="15"/>
        <v>0</v>
      </c>
      <c r="I129" s="1676">
        <f t="shared" si="15"/>
        <v>0</v>
      </c>
      <c r="J129" s="1676">
        <f t="shared" si="15"/>
        <v>0</v>
      </c>
      <c r="K129" s="1676">
        <f t="shared" si="15"/>
        <v>292453</v>
      </c>
      <c r="L129" s="1676">
        <f t="shared" si="15"/>
        <v>343720</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0" t="s">
        <v>1844</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69">
        <f>SUM(C129,C130,C139,C149,C150)</f>
        <v>111366</v>
      </c>
      <c r="D151" s="1669">
        <f t="shared" ref="D151:K151" si="16">SUM(D129,D130,D139,D149,D150)</f>
        <v>17515</v>
      </c>
      <c r="E151" s="1669">
        <f t="shared" si="16"/>
        <v>92229</v>
      </c>
      <c r="F151" s="1669">
        <f t="shared" si="16"/>
        <v>65144</v>
      </c>
      <c r="G151" s="1669">
        <f t="shared" si="16"/>
        <v>6199</v>
      </c>
      <c r="H151" s="1669">
        <f t="shared" si="16"/>
        <v>0</v>
      </c>
      <c r="I151" s="1669">
        <f t="shared" si="16"/>
        <v>0</v>
      </c>
      <c r="J151" s="1669">
        <f t="shared" si="16"/>
        <v>0</v>
      </c>
      <c r="K151" s="1669">
        <f t="shared" si="16"/>
        <v>292453</v>
      </c>
      <c r="L151" s="1669">
        <f>SUM(L129,L130,L139,L149,L150)</f>
        <v>343720</v>
      </c>
    </row>
    <row r="152" spans="1:14" ht="12.75" customHeight="1" thickTop="1" x14ac:dyDescent="0.2">
      <c r="A152" s="2174" t="s">
        <v>1178</v>
      </c>
      <c r="B152" s="2175"/>
      <c r="C152" s="618"/>
      <c r="D152" s="618"/>
      <c r="E152" s="618"/>
      <c r="F152" s="618"/>
      <c r="G152" s="618"/>
      <c r="H152" s="618"/>
      <c r="I152" s="618"/>
      <c r="J152" s="616"/>
      <c r="K152" s="1683">
        <f>'Revenues 9-14'!D268-'Expenditures 15-22'!K151</f>
        <v>19049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1845</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f>3367+3366</f>
        <v>6733</v>
      </c>
      <c r="I169" s="616"/>
      <c r="J169" s="616"/>
      <c r="K169" s="1670">
        <f>SUM(C169:H169)</f>
        <v>6733</v>
      </c>
      <c r="L169" s="656"/>
    </row>
    <row r="170" spans="1:14" ht="33.75" customHeight="1" x14ac:dyDescent="0.2">
      <c r="A170" s="669" t="s">
        <v>1670</v>
      </c>
      <c r="B170" s="671" t="s">
        <v>31</v>
      </c>
      <c r="C170" s="616"/>
      <c r="D170" s="616"/>
      <c r="E170" s="616"/>
      <c r="F170" s="616"/>
      <c r="G170" s="616"/>
      <c r="H170" s="569">
        <f>35000+25000</f>
        <v>60000</v>
      </c>
      <c r="I170" s="616"/>
      <c r="J170" s="616"/>
      <c r="K170" s="1670">
        <f>SUM(C170:J170)</f>
        <v>60000</v>
      </c>
      <c r="L170" s="569">
        <v>67635</v>
      </c>
    </row>
    <row r="171" spans="1:14" ht="15.75" customHeight="1" x14ac:dyDescent="0.2">
      <c r="A171" s="621" t="s">
        <v>766</v>
      </c>
      <c r="B171" s="672" t="s">
        <v>84</v>
      </c>
      <c r="C171" s="616"/>
      <c r="D171" s="616"/>
      <c r="E171" s="466"/>
      <c r="F171" s="616"/>
      <c r="G171" s="616"/>
      <c r="H171" s="569">
        <v>1000</v>
      </c>
      <c r="I171" s="477"/>
      <c r="J171" s="616"/>
      <c r="K171" s="1670">
        <f>SUM(C171:J171)</f>
        <v>1000</v>
      </c>
      <c r="L171" s="569"/>
    </row>
    <row r="172" spans="1:14" ht="12.75" customHeight="1" thickBot="1" x14ac:dyDescent="0.25">
      <c r="A172" s="1667" t="s">
        <v>638</v>
      </c>
      <c r="B172" s="1668" t="s">
        <v>492</v>
      </c>
      <c r="C172" s="616"/>
      <c r="D172" s="616"/>
      <c r="E172" s="1676">
        <f>SUM(E168,E169,E170,E171)</f>
        <v>0</v>
      </c>
      <c r="F172" s="616"/>
      <c r="G172" s="616"/>
      <c r="H172" s="1676">
        <f>SUM(H168,H169,H170,H171)</f>
        <v>67733</v>
      </c>
      <c r="I172" s="638"/>
      <c r="J172" s="616"/>
      <c r="K172" s="1676">
        <f>SUM(K168,K169,K170,K171)</f>
        <v>67733</v>
      </c>
      <c r="L172" s="1676">
        <f>SUM(L168,L169,L170,L171)</f>
        <v>67635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67733</v>
      </c>
      <c r="I174" s="638"/>
      <c r="J174" s="616"/>
      <c r="K174" s="1676">
        <f>SUM(K160,K172,K173)</f>
        <v>67733</v>
      </c>
      <c r="L174" s="1676">
        <f>SUM(L160,L172,L173)</f>
        <v>67635</v>
      </c>
    </row>
    <row r="175" spans="1:14" ht="13.5" thickTop="1" x14ac:dyDescent="0.2">
      <c r="A175" s="2154" t="s">
        <v>996</v>
      </c>
      <c r="B175" s="2155"/>
      <c r="C175" s="616"/>
      <c r="D175" s="616"/>
      <c r="E175" s="616"/>
      <c r="F175" s="616"/>
      <c r="G175" s="616"/>
      <c r="H175" s="618"/>
      <c r="I175" s="616"/>
      <c r="J175" s="616"/>
      <c r="K175" s="1683">
        <f>'Revenues 9-14'!E268-'Expenditures 15-22'!K174</f>
        <v>-3182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21685</v>
      </c>
      <c r="D182" s="466"/>
      <c r="E182" s="466">
        <v>160361</v>
      </c>
      <c r="F182" s="466">
        <v>3950</v>
      </c>
      <c r="G182" s="466"/>
      <c r="H182" s="466">
        <f>933+14949</f>
        <v>15882</v>
      </c>
      <c r="I182" s="467"/>
      <c r="J182" s="467"/>
      <c r="K182" s="1670">
        <f>SUM(C182:J182)</f>
        <v>201878</v>
      </c>
      <c r="L182" s="466">
        <v>252781</v>
      </c>
    </row>
    <row r="183" spans="1:14" ht="12.75" customHeight="1" thickBot="1" x14ac:dyDescent="0.25">
      <c r="A183" s="1509"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21685</v>
      </c>
      <c r="D184" s="1676">
        <f t="shared" ref="D184:J184" si="17">SUM(D180,D182,D183)</f>
        <v>0</v>
      </c>
      <c r="E184" s="1676">
        <f t="shared" si="17"/>
        <v>160361</v>
      </c>
      <c r="F184" s="1676">
        <f t="shared" si="17"/>
        <v>3950</v>
      </c>
      <c r="G184" s="1676">
        <f t="shared" si="17"/>
        <v>0</v>
      </c>
      <c r="H184" s="1676">
        <f t="shared" si="17"/>
        <v>15882</v>
      </c>
      <c r="I184" s="1676">
        <f t="shared" si="17"/>
        <v>0</v>
      </c>
      <c r="J184" s="1676">
        <f t="shared" si="17"/>
        <v>0</v>
      </c>
      <c r="K184" s="1676">
        <f>SUM(K180,K182,K183)</f>
        <v>201878</v>
      </c>
      <c r="L184" s="1676">
        <f>SUM(L180, L182:L183)</f>
        <v>252781</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c r="F189" s="616"/>
      <c r="G189" s="616"/>
      <c r="H189" s="466"/>
      <c r="I189" s="477"/>
      <c r="J189" s="616"/>
      <c r="K189" s="1670">
        <f t="shared" si="18"/>
        <v>0</v>
      </c>
      <c r="L189" s="466"/>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21685</v>
      </c>
      <c r="D210" s="1669">
        <f>SUM(D184,D185)</f>
        <v>0</v>
      </c>
      <c r="E210" s="1669">
        <f>SUM(E184,E185,E196)</f>
        <v>160361</v>
      </c>
      <c r="F210" s="1669">
        <f>SUM(F184,F185)</f>
        <v>3950</v>
      </c>
      <c r="G210" s="1669">
        <f>SUM(G184,G185)</f>
        <v>0</v>
      </c>
      <c r="H210" s="1669">
        <f>SUM(H184,H185,H196,H208,H209)</f>
        <v>15882</v>
      </c>
      <c r="I210" s="1669">
        <f>SUM(I184,I185)</f>
        <v>0</v>
      </c>
      <c r="J210" s="1669">
        <f>SUM(J184,J185)</f>
        <v>0</v>
      </c>
      <c r="K210" s="1670">
        <f>SUM(K184,K185,K196,K208,K209)</f>
        <v>201878</v>
      </c>
      <c r="L210" s="1669">
        <f>SUM(L184,L185,L196,L208,L209)</f>
        <v>252781</v>
      </c>
    </row>
    <row r="211" spans="1:14" ht="13.5" thickTop="1" x14ac:dyDescent="0.2">
      <c r="A211" s="2154" t="s">
        <v>996</v>
      </c>
      <c r="B211" s="2155"/>
      <c r="C211" s="618"/>
      <c r="D211" s="618"/>
      <c r="E211" s="618"/>
      <c r="F211" s="618"/>
      <c r="G211" s="618"/>
      <c r="H211" s="618"/>
      <c r="I211" s="616"/>
      <c r="J211" s="616"/>
      <c r="K211" s="1683">
        <f>'Revenues 9-14'!F268-'Expenditures 15-22'!K210</f>
        <v>20855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30742</v>
      </c>
      <c r="E215" s="616"/>
      <c r="F215" s="616"/>
      <c r="G215" s="616"/>
      <c r="H215" s="616"/>
      <c r="I215" s="616"/>
      <c r="J215" s="616"/>
      <c r="K215" s="1670">
        <f>D215</f>
        <v>30742</v>
      </c>
      <c r="L215" s="466">
        <v>21675</v>
      </c>
    </row>
    <row r="216" spans="1:14" x14ac:dyDescent="0.2">
      <c r="A216" s="1504" t="s">
        <v>163</v>
      </c>
      <c r="B216" s="614" t="s">
        <v>967</v>
      </c>
      <c r="C216" s="616"/>
      <c r="D216" s="467">
        <v>5059</v>
      </c>
      <c r="E216" s="616"/>
      <c r="F216" s="616"/>
      <c r="G216" s="616"/>
      <c r="H216" s="616"/>
      <c r="I216" s="616"/>
      <c r="J216" s="616"/>
      <c r="K216" s="1670">
        <f t="shared" ref="K216:K228" si="19">D216</f>
        <v>5059</v>
      </c>
      <c r="L216" s="466">
        <v>6625</v>
      </c>
    </row>
    <row r="217" spans="1:14" x14ac:dyDescent="0.2">
      <c r="A217" s="1504" t="s">
        <v>164</v>
      </c>
      <c r="B217" s="614">
        <v>1200</v>
      </c>
      <c r="C217" s="616"/>
      <c r="D217" s="466">
        <v>14529</v>
      </c>
      <c r="E217" s="616"/>
      <c r="F217" s="616"/>
      <c r="G217" s="616"/>
      <c r="H217" s="616"/>
      <c r="I217" s="616"/>
      <c r="J217" s="616"/>
      <c r="K217" s="1670">
        <f t="shared" si="19"/>
        <v>14529</v>
      </c>
      <c r="L217" s="466">
        <v>18470</v>
      </c>
    </row>
    <row r="218" spans="1:14" x14ac:dyDescent="0.2">
      <c r="A218" s="1504" t="s">
        <v>278</v>
      </c>
      <c r="B218" s="614" t="s">
        <v>968</v>
      </c>
      <c r="C218" s="616"/>
      <c r="D218" s="467">
        <v>672</v>
      </c>
      <c r="E218" s="616"/>
      <c r="F218" s="616"/>
      <c r="G218" s="616"/>
      <c r="H218" s="616"/>
      <c r="I218" s="616"/>
      <c r="J218" s="616"/>
      <c r="K218" s="1670">
        <f t="shared" si="19"/>
        <v>672</v>
      </c>
      <c r="L218" s="466">
        <v>350</v>
      </c>
    </row>
    <row r="219" spans="1:14" x14ac:dyDescent="0.2">
      <c r="A219" s="1504" t="s">
        <v>279</v>
      </c>
      <c r="B219" s="614">
        <v>1250</v>
      </c>
      <c r="C219" s="616"/>
      <c r="D219" s="466">
        <v>4129</v>
      </c>
      <c r="E219" s="616"/>
      <c r="F219" s="616"/>
      <c r="G219" s="616"/>
      <c r="H219" s="616"/>
      <c r="I219" s="616"/>
      <c r="J219" s="616"/>
      <c r="K219" s="1670">
        <f t="shared" si="19"/>
        <v>4129</v>
      </c>
      <c r="L219" s="466">
        <v>16648</v>
      </c>
    </row>
    <row r="220" spans="1:14" x14ac:dyDescent="0.2">
      <c r="A220" s="1504" t="s">
        <v>280</v>
      </c>
      <c r="B220" s="614" t="s">
        <v>161</v>
      </c>
      <c r="C220" s="616"/>
      <c r="D220" s="467"/>
      <c r="E220" s="616"/>
      <c r="F220" s="616"/>
      <c r="G220" s="616"/>
      <c r="H220" s="616"/>
      <c r="I220" s="616"/>
      <c r="J220" s="616"/>
      <c r="K220" s="1670">
        <f t="shared" si="19"/>
        <v>0</v>
      </c>
      <c r="L220" s="466"/>
    </row>
    <row r="221" spans="1:14" x14ac:dyDescent="0.2">
      <c r="A221" s="1504" t="s">
        <v>962</v>
      </c>
      <c r="B221" s="614">
        <v>1300</v>
      </c>
      <c r="C221" s="616"/>
      <c r="D221" s="466"/>
      <c r="E221" s="616"/>
      <c r="F221" s="616"/>
      <c r="G221" s="616"/>
      <c r="H221" s="616"/>
      <c r="I221" s="616"/>
      <c r="J221" s="616"/>
      <c r="K221" s="1670">
        <f t="shared" si="19"/>
        <v>0</v>
      </c>
      <c r="L221" s="466"/>
    </row>
    <row r="222" spans="1:14" x14ac:dyDescent="0.2">
      <c r="A222" s="1504" t="s">
        <v>723</v>
      </c>
      <c r="B222" s="614">
        <v>1400</v>
      </c>
      <c r="C222" s="616"/>
      <c r="D222" s="466"/>
      <c r="E222" s="616"/>
      <c r="F222" s="616"/>
      <c r="G222" s="616"/>
      <c r="H222" s="616"/>
      <c r="I222" s="616"/>
      <c r="J222" s="616"/>
      <c r="K222" s="1670">
        <f t="shared" si="19"/>
        <v>0</v>
      </c>
      <c r="L222" s="466"/>
    </row>
    <row r="223" spans="1:14" x14ac:dyDescent="0.2">
      <c r="A223" s="1504" t="s">
        <v>963</v>
      </c>
      <c r="B223" s="614">
        <v>1500</v>
      </c>
      <c r="C223" s="616"/>
      <c r="D223" s="466">
        <v>3039</v>
      </c>
      <c r="E223" s="616"/>
      <c r="F223" s="616"/>
      <c r="G223" s="616"/>
      <c r="H223" s="616"/>
      <c r="I223" s="616"/>
      <c r="J223" s="616"/>
      <c r="K223" s="1670">
        <f t="shared" si="19"/>
        <v>3039</v>
      </c>
      <c r="L223" s="466">
        <v>3092</v>
      </c>
    </row>
    <row r="224" spans="1:14" x14ac:dyDescent="0.2">
      <c r="A224" s="1504" t="s">
        <v>964</v>
      </c>
      <c r="B224" s="614">
        <v>1600</v>
      </c>
      <c r="C224" s="616"/>
      <c r="D224" s="466"/>
      <c r="E224" s="616"/>
      <c r="F224" s="616"/>
      <c r="G224" s="616"/>
      <c r="H224" s="616"/>
      <c r="I224" s="616"/>
      <c r="J224" s="616"/>
      <c r="K224" s="1670">
        <f t="shared" si="19"/>
        <v>0</v>
      </c>
      <c r="L224" s="466"/>
    </row>
    <row r="225" spans="1:12" x14ac:dyDescent="0.2">
      <c r="A225" s="1504" t="s">
        <v>987</v>
      </c>
      <c r="B225" s="614">
        <v>1650</v>
      </c>
      <c r="C225" s="616"/>
      <c r="D225" s="466"/>
      <c r="E225" s="616"/>
      <c r="F225" s="616"/>
      <c r="G225" s="616"/>
      <c r="H225" s="616"/>
      <c r="I225" s="616"/>
      <c r="J225" s="616"/>
      <c r="K225" s="1670">
        <f t="shared" si="19"/>
        <v>0</v>
      </c>
      <c r="L225" s="466"/>
    </row>
    <row r="226" spans="1:12" x14ac:dyDescent="0.2">
      <c r="A226" s="1504" t="s">
        <v>724</v>
      </c>
      <c r="B226" s="614" t="s">
        <v>162</v>
      </c>
      <c r="C226" s="616"/>
      <c r="D226" s="467">
        <v>153</v>
      </c>
      <c r="E226" s="616"/>
      <c r="F226" s="616"/>
      <c r="G226" s="616"/>
      <c r="H226" s="616"/>
      <c r="I226" s="616"/>
      <c r="J226" s="616"/>
      <c r="K226" s="1670">
        <f t="shared" si="19"/>
        <v>153</v>
      </c>
      <c r="L226" s="466">
        <v>275</v>
      </c>
    </row>
    <row r="227" spans="1:12" x14ac:dyDescent="0.2">
      <c r="A227" s="1504" t="s">
        <v>1087</v>
      </c>
      <c r="B227" s="614">
        <v>1800</v>
      </c>
      <c r="C227" s="616"/>
      <c r="D227" s="466">
        <v>139</v>
      </c>
      <c r="E227" s="616"/>
      <c r="F227" s="616"/>
      <c r="G227" s="616"/>
      <c r="H227" s="616"/>
      <c r="I227" s="616"/>
      <c r="J227" s="616"/>
      <c r="K227" s="1670">
        <f t="shared" si="19"/>
        <v>139</v>
      </c>
      <c r="L227" s="466">
        <v>840</v>
      </c>
    </row>
    <row r="228" spans="1:12" x14ac:dyDescent="0.2">
      <c r="A228" s="1504" t="s">
        <v>1088</v>
      </c>
      <c r="B228" s="614">
        <v>1900</v>
      </c>
      <c r="C228" s="616"/>
      <c r="D228" s="466">
        <v>7</v>
      </c>
      <c r="E228" s="616"/>
      <c r="F228" s="616"/>
      <c r="G228" s="616"/>
      <c r="H228" s="616"/>
      <c r="I228" s="616"/>
      <c r="J228" s="616"/>
      <c r="K228" s="1670">
        <f t="shared" si="19"/>
        <v>7</v>
      </c>
      <c r="L228" s="466">
        <v>45</v>
      </c>
    </row>
    <row r="229" spans="1:12" ht="12.75" customHeight="1" thickBot="1" x14ac:dyDescent="0.25">
      <c r="A229" s="1667" t="s">
        <v>715</v>
      </c>
      <c r="B229" s="1674" t="s">
        <v>570</v>
      </c>
      <c r="C229" s="616"/>
      <c r="D229" s="1669">
        <f>SUM(D215:D228)</f>
        <v>58469</v>
      </c>
      <c r="E229" s="616"/>
      <c r="F229" s="616"/>
      <c r="G229" s="616"/>
      <c r="H229" s="616"/>
      <c r="I229" s="616"/>
      <c r="J229" s="616"/>
      <c r="K229" s="1669">
        <f>SUM(K215:K228)</f>
        <v>58469</v>
      </c>
      <c r="L229" s="1669">
        <f>SUM(L215:L228)</f>
        <v>68020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0">
        <f t="shared" ref="K232:K237" si="20">D232</f>
        <v>0</v>
      </c>
      <c r="L232" s="466"/>
    </row>
    <row r="233" spans="1:12" x14ac:dyDescent="0.2">
      <c r="A233" s="1504" t="s">
        <v>1090</v>
      </c>
      <c r="B233" s="614">
        <v>2120</v>
      </c>
      <c r="C233" s="616"/>
      <c r="D233" s="466">
        <v>1251</v>
      </c>
      <c r="E233" s="616"/>
      <c r="F233" s="616"/>
      <c r="G233" s="616"/>
      <c r="H233" s="616"/>
      <c r="I233" s="616"/>
      <c r="J233" s="616"/>
      <c r="K233" s="1670">
        <f t="shared" si="20"/>
        <v>1251</v>
      </c>
      <c r="L233" s="466">
        <v>525</v>
      </c>
    </row>
    <row r="234" spans="1:12" x14ac:dyDescent="0.2">
      <c r="A234" s="1504" t="s">
        <v>198</v>
      </c>
      <c r="B234" s="614">
        <v>2130</v>
      </c>
      <c r="C234" s="616"/>
      <c r="D234" s="466">
        <v>3314</v>
      </c>
      <c r="E234" s="616"/>
      <c r="F234" s="616"/>
      <c r="G234" s="616"/>
      <c r="H234" s="616"/>
      <c r="I234" s="616"/>
      <c r="J234" s="616"/>
      <c r="K234" s="1670">
        <f t="shared" si="20"/>
        <v>3314</v>
      </c>
      <c r="L234" s="466">
        <v>2925</v>
      </c>
    </row>
    <row r="235" spans="1:12" x14ac:dyDescent="0.2">
      <c r="A235" s="1504" t="s">
        <v>199</v>
      </c>
      <c r="B235" s="614">
        <v>2140</v>
      </c>
      <c r="C235" s="616"/>
      <c r="D235" s="466"/>
      <c r="E235" s="616"/>
      <c r="F235" s="616"/>
      <c r="G235" s="616"/>
      <c r="H235" s="616"/>
      <c r="I235" s="616"/>
      <c r="J235" s="616"/>
      <c r="K235" s="1670">
        <f t="shared" si="20"/>
        <v>0</v>
      </c>
      <c r="L235" s="466"/>
    </row>
    <row r="236" spans="1:12" x14ac:dyDescent="0.2">
      <c r="A236" s="1504" t="s">
        <v>200</v>
      </c>
      <c r="B236" s="614">
        <v>2150</v>
      </c>
      <c r="C236" s="616"/>
      <c r="D236" s="466"/>
      <c r="E236" s="616"/>
      <c r="F236" s="616"/>
      <c r="G236" s="616"/>
      <c r="H236" s="616"/>
      <c r="I236" s="616"/>
      <c r="J236" s="616"/>
      <c r="K236" s="1670">
        <f t="shared" si="20"/>
        <v>0</v>
      </c>
      <c r="L236" s="466"/>
    </row>
    <row r="237" spans="1:12" x14ac:dyDescent="0.2">
      <c r="A237" s="1504"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4565</v>
      </c>
      <c r="E238" s="616"/>
      <c r="F238" s="616"/>
      <c r="G238" s="616"/>
      <c r="H238" s="616"/>
      <c r="I238" s="616"/>
      <c r="J238" s="616"/>
      <c r="K238" s="1669">
        <f>SUM(K232:K237)</f>
        <v>4565</v>
      </c>
      <c r="L238" s="1669">
        <f>SUM(L232:L237)</f>
        <v>3450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277</v>
      </c>
      <c r="E240" s="616"/>
      <c r="F240" s="616"/>
      <c r="G240" s="616"/>
      <c r="H240" s="616"/>
      <c r="I240" s="616"/>
      <c r="J240" s="616"/>
      <c r="K240" s="1671">
        <f>D240</f>
        <v>277</v>
      </c>
      <c r="L240" s="481">
        <v>200</v>
      </c>
    </row>
    <row r="241" spans="1:12" x14ac:dyDescent="0.2">
      <c r="A241" s="1504" t="s">
        <v>815</v>
      </c>
      <c r="B241" s="614">
        <v>2220</v>
      </c>
      <c r="C241" s="616"/>
      <c r="D241" s="466">
        <v>7510</v>
      </c>
      <c r="E241" s="616"/>
      <c r="F241" s="616"/>
      <c r="G241" s="616"/>
      <c r="H241" s="616"/>
      <c r="I241" s="616"/>
      <c r="J241" s="616"/>
      <c r="K241" s="1671">
        <f>D241</f>
        <v>7510</v>
      </c>
      <c r="L241" s="466">
        <v>7750</v>
      </c>
    </row>
    <row r="242" spans="1:12" x14ac:dyDescent="0.2">
      <c r="A242" s="1504"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7787</v>
      </c>
      <c r="E243" s="616"/>
      <c r="F243" s="616"/>
      <c r="G243" s="616"/>
      <c r="H243" s="616"/>
      <c r="I243" s="616"/>
      <c r="J243" s="616"/>
      <c r="K243" s="1669">
        <f>SUM(K240:K242)</f>
        <v>7787</v>
      </c>
      <c r="L243" s="1669">
        <f>SUM(L240:L242)</f>
        <v>7950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179</v>
      </c>
      <c r="E245" s="616"/>
      <c r="F245" s="616"/>
      <c r="G245" s="616"/>
      <c r="H245" s="616"/>
      <c r="I245" s="616"/>
      <c r="J245" s="616"/>
      <c r="K245" s="1671">
        <f>D245</f>
        <v>179</v>
      </c>
      <c r="L245" s="481">
        <v>182</v>
      </c>
    </row>
    <row r="246" spans="1:12" x14ac:dyDescent="0.2">
      <c r="A246" s="1504" t="s">
        <v>818</v>
      </c>
      <c r="B246" s="614">
        <v>2320</v>
      </c>
      <c r="C246" s="616"/>
      <c r="D246" s="466">
        <v>5859</v>
      </c>
      <c r="E246" s="616"/>
      <c r="F246" s="616"/>
      <c r="G246" s="616"/>
      <c r="H246" s="616"/>
      <c r="I246" s="616"/>
      <c r="J246" s="616"/>
      <c r="K246" s="1671">
        <f t="shared" ref="K246:K256" si="21">D246</f>
        <v>5859</v>
      </c>
      <c r="L246" s="466">
        <v>6710</v>
      </c>
    </row>
    <row r="247" spans="1:12" x14ac:dyDescent="0.2">
      <c r="A247" s="1504" t="s">
        <v>819</v>
      </c>
      <c r="B247" s="614">
        <v>2330</v>
      </c>
      <c r="C247" s="616"/>
      <c r="D247" s="466"/>
      <c r="E247" s="616"/>
      <c r="F247" s="616"/>
      <c r="G247" s="616"/>
      <c r="H247" s="616"/>
      <c r="I247" s="616"/>
      <c r="J247" s="616"/>
      <c r="K247" s="1671">
        <f t="shared" si="21"/>
        <v>0</v>
      </c>
      <c r="L247" s="466"/>
    </row>
    <row r="248" spans="1:12" x14ac:dyDescent="0.2">
      <c r="A248" s="1505" t="s">
        <v>299</v>
      </c>
      <c r="B248" s="602" t="s">
        <v>281</v>
      </c>
      <c r="C248" s="616"/>
      <c r="D248" s="474"/>
      <c r="E248" s="616"/>
      <c r="F248" s="616"/>
      <c r="G248" s="616"/>
      <c r="H248" s="616"/>
      <c r="I248" s="616"/>
      <c r="J248" s="616"/>
      <c r="K248" s="1671">
        <f t="shared" si="21"/>
        <v>0</v>
      </c>
      <c r="L248" s="466"/>
    </row>
    <row r="249" spans="1:12" x14ac:dyDescent="0.2">
      <c r="A249" s="1506" t="s">
        <v>1805</v>
      </c>
      <c r="B249" s="683" t="s">
        <v>282</v>
      </c>
      <c r="C249" s="616"/>
      <c r="D249" s="474"/>
      <c r="E249" s="616"/>
      <c r="F249" s="616"/>
      <c r="G249" s="616"/>
      <c r="H249" s="616"/>
      <c r="I249" s="616"/>
      <c r="J249" s="616"/>
      <c r="K249" s="1671">
        <f t="shared" si="21"/>
        <v>0</v>
      </c>
      <c r="L249" s="466"/>
    </row>
    <row r="250" spans="1:12" x14ac:dyDescent="0.2">
      <c r="A250" s="1505" t="s">
        <v>1806</v>
      </c>
      <c r="B250" s="602" t="s">
        <v>283</v>
      </c>
      <c r="C250" s="616"/>
      <c r="D250" s="474"/>
      <c r="E250" s="616"/>
      <c r="F250" s="616"/>
      <c r="G250" s="616"/>
      <c r="H250" s="616"/>
      <c r="I250" s="616"/>
      <c r="J250" s="616"/>
      <c r="K250" s="1671">
        <f t="shared" si="21"/>
        <v>0</v>
      </c>
      <c r="L250" s="466"/>
    </row>
    <row r="251" spans="1:12" x14ac:dyDescent="0.2">
      <c r="A251" s="1505" t="s">
        <v>238</v>
      </c>
      <c r="B251" s="602" t="s">
        <v>284</v>
      </c>
      <c r="C251" s="616"/>
      <c r="D251" s="474"/>
      <c r="E251" s="616"/>
      <c r="F251" s="616"/>
      <c r="G251" s="616"/>
      <c r="H251" s="616"/>
      <c r="I251" s="616"/>
      <c r="J251" s="616"/>
      <c r="K251" s="1671">
        <f t="shared" si="21"/>
        <v>0</v>
      </c>
      <c r="L251" s="466"/>
    </row>
    <row r="252" spans="1:12" x14ac:dyDescent="0.2">
      <c r="A252" s="1505" t="s">
        <v>702</v>
      </c>
      <c r="B252" s="602" t="s">
        <v>285</v>
      </c>
      <c r="C252" s="616"/>
      <c r="D252" s="474"/>
      <c r="E252" s="616"/>
      <c r="F252" s="616"/>
      <c r="G252" s="616"/>
      <c r="H252" s="616"/>
      <c r="I252" s="616"/>
      <c r="J252" s="616"/>
      <c r="K252" s="1671">
        <f t="shared" si="21"/>
        <v>0</v>
      </c>
      <c r="L252" s="466"/>
    </row>
    <row r="253" spans="1:12" x14ac:dyDescent="0.2">
      <c r="A253" s="1505" t="s">
        <v>239</v>
      </c>
      <c r="B253" s="602" t="s">
        <v>286</v>
      </c>
      <c r="C253" s="616"/>
      <c r="D253" s="474"/>
      <c r="E253" s="616"/>
      <c r="F253" s="616"/>
      <c r="G253" s="616"/>
      <c r="H253" s="616"/>
      <c r="I253" s="616"/>
      <c r="J253" s="616"/>
      <c r="K253" s="1671">
        <f t="shared" si="21"/>
        <v>0</v>
      </c>
      <c r="L253" s="466"/>
    </row>
    <row r="254" spans="1:12" ht="22.5" x14ac:dyDescent="0.2">
      <c r="A254" s="1505" t="s">
        <v>1029</v>
      </c>
      <c r="B254" s="683" t="s">
        <v>287</v>
      </c>
      <c r="C254" s="616"/>
      <c r="D254" s="474">
        <v>9351</v>
      </c>
      <c r="E254" s="616"/>
      <c r="F254" s="616"/>
      <c r="G254" s="616"/>
      <c r="H254" s="616"/>
      <c r="I254" s="616"/>
      <c r="J254" s="616"/>
      <c r="K254" s="1671">
        <f t="shared" si="21"/>
        <v>9351</v>
      </c>
      <c r="L254" s="466">
        <v>6300</v>
      </c>
    </row>
    <row r="255" spans="1:12" x14ac:dyDescent="0.2">
      <c r="A255" s="1505" t="s">
        <v>1030</v>
      </c>
      <c r="B255" s="602" t="s">
        <v>288</v>
      </c>
      <c r="C255" s="616"/>
      <c r="D255" s="474"/>
      <c r="E255" s="616"/>
      <c r="F255" s="616"/>
      <c r="G255" s="616"/>
      <c r="H255" s="616"/>
      <c r="I255" s="616"/>
      <c r="J255" s="616"/>
      <c r="K255" s="1671">
        <f t="shared" si="21"/>
        <v>0</v>
      </c>
      <c r="L255" s="466"/>
    </row>
    <row r="256" spans="1:12" x14ac:dyDescent="0.2">
      <c r="A256" s="1505"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15389</v>
      </c>
      <c r="E257" s="616"/>
      <c r="F257" s="616"/>
      <c r="G257" s="616"/>
      <c r="H257" s="616"/>
      <c r="I257" s="616"/>
      <c r="J257" s="616"/>
      <c r="K257" s="1669">
        <f>SUM(K245:K256)</f>
        <v>15389</v>
      </c>
      <c r="L257" s="1669">
        <f>SUM(L245:L256)</f>
        <v>13192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7121</v>
      </c>
      <c r="E259" s="616"/>
      <c r="F259" s="616"/>
      <c r="G259" s="616"/>
      <c r="H259" s="616"/>
      <c r="I259" s="616"/>
      <c r="J259" s="616"/>
      <c r="K259" s="1671">
        <f>D259</f>
        <v>7121</v>
      </c>
      <c r="L259" s="481">
        <v>8150</v>
      </c>
    </row>
    <row r="260" spans="1:14" s="597" customFormat="1" x14ac:dyDescent="0.2">
      <c r="A260" s="1522"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7121</v>
      </c>
      <c r="E261" s="616"/>
      <c r="F261" s="616"/>
      <c r="G261" s="616"/>
      <c r="H261" s="616"/>
      <c r="I261" s="616"/>
      <c r="J261" s="616"/>
      <c r="K261" s="1669">
        <f>SUM(K259:K260)</f>
        <v>7121</v>
      </c>
      <c r="L261" s="1669">
        <f>SUM(L259:L260)</f>
        <v>8150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row>
    <row r="264" spans="1:14" x14ac:dyDescent="0.2">
      <c r="A264" s="1504" t="s">
        <v>463</v>
      </c>
      <c r="B264" s="685">
        <v>2520</v>
      </c>
      <c r="C264" s="616"/>
      <c r="D264" s="466">
        <v>5972</v>
      </c>
      <c r="E264" s="616"/>
      <c r="F264" s="616"/>
      <c r="G264" s="616"/>
      <c r="H264" s="616"/>
      <c r="I264" s="616"/>
      <c r="J264" s="616"/>
      <c r="K264" s="1671">
        <f t="shared" ref="K264:K269" si="22">D264</f>
        <v>5972</v>
      </c>
      <c r="L264" s="466">
        <v>5925</v>
      </c>
    </row>
    <row r="265" spans="1:14" x14ac:dyDescent="0.2">
      <c r="A265" s="1504" t="s">
        <v>4</v>
      </c>
      <c r="B265" s="614">
        <v>2530</v>
      </c>
      <c r="C265" s="616"/>
      <c r="D265" s="466"/>
      <c r="E265" s="616"/>
      <c r="F265" s="616"/>
      <c r="G265" s="616"/>
      <c r="H265" s="616"/>
      <c r="I265" s="616"/>
      <c r="J265" s="616"/>
      <c r="K265" s="1671">
        <f t="shared" si="22"/>
        <v>0</v>
      </c>
      <c r="L265" s="466"/>
    </row>
    <row r="266" spans="1:14" x14ac:dyDescent="0.2">
      <c r="A266" s="1504" t="s">
        <v>197</v>
      </c>
      <c r="B266" s="614">
        <v>2540</v>
      </c>
      <c r="C266" s="616"/>
      <c r="D266" s="466">
        <v>16381</v>
      </c>
      <c r="E266" s="616"/>
      <c r="F266" s="616"/>
      <c r="G266" s="616"/>
      <c r="H266" s="616"/>
      <c r="I266" s="616"/>
      <c r="J266" s="616"/>
      <c r="K266" s="1671">
        <f t="shared" si="22"/>
        <v>16381</v>
      </c>
      <c r="L266" s="466">
        <v>15500</v>
      </c>
    </row>
    <row r="267" spans="1:14" x14ac:dyDescent="0.2">
      <c r="A267" s="1504" t="s">
        <v>953</v>
      </c>
      <c r="B267" s="614">
        <v>2550</v>
      </c>
      <c r="C267" s="616"/>
      <c r="D267" s="466">
        <v>2293</v>
      </c>
      <c r="E267" s="616"/>
      <c r="F267" s="616"/>
      <c r="G267" s="616"/>
      <c r="H267" s="616"/>
      <c r="I267" s="616"/>
      <c r="J267" s="616"/>
      <c r="K267" s="1671">
        <f t="shared" si="22"/>
        <v>2293</v>
      </c>
      <c r="L267" s="466">
        <v>4475</v>
      </c>
    </row>
    <row r="268" spans="1:14" x14ac:dyDescent="0.2">
      <c r="A268" s="1504" t="s">
        <v>100</v>
      </c>
      <c r="B268" s="614">
        <v>2560</v>
      </c>
      <c r="C268" s="616"/>
      <c r="D268" s="466">
        <v>6437</v>
      </c>
      <c r="E268" s="616"/>
      <c r="F268" s="616"/>
      <c r="G268" s="616"/>
      <c r="H268" s="616"/>
      <c r="I268" s="616"/>
      <c r="J268" s="616"/>
      <c r="K268" s="1671">
        <f t="shared" si="22"/>
        <v>6437</v>
      </c>
      <c r="L268" s="466">
        <v>5650</v>
      </c>
    </row>
    <row r="269" spans="1:14" x14ac:dyDescent="0.2">
      <c r="A269" s="1504"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31083</v>
      </c>
      <c r="E270" s="616"/>
      <c r="F270" s="616"/>
      <c r="G270" s="616"/>
      <c r="H270" s="616"/>
      <c r="I270" s="616"/>
      <c r="J270" s="616"/>
      <c r="K270" s="1669">
        <f>SUM(K263:K269)</f>
        <v>31083</v>
      </c>
      <c r="L270" s="1669">
        <f>SUM(L263:L269)</f>
        <v>31550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row>
    <row r="273" spans="1:12" x14ac:dyDescent="0.2">
      <c r="A273" s="1504" t="s">
        <v>607</v>
      </c>
      <c r="B273" s="628">
        <v>2620</v>
      </c>
      <c r="C273" s="616"/>
      <c r="D273" s="466"/>
      <c r="E273" s="616"/>
      <c r="F273" s="616"/>
      <c r="G273" s="616"/>
      <c r="H273" s="616"/>
      <c r="I273" s="616"/>
      <c r="J273" s="616"/>
      <c r="K273" s="1671">
        <f>D273</f>
        <v>0</v>
      </c>
      <c r="L273" s="466"/>
    </row>
    <row r="274" spans="1:12" ht="12" customHeight="1" x14ac:dyDescent="0.2">
      <c r="A274" s="1504" t="s">
        <v>1061</v>
      </c>
      <c r="B274" s="614">
        <v>2630</v>
      </c>
      <c r="C274" s="616"/>
      <c r="D274" s="466"/>
      <c r="E274" s="616"/>
      <c r="F274" s="616"/>
      <c r="G274" s="616"/>
      <c r="H274" s="616"/>
      <c r="I274" s="616"/>
      <c r="J274" s="616"/>
      <c r="K274" s="1671">
        <f>D274</f>
        <v>0</v>
      </c>
      <c r="L274" s="466"/>
    </row>
    <row r="275" spans="1:12" x14ac:dyDescent="0.2">
      <c r="A275" s="1504" t="s">
        <v>403</v>
      </c>
      <c r="B275" s="614">
        <v>2640</v>
      </c>
      <c r="C275" s="616"/>
      <c r="D275" s="466"/>
      <c r="E275" s="616"/>
      <c r="F275" s="616"/>
      <c r="G275" s="616"/>
      <c r="H275" s="616"/>
      <c r="I275" s="616"/>
      <c r="J275" s="616"/>
      <c r="K275" s="1671">
        <f>D275</f>
        <v>0</v>
      </c>
      <c r="L275" s="466"/>
    </row>
    <row r="276" spans="1:12" x14ac:dyDescent="0.2">
      <c r="A276" s="1504"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65945</v>
      </c>
      <c r="E279" s="616"/>
      <c r="F279" s="616"/>
      <c r="G279" s="616"/>
      <c r="H279" s="616"/>
      <c r="I279" s="616"/>
      <c r="J279" s="616"/>
      <c r="K279" s="1676">
        <f>SUM(K238,K243,K257,K261,K270,K277,K278)</f>
        <v>65945</v>
      </c>
      <c r="L279" s="1676">
        <f>SUM(L238,L243,L257,L261,L270,L277,L278)</f>
        <v>64292</v>
      </c>
    </row>
    <row r="280" spans="1:12" ht="15.75" customHeight="1" thickTop="1" thickBot="1" x14ac:dyDescent="0.25">
      <c r="A280" s="1624" t="s">
        <v>875</v>
      </c>
      <c r="B280" s="1613">
        <v>3000</v>
      </c>
      <c r="C280" s="616"/>
      <c r="D280" s="576">
        <v>10563</v>
      </c>
      <c r="E280" s="616"/>
      <c r="F280" s="616"/>
      <c r="G280" s="616"/>
      <c r="H280" s="616"/>
      <c r="I280" s="616"/>
      <c r="J280" s="616"/>
      <c r="K280" s="1678">
        <f>D280</f>
        <v>10563</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69">
        <f>SUM(D229,D279,D280,D285)</f>
        <v>134977</v>
      </c>
      <c r="E295" s="616"/>
      <c r="F295" s="616"/>
      <c r="G295" s="616"/>
      <c r="H295" s="1669">
        <f>H293</f>
        <v>0</v>
      </c>
      <c r="I295" s="616"/>
      <c r="J295" s="616"/>
      <c r="K295" s="1669">
        <f>SUM(K229,K279,K280,K285,K293,K294)</f>
        <v>134977</v>
      </c>
      <c r="L295" s="1669">
        <f>SUM(L229,L279,L280,L285,L293,L294)</f>
        <v>132312</v>
      </c>
    </row>
    <row r="296" spans="1:14" ht="13.5" thickTop="1" x14ac:dyDescent="0.2">
      <c r="A296" s="2154" t="s">
        <v>996</v>
      </c>
      <c r="B296" s="2155"/>
      <c r="C296" s="616"/>
      <c r="D296" s="618"/>
      <c r="E296" s="616"/>
      <c r="F296" s="616"/>
      <c r="G296" s="616"/>
      <c r="H296" s="687"/>
      <c r="I296" s="616"/>
      <c r="J296" s="616"/>
      <c r="K296" s="1683">
        <f>'Revenues 9-14'!G268-'Expenditures 15-22'!K295</f>
        <v>-8810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row>
    <row r="302" spans="1:14" ht="13.5" customHeight="1" x14ac:dyDescent="0.2">
      <c r="A302" s="1517"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5" t="s">
        <v>996</v>
      </c>
      <c r="B313" s="2166"/>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3" t="s">
        <v>1805</v>
      </c>
      <c r="B320" s="698" t="s">
        <v>282</v>
      </c>
      <c r="C320" s="467"/>
      <c r="D320" s="467"/>
      <c r="E320" s="467">
        <v>11857</v>
      </c>
      <c r="F320" s="467"/>
      <c r="G320" s="467"/>
      <c r="H320" s="467"/>
      <c r="I320" s="467"/>
      <c r="J320" s="467"/>
      <c r="K320" s="1670">
        <f t="shared" ref="K320:K327" si="24">SUM(C320:J320)</f>
        <v>11857</v>
      </c>
      <c r="L320" s="467">
        <v>20000</v>
      </c>
      <c r="M320" s="665"/>
      <c r="N320" s="665"/>
    </row>
    <row r="321" spans="1:14" s="674" customFormat="1" x14ac:dyDescent="0.2">
      <c r="A321" s="1519" t="s">
        <v>300</v>
      </c>
      <c r="B321" s="697" t="s">
        <v>283</v>
      </c>
      <c r="C321" s="467"/>
      <c r="D321" s="467"/>
      <c r="E321" s="467">
        <v>2945</v>
      </c>
      <c r="F321" s="467"/>
      <c r="G321" s="467"/>
      <c r="H321" s="467"/>
      <c r="I321" s="467"/>
      <c r="J321" s="467"/>
      <c r="K321" s="1670">
        <f t="shared" si="24"/>
        <v>2945</v>
      </c>
      <c r="L321" s="467">
        <v>15000</v>
      </c>
      <c r="M321" s="665"/>
      <c r="N321" s="665"/>
    </row>
    <row r="322" spans="1:14" s="674" customFormat="1" x14ac:dyDescent="0.2">
      <c r="A322" s="1519" t="s">
        <v>238</v>
      </c>
      <c r="B322" s="697" t="s">
        <v>284</v>
      </c>
      <c r="C322" s="467"/>
      <c r="D322" s="467"/>
      <c r="E322" s="467">
        <v>740</v>
      </c>
      <c r="F322" s="467"/>
      <c r="G322" s="467"/>
      <c r="H322" s="467"/>
      <c r="I322" s="467"/>
      <c r="J322" s="467"/>
      <c r="K322" s="1670">
        <f t="shared" si="24"/>
        <v>740</v>
      </c>
      <c r="L322" s="467">
        <v>19250</v>
      </c>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9" t="s">
        <v>1029</v>
      </c>
      <c r="B325" s="698" t="s">
        <v>287</v>
      </c>
      <c r="C325" s="467">
        <v>82430</v>
      </c>
      <c r="D325" s="467">
        <v>13139</v>
      </c>
      <c r="E325" s="467"/>
      <c r="F325" s="467"/>
      <c r="G325" s="467"/>
      <c r="H325" s="467"/>
      <c r="I325" s="467"/>
      <c r="J325" s="467"/>
      <c r="K325" s="1670">
        <f t="shared" si="24"/>
        <v>95569</v>
      </c>
      <c r="L325" s="467">
        <v>72575</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0">
        <f t="shared" si="24"/>
        <v>0</v>
      </c>
      <c r="L327" s="467">
        <v>2500</v>
      </c>
      <c r="M327" s="665"/>
      <c r="N327" s="665"/>
    </row>
    <row r="328" spans="1:14" s="674" customFormat="1" x14ac:dyDescent="0.2">
      <c r="A328" s="1520" t="s">
        <v>472</v>
      </c>
      <c r="B328" s="690" t="s">
        <v>1132</v>
      </c>
      <c r="C328" s="474"/>
      <c r="D328" s="474"/>
      <c r="E328" s="474">
        <v>18818</v>
      </c>
      <c r="F328" s="474"/>
      <c r="G328" s="474"/>
      <c r="H328" s="474"/>
      <c r="I328" s="474"/>
      <c r="J328" s="474"/>
      <c r="K328" s="1698">
        <f>SUM(C328:J328)</f>
        <v>18818</v>
      </c>
      <c r="L328" s="474"/>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82430</v>
      </c>
      <c r="D330" s="1669">
        <f t="shared" ref="D330:J330" si="25">SUM(D319:D329)</f>
        <v>13139</v>
      </c>
      <c r="E330" s="1669">
        <f t="shared" si="25"/>
        <v>34360</v>
      </c>
      <c r="F330" s="1669">
        <f t="shared" si="25"/>
        <v>0</v>
      </c>
      <c r="G330" s="1669">
        <f t="shared" si="25"/>
        <v>0</v>
      </c>
      <c r="H330" s="1669">
        <f t="shared" si="25"/>
        <v>0</v>
      </c>
      <c r="I330" s="1669">
        <f t="shared" si="25"/>
        <v>0</v>
      </c>
      <c r="J330" s="1669">
        <f t="shared" si="25"/>
        <v>0</v>
      </c>
      <c r="K330" s="1669">
        <f>SUM(K319:K329)</f>
        <v>129929</v>
      </c>
      <c r="L330" s="1669">
        <f>SUM(L319:L329)</f>
        <v>129325</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82430</v>
      </c>
      <c r="D342" s="1669">
        <f>SUM(D330)</f>
        <v>13139</v>
      </c>
      <c r="E342" s="1669">
        <f>SUM(E330)</f>
        <v>34360</v>
      </c>
      <c r="F342" s="1669">
        <f>SUM(F330)</f>
        <v>0</v>
      </c>
      <c r="G342" s="1669">
        <f>SUM(G330)</f>
        <v>0</v>
      </c>
      <c r="H342" s="1669">
        <f>SUM(H330,H334,H340)</f>
        <v>0</v>
      </c>
      <c r="I342" s="1669">
        <f>SUM(I330)</f>
        <v>0</v>
      </c>
      <c r="J342" s="1669">
        <f>SUM(J330)</f>
        <v>0</v>
      </c>
      <c r="K342" s="1669">
        <f>SUM(K330,K334,K340)</f>
        <v>129929</v>
      </c>
      <c r="L342" s="1676">
        <f>SUM(L330,L340,L341)</f>
        <v>129325</v>
      </c>
    </row>
    <row r="343" spans="1:14" ht="12.75" customHeight="1" thickTop="1" x14ac:dyDescent="0.2">
      <c r="A343" s="2167" t="s">
        <v>996</v>
      </c>
      <c r="B343" s="2168"/>
      <c r="C343" s="616"/>
      <c r="D343" s="616"/>
      <c r="E343" s="616"/>
      <c r="F343" s="616"/>
      <c r="G343" s="616"/>
      <c r="H343" s="616"/>
      <c r="I343" s="616"/>
      <c r="J343" s="616"/>
      <c r="K343" s="1683">
        <f>'Revenues 9-14'!J268-'Expenditures 15-22'!K342</f>
        <v>-15738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row>
    <row r="349" spans="1:14" x14ac:dyDescent="0.2">
      <c r="A349" s="1504" t="s">
        <v>197</v>
      </c>
      <c r="B349" s="614">
        <v>2540</v>
      </c>
      <c r="C349" s="466"/>
      <c r="D349" s="466"/>
      <c r="E349" s="466"/>
      <c r="F349" s="466"/>
      <c r="G349" s="466"/>
      <c r="H349" s="466"/>
      <c r="I349" s="467"/>
      <c r="J349" s="467"/>
      <c r="K349" s="1670">
        <f>SUM(C349:J349)</f>
        <v>0</v>
      </c>
      <c r="L349" s="466">
        <v>3500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3500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3500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row>
    <row r="355" spans="1:14" ht="12.75" customHeight="1" x14ac:dyDescent="0.2">
      <c r="A355" s="1513" t="s">
        <v>1853</v>
      </c>
      <c r="B355" s="690" t="s">
        <v>1846</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3500</v>
      </c>
    </row>
    <row r="368" spans="1:14" ht="13.5" thickTop="1" x14ac:dyDescent="0.2">
      <c r="A368" s="2154" t="s">
        <v>996</v>
      </c>
      <c r="B368" s="2155"/>
      <c r="C368" s="654"/>
      <c r="D368" s="654"/>
      <c r="E368" s="626"/>
      <c r="F368" s="626"/>
      <c r="G368" s="626"/>
      <c r="H368" s="626"/>
      <c r="I368" s="626"/>
      <c r="J368" s="623"/>
      <c r="K368" s="1670">
        <f>'Revenues 9-14'!K268-'Expenditures 15-22'!K367</f>
        <v>3861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purl.org/dc/dcmitype/"/>
    <ds:schemaRef ds:uri="http://schemas.microsoft.com/office/2006/metadata/properties"/>
    <ds:schemaRef ds:uri="http://schemas.microsoft.com/office/2006/documentManagement/types"/>
    <ds:schemaRef ds:uri="http://schemas.microsoft.com/sharepoint/v3"/>
    <ds:schemaRef ds:uri="http://schemas.microsoft.com/office/infopath/2007/PartnerControls"/>
    <ds:schemaRef ds:uri="http://purl.org/dc/elements/1.1/"/>
    <ds:schemaRef ds:uri="http://schemas.openxmlformats.org/package/2006/metadata/core-properties"/>
    <ds:schemaRef ds:uri="4d435f69-8686-490b-bd6d-b153bf22ab50"/>
    <ds:schemaRef ds:uri="6ce3111e-7420-4802-b50a-75d4e9a0b98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2019-10-08T20:06:09Z</cp:lastPrinted>
  <dcterms:created xsi:type="dcterms:W3CDTF">2003-10-29T19:06:34Z</dcterms:created>
  <dcterms:modified xsi:type="dcterms:W3CDTF">2019-11-08T17:22:03Z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