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D7A65B6-6737-4137-820C-AD349C83C8C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G39" i="3" l="1"/>
  <c r="C24" i="4" l="1"/>
  <c r="G4" i="3"/>
  <c r="D267" i="29"/>
  <c r="D264" i="29"/>
  <c r="D259" i="29"/>
  <c r="D246" i="29"/>
  <c r="D245" i="29"/>
  <c r="D217" i="29"/>
  <c r="D215" i="29"/>
  <c r="F182" i="29" l="1"/>
  <c r="C4" i="3"/>
  <c r="C49" i="29" l="1"/>
  <c r="M19" i="3" l="1"/>
  <c r="D13" i="11"/>
  <c r="D10" i="1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D26" i="108"/>
  <c r="E26" i="108"/>
  <c r="F26" i="108"/>
  <c r="G26" i="108"/>
  <c r="E27" i="108"/>
  <c r="G27" i="108"/>
  <c r="E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D11" i="37" l="1"/>
  <c r="D68" i="36"/>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4" i="36" l="1"/>
  <c r="F41" i="108"/>
  <c r="G43" i="108" s="1"/>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3" i="106"/>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<sst xmlns="http://schemas.openxmlformats.org/spreadsheetml/2006/main" count="5068" uniqueCount="2096">
  <si>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</si>
  <si>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</si>
  <si>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</si>
  <si>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</si>
  <si>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</si>
  <si>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</si>
  <si>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</si>
  <si>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</si>
  <si>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</si>
  <si>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</si>
  <si>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</si>
  <si>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</si>
  <si>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</si>
  <si>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</si>
  <si>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</si>
  <si>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</si>
  <si>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</si>
  <si>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</si>
  <si>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</si>
  <si>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</si>
  <si>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</si>
  <si>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</si>
  <si>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</si>
  <si>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</si>
  <si>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</si>
  <si>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</si>
  <si>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</si>
  <si>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</si>
  <si>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</si>
  <si>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</si>
  <si>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</si>
  <si>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</si>
  <si>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</si>
  <si>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</si>
  <si>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</si>
  <si>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</si>
  <si>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</si>
  <si>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</si>
  <si>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</si>
  <si>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</si>
  <si>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</si>
  <si>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</si>
  <si>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</si>
  <si>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</si>
  <si>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</si>
  <si>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</si>
  <si>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</si>
  <si>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</si>
  <si>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</si>
  <si>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</si>
  <si>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</si>
  <si>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</si>
  <si>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</si>
  <si>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</si>
  <si>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</si>
  <si>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</si>
  <si>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</si>
  <si>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</si>
  <si>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</si>
  <si>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</si>
  <si>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</si>
  <si>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</si>
  <si>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</si>
  <si>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</si>
  <si>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</si>
  <si>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</si>
  <si>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</si>
  <si>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</si>
  <si>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</si>
  <si>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</si>
  <si>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</si>
  <si>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</si>
  <si>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</si>
  <si>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</si>
  <si>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</si>
  <si>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</si>
  <si>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</si>
  <si>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</si>
  <si>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</si>
  <si>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</si>
  <si>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</si>
  <si>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</si>
  <si>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</si>
  <si>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</si>
  <si>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</si>
  <si>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</si>
  <si>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</si>
  <si>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</si>
  <si>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</si>
  <si>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</si>
  <si>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</si>
  <si>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</si>
  <si>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</si>
  <si>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</si>
  <si>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</si>
  <si>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</si>
  <si>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</si>
  <si>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</si>
  <si>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</si>
  <si>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</si>
  <si>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</si>
  <si>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</si>
  <si>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</si>
  <si>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</si>
  <si>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</si>
  <si>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</si>
  <si>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</si>
  <si>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</si>
  <si>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</si>
  <si>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</si>
  <si>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</si>
  <si>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</si>
  <si>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</si>
  <si>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</si>
  <si>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</si>
  <si>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</si>
  <si>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</si>
  <si>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</si>
  <si>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</si>
  <si>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</si>
  <si>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</si>
  <si>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</si>
  <si>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</si>
  <si>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</si>
  <si>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</si>
  <si>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</si>
  <si>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</si>
  <si>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</si>
  <si>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</si>
  <si>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</si>
  <si>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</si>
  <si>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</si>
  <si>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</si>
  <si>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</si>
  <si>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</si>
  <si>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</si>
  <si>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</si>
  <si>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</si>
  <si>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</si>
  <si>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</si>
  <si>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</si>
  <si>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</si>
  <si>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</si>
  <si>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</si>
  <si>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</si>
  <si>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</si>
  <si>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</si>
  <si>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</si>
  <si>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</si>
  <si>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</si>
  <si>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</si>
  <si>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</si>
  <si>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</si>
  <si>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</si>
  <si>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</si>
  <si>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</si>
  <si>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</si>
  <si>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</si>
  <si>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</si>
  <si>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</si>
  <si>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</si>
  <si>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</si>
  <si>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</si>
  <si>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</si>
  <si>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</si>
  <si>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</si>
  <si>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</si>
  <si>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</si>
  <si>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</si>
  <si>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</si>
  <si>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</si>
  <si>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</si>
  <si>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</si>
  <si>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</si>
  <si>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</si>
  <si>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</si>
  <si>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</si>
  <si>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</si>
  <si>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</si>
  <si>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</si>
  <si>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</si>
  <si>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</si>
  <si>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</si>
  <si>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</si>
  <si>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</si>
  <si>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</si>
  <si>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</si>
  <si>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</si>
  <si>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</si>
  <si>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</si>
  <si>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</si>
  <si>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</si>
  <si>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</si>
  <si>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</si>
  <si>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</si>
  <si>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</si>
  <si>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</si>
  <si>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</si>
  <si>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</si>
  <si>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</si>
  <si>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</si>
  <si>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</si>
  <si>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</si>
  <si>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</si>
  <si>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</si>
  <si>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</si>
  <si>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</si>
  <si>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</si>
  <si>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</si>
  <si>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</si>
  <si>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</si>
  <si>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</si>
  <si>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</si>
  <si>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</si>
  <si>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</si>
  <si>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</si>
  <si>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</si>
  <si>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</si>
  <si>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</si>
  <si>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</si>
  <si>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</si>
  <si>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</si>
  <si>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</si>
  <si>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</si>
  <si>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</si>
  <si>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</si>
  <si>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</si>
  <si>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</si>
  <si>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</si>
  <si>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</si>
  <si>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</si>
  <si>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</si>
  <si>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</si>
  <si>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</si>
  <si>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</si>
  <si>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</si>
  <si>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</si>
  <si>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</si>
  <si>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</si>
  <si>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</si>
  <si>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</si>
  <si>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</si>
  <si>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</si>
  <si>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</si>
  <si>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</si>
  <si>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</si>
  <si>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</si>
  <si>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</si>
  <si>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</si>
  <si>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</si>
  <si>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</si>
  <si>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</si>
  <si>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</si>
  <si>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</si>
  <si>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</si>
  <si>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</si>
  <si>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</si>
  <si>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</si>
  <si>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</si>
  <si>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</si>
  <si>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</si>
  <si>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</si>
  <si>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</si>
  <si>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</si>
  <si>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</si>
  <si>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</si>
  <si>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</si>
  <si>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</si>
  <si>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</si>
  <si>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</si>
  <si>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</si>
  <si>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</si>
  <si>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</si>
  <si>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</si>
  <si>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</si>
  <si>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</si>
  <si>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</si>
  <si>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</si>
  <si>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</si>
  <si>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</si>
  <si>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</si>
  <si>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</si>
  <si>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</si>
  <si>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</si>
  <si>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</si>
  <si>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</si>
  <si>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</si>
  <si>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</si>
  <si>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</si>
  <si>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</si>
  <si>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</si>
  <si>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</si>
  <si>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</si>
  <si>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</si>
  <si>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</si>
  <si>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</si>
  <si>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</si>
  <si>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</si>
  <si>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</si>
  <si>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</si>
  <si>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</si>
  <si>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</si>
  <si>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</si>
  <si>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</si>
  <si>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</si>
  <si>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</si>
  <si>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</si>
  <si>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</si>
  <si>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</si>
  <si>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</si>
  <si>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</si>
  <si>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</si>
  <si>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</si>
  <si>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</si>
  <si>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</si>
  <si>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</si>
  <si>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</si>
  <si>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</si>
  <si>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</si>
  <si>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</si>
  <si>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</si>
  <si>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</si>
  <si>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</si>
  <si>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</si>
  <si>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</si>
  <si>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</si>
  <si>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</si>
  <si>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</si>
  <si>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</si>
  <si>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</si>
  <si>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</si>
  <si>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</si>
  <si>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</si>
  <si>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</si>
  <si>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</si>
  <si>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</si>
  <si>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</si>
  <si>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</si>
  <si>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</si>
  <si>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</si>
  <si>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</si>
  <si>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</si>
  <si>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</si>
  <si>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</si>
  <si>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</si>
  <si>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</si>
  <si>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</si>
  <si>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</si>
  <si>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</si>
  <si>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</si>
  <si>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</si>
  <si>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</si>
  <si>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</si>
  <si>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</si>
  <si>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</si>
  <si>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</si>
  <si>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</si>
  <si>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</si>
  <si>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</si>
  <si>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</si>
  <si>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</si>
  <si>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</si>
  <si>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</si>
  <si>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</si>
  <si>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</si>
  <si>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</si>
  <si>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</si>
  <si>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</si>
  <si>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</si>
  <si>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</si>
  <si>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</si>
  <si>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</si>
  <si>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</si>
  <si>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</si>
  <si>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</si>
  <si>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</si>
  <si>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</si>
  <si>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</si>
  <si>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</si>
  <si>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</si>
  <si>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</si>
  <si>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</si>
  <si>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</si>
  <si>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</si>
  <si>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</si>
  <si>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</si>
  <si>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</si>
  <si>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</si>
  <si>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</si>
  <si>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</si>
  <si>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</si>
  <si>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</si>
  <si>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</si>
  <si>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</si>
  <si>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</si>
  <si>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</si>
  <si>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</si>
  <si>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</si>
  <si>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</si>
  <si>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</si>
  <si>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</si>
  <si>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</si>
  <si>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</si>
  <si>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</si>
  <si>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</si>
  <si>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</si>
  <si>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</si>
  <si>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</si>
  <si>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</si>
  <si>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</si>
  <si>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</si>
  <si>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</si>
  <si>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</si>
  <si>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</si>
  <si>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</si>
  <si>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</si>
  <si>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</si>
  <si>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</si>
  <si>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</si>
  <si>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</si>
  <si>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</si>
  <si>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</si>
  <si>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</si>
  <si>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</si>
  <si>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</si>
  <si>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</si>
  <si>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</si>
  <si>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</si>
  <si>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</si>
  <si>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</si>
  <si>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</si>
  <si>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</si>
  <si>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</si>
  <si>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</si>
  <si>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</si>
  <si>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</si>
  <si>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</si>
  <si>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</si>
  <si>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</si>
  <si>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</si>
  <si>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</si>
  <si>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</si>
  <si>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</si>
  <si>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</si>
  <si>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</si>
  <si>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</si>
  <si>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</si>
  <si>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</si>
  <si>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</si>
  <si>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</si>
  <si>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</si>
  <si>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</si>
  <si>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</si>
  <si>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</si>
  <si>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</si>
  <si>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</si>
  <si>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</si>
  <si>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</si>
  <si>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</si>
  <si>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</si>
  <si>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</si>
  <si>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</si>
  <si>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</si>
  <si>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</si>
  <si>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</si>
  <si>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</si>
  <si>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</si>
  <si>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</si>
  <si>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</si>
  <si>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</si>
  <si>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</si>
  <si>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</si>
  <si>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</si>
  <si>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</si>
  <si>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</si>
  <si>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</si>
  <si>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</si>
  <si>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</si>
  <si>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</si>
  <si>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</si>
  <si>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</si>
  <si>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</si>
  <si>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</si>
  <si>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</si>
  <si>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</si>
  <si>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</si>
  <si>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</si>
  <si>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</si>
  <si>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</si>
  <si>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</si>
  <si>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</si>
  <si>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</si>
  <si>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</si>
  <si>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</si>
  <si>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</si>
  <si>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</si>
  <si>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</si>
  <si>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</si>
  <si>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</si>
  <si>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</si>
  <si>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</si>
  <si>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</si>
  <si>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</si>
  <si>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</si>
  <si>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</si>
  <si>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</si>
  <si>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</si>
  <si>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</si>
  <si>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</si>
  <si>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</si>
  <si>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</si>
  <si>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</si>
  <si>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</si>
  <si>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</si>
  <si>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</si>
  <si>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</si>
  <si>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</si>
  <si>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</si>
  <si>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</si>
  <si>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</si>
  <si>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</si>
  <si>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</si>
  <si>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</si>
  <si>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</si>
  <si>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</si>
  <si>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</si>
  <si>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</si>
  <si>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</si>
  <si>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</si>
  <si>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</si>
  <si>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</si>
  <si>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</si>
  <si>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</si>
  <si>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</si>
  <si>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</si>
  <si>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</si>
  <si>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</si>
  <si>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</si>
  <si>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</si>
  <si>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</si>
  <si>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</si>
  <si>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</si>
  <si>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</si>
  <si>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</si>
  <si>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</si>
  <si>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</si>
  <si>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</si>
  <si>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</si>
  <si>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</si>
  <si>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</si>
  <si>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</si>
  <si>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</si>
  <si>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</si>
  <si>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</si>
  <si>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</si>
  <si>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</si>
  <si>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</si>
  <si>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</si>
  <si>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</si>
  <si>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</si>
  <si>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</si>
  <si>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</si>
  <si>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</si>
  <si>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</si>
  <si>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</si>
  <si>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</si>
  <si>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</si>
  <si>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</si>
  <si>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</si>
  <si>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</si>
  <si>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</si>
  <si>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</si>
  <si>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</si>
  <si>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</si>
  <si>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</si>
  <si>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</si>
  <si>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</si>
  <si>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</si>
  <si>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</si>
  <si>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</si>
  <si>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</si>
  <si>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</si>
  <si>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</si>
  <si>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</si>
  <si>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</si>
  <si>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</si>
  <si>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</si>
  <si>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</si>
  <si>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</si>
  <si>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</si>
  <si>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</si>
  <si>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</si>
  <si>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</si>
  <si>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</si>
  <si>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</si>
  <si>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</si>
  <si>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</si>
  <si>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</si>
  <si>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</si>
  <si>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</si>
  <si>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</si>
  <si>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</si>
  <si>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</si>
  <si>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</si>
  <si>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</si>
  <si>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</si>
  <si>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</si>
  <si>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</si>
  <si>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</si>
  <si>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</si>
  <si>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</si>
  <si>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</si>
  <si>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</si>
  <si>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</si>
  <si>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</si>
  <si>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</si>
  <si>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</si>
  <si>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</si>
  <si>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</si>
  <si>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</si>
  <si>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</si>
  <si>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</si>
  <si>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</si>
  <si>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</si>
  <si>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</si>
  <si>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</si>
  <si>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</si>
  <si>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</si>
  <si>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</si>
  <si>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</si>
  <si>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</si>
  <si>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</si>
  <si>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</si>
  <si>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</si>
  <si>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</si>
  <si>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</si>
  <si>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</si>
  <si>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</si>
  <si>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</si>
  <si>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</si>
  <si>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</si>
  <si>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</si>
  <si>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</si>
  <si>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</si>
  <si>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</si>
  <si>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</si>
  <si>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</si>
  <si>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</si>
  <si>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</si>
  <si>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</si>
  <si>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</si>
  <si>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</si>
  <si>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</si>
  <si>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</si>
  <si>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</si>
  <si>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</si>
  <si>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</si>
  <si>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</si>
  <si>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</si>
  <si>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</si>
  <si>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</si>
  <si>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</si>
  <si>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</si>
  <si>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</si>
  <si>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</si>
  <si>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</si>
  <si>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</si>
  <si>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</si>
  <si>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</si>
  <si>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</si>
  <si>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</si>
  <si>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</si>
  <si>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</si>
  <si>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</si>
  <si>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</si>
  <si>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</si>
  <si>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</si>
  <si>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</si>
  <si>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</si>
  <si>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</si>
  <si>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</si>
  <si>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</si>
  <si>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</si>
  <si>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</si>
  <si>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</si>
  <si>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</si>
  <si>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</si>
  <si>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</si>
  <si>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</si>
  <si>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</si>
  <si>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</si>
  <si>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</si>
  <si>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</si>
  <si>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</si>
  <si>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</si>
  <si>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</si>
  <si>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</si>
  <si>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</si>
  <si>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</si>
  <si>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</si>
  <si>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</si>
  <si>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</si>
  <si>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</si>
  <si>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</si>
  <si>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</si>
  <si>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</si>
  <si>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</si>
  <si>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</si>
  <si>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</si>
  <si>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</si>
  <si>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</si>
  <si>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</si>
  <si>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</si>
  <si>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</si>
  <si>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</si>
  <si>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</si>
  <si>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</si>
  <si>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</si>
  <si>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</si>
  <si>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</si>
  <si>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</si>
  <si>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</si>
  <si>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</si>
  <si>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</si>
  <si>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</si>
  <si>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</si>
  <si>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</si>
  <si>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</si>
  <si>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</si>
  <si>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</si>
  <si>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</si>
  <si>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</si>
  <si>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</si>
  <si>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</si>
  <si>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</si>
  <si>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</si>
  <si>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</si>
  <si>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</si>
  <si>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</si>
  <si>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</si>
  <si>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</si>
  <si>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</si>
  <si>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</si>
  <si>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</si>
  <si>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</si>
  <si>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</si>
  <si>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</si>
  <si>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</si>
  <si>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</si>
  <si>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</si>
  <si>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</si>
  <si>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</si>
  <si>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</si>
  <si>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</si>
  <si>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</si>
  <si>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</si>
  <si>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</si>
  <si>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</si>
  <si>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</si>
  <si>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</si>
  <si>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</si>
  <si>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</si>
  <si>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</si>
  <si>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</si>
  <si>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</si>
  <si>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</si>
  <si>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</si>
  <si>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</si>
  <si>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</si>
  <si>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</si>
  <si>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</si>
  <si>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</si>
  <si>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</si>
  <si>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</si>
  <si>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</si>
  <si>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</si>
  <si>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</si>
  <si>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</si>
  <si>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</si>
  <si>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</si>
  <si>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</si>
  <si>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</si>
  <si>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</si>
  <si>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</si>
  <si>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</si>
  <si>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</si>
  <si>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</si>
  <si>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</si>
  <si>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</si>
  <si>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</si>
  <si>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</si>
  <si>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</si>
  <si>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</si>
  <si>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</si>
  <si>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</si>
  <si>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</si>
  <si>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</si>
  <si>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</si>
  <si>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</si>
  <si>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</si>
  <si>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</si>
  <si>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</si>
  <si>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</si>
  <si>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</si>
  <si>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</si>
  <si>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</si>
  <si>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</si>
  <si>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</si>
  <si>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</si>
  <si>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</si>
  <si>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</si>
  <si>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</si>
  <si>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</si>
  <si>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</si>
  <si>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</si>
  <si>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</si>
  <si>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</si>
  <si>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</si>
  <si>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</si>
  <si>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</si>
  <si>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</si>
  <si>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</si>
  <si>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</si>
  <si>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</si>
  <si>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</si>
  <si>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</si>
  <si>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</si>
  <si>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</si>
  <si>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</si>
  <si>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</si>
  <si>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</si>
  <si>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</si>
  <si>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</si>
  <si>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</si>
  <si>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</si>
  <si>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</si>
  <si>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</si>
  <si>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</si>
  <si>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</si>
  <si>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</si>
  <si>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</si>
  <si>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</si>
  <si>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</si>
  <si>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</si>
  <si>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</si>
  <si>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</si>
  <si>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</si>
  <si>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</si>
  <si>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</si>
  <si>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</si>
  <si>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</si>
  <si>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</si>
  <si>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</si>
  <si>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</si>
  <si>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</si>
  <si>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</si>
  <si>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</si>
  <si>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</si>
  <si>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</si>
  <si>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</si>
  <si>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</si>
  <si>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</si>
  <si>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</si>
  <si>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</si>
  <si>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</si>
  <si>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</si>
  <si>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</si>
  <si>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</si>
  <si>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</si>
  <si>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</si>
  <si>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</si>
  <si>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</si>
  <si>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</si>
  <si>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</si>
  <si>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</si>
  <si>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</si>
  <si>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</si>
  <si>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</si>
  <si>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</si>
  <si>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</si>
  <si>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</si>
  <si>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</si>
  <si>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</si>
  <si>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</si>
  <si>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</si>
  <si>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</si>
  <si>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</si>
  <si>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</si>
  <si>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</si>
  <si>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</si>
  <si>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</si>
  <si>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</si>
  <si>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</si>
  <si>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</si>
  <si>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</si>
  <si>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</si>
  <si>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</si>
  <si>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</si>
  <si>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</si>
  <si>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</si>
  <si>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</si>
  <si>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</si>
  <si>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</si>
  <si>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</si>
  <si>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</si>
  <si>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</si>
  <si>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</si>
  <si>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</si>
  <si>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</si>
  <si>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</si>
  <si>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</si>
  <si>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</si>
  <si>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</si>
  <si>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</si>
  <si>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</si>
  <si>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</si>
  <si>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</si>
  <si>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</si>
  <si>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</si>
  <si>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</si>
  <si>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</si>
  <si>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</si>
  <si>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</si>
  <si>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</si>
  <si>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</si>
  <si>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</si>
  <si>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</si>
  <si>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</si>
  <si>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</si>
  <si>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</si>
  <si>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</si>
  <si>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</si>
  <si>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</si>
  <si>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</si>
  <si>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</si>
  <si>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</si>
  <si>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</si>
  <si>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</si>
  <si>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</si>
  <si>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</si>
  <si>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</si>
  <si>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</si>
  <si>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</si>
  <si>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</si>
  <si>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</si>
  <si>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</si>
  <si>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</si>
  <si>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</si>
  <si>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</si>
  <si>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</si>
  <si>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</si>
  <si>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</si>
  <si>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</si>
  <si>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</si>
  <si>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</si>
  <si>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</si>
  <si>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</si>
  <si>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</si>
  <si>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</si>
  <si>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</si>
  <si>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</si>
  <si>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</si>
  <si>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</si>
  <si>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</si>
  <si>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</si>
  <si>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</si>
  <si>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</si>
  <si>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</si>
  <si>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</si>
  <si>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</si>
  <si>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</si>
  <si>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</si>
  <si>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</si>
  <si>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</si>
  <si>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</si>
  <si>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</si>
  <si>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</si>
  <si>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</si>
  <si>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</si>
  <si>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</si>
  <si>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</si>
  <si>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</si>
  <si>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</si>
  <si>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</si>
  <si>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</si>
  <si>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</si>
  <si>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</si>
  <si>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</si>
  <si>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</si>
  <si>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</si>
  <si>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</si>
  <si>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</si>
  <si>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</si>
  <si>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</si>
  <si>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</si>
  <si>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</si>
  <si>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</si>
  <si>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</si>
  <si>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</si>
  <si>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</si>
  <si>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</si>
  <si>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</si>
  <si>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</si>
  <si>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</si>
  <si>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</si>
  <si>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</si>
  <si>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</si>
  <si>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</si>
  <si>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</si>
  <si>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</si>
  <si>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</si>
  <si>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</si>
  <si>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</si>
  <si>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</si>
  <si>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</si>
  <si>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</si>
  <si>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</si>
  <si>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</si>
  <si>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</si>
  <si>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</si>
  <si>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</si>
  <si>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</si>
  <si>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</si>
  <si>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</si>
  <si>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</si>
  <si>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</si>
  <si>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</si>
  <si>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</si>
  <si>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</si>
  <si>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</si>
  <si>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</si>
  <si>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</si>
  <si>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</si>
  <si>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</si>
  <si>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</si>
  <si>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</si>
  <si>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</si>
  <si>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</si>
  <si>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</si>
  <si>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</si>
  <si>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</si>
  <si>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</si>
  <si>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</si>
  <si>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</si>
  <si>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</si>
  <si>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</si>
  <si>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</si>
  <si>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</si>
  <si>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</si>
  <si>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</si>
  <si>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</si>
  <si>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</si>
  <si>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</si>
  <si>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</si>
  <si>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</si>
  <si>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</si>
  <si>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</si>
  <si>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</si>
  <si>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</si>
  <si>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</si>
  <si>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</si>
  <si>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</si>
  <si>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</si>
  <si>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</si>
  <si>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</si>
  <si>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</si>
  <si>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</si>
  <si>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</si>
  <si>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</si>
  <si>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</si>
  <si>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</si>
  <si>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</si>
  <si>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</si>
  <si>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</si>
  <si>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</si>
  <si>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</si>
  <si>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</si>
  <si>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</si>
  <si>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</si>
  <si>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</si>
  <si>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</si>
  <si>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</si>
  <si>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</si>
  <si>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</si>
  <si>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</si>
  <si>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</si>
  <si>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</si>
  <si>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</si>
  <si>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</si>
  <si>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</si>
  <si>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</si>
  <si>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</si>
  <si>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</si>
  <si>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</si>
  <si>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</si>
  <si>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</si>
  <si>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</si>
  <si>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</si>
  <si>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</si>
  <si>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</si>
  <si>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</si>
  <si>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</si>
  <si>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</si>
  <si>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</si>
  <si>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</si>
  <si>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</si>
  <si>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</si>
  <si>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</si>
  <si>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</si>
  <si>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</si>
  <si>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</si>
  <si>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</si>
  <si>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</si>
  <si>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</si>
  <si>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</si>
  <si>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</si>
  <si>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</si>
  <si>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</si>
  <si>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</si>
  <si>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</si>
  <si>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</si>
  <si>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</si>
  <si>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</si>
  <si>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</si>
  <si>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</si>
  <si>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</si>
  <si>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</si>
  <si>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</si>
  <si>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</si>
  <si>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</si>
  <si>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</si>
  <si>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</si>
  <si>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</si>
  <si>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</si>
  <si>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</si>
  <si>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</si>
  <si>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</si>
  <si>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</si>
  <si>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</si>
  <si>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</si>
  <si>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</si>
  <si>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</si>
  <si>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</si>
  <si>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</si>
  <si>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</si>
  <si>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</si>
  <si>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</si>
  <si>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</si>
  <si>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</si>
  <si>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</si>
  <si>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</si>
  <si>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</si>
  <si>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</si>
  <si>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</si>
  <si>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</si>
  <si>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</si>
  <si>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</si>
  <si>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</si>
  <si>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</si>
  <si>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</si>
  <si>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</si>
  <si>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</si>
  <si>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</si>
  <si>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</si>
  <si>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</si>
  <si>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</si>
  <si>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</si>
  <si>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</si>
  <si>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</si>
  <si>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</si>
  <si>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</si>
  <si>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</si>
  <si>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</si>
  <si>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</si>
  <si>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</si>
  <si>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</si>
  <si>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</si>
  <si>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</si>
  <si>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</si>
  <si>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</si>
  <si>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</si>
  <si>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</si>
  <si>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</si>
  <si>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</si>
  <si>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</si>
  <si>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</si>
  <si>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</si>
  <si>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</si>
  <si>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</si>
  <si>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</si>
  <si>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</si>
  <si>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</si>
  <si>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</si>
  <si>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</si>
  <si>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</si>
  <si>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</si>
  <si>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</si>
  <si>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</si>
  <si>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</si>
  <si>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</si>
  <si>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</si>
  <si>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</si>
  <si>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</si>
  <si>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</si>
  <si>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</si>
  <si>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</si>
  <si>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</si>
  <si>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</si>
  <si>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</si>
  <si>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</si>
  <si>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</si>
  <si>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</si>
  <si>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</si>
  <si>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</si>
  <si>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</si>
  <si>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</si>
  <si>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</si>
  <si>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</si>
  <si>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</si>
  <si>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</si>
  <si>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</si>
  <si>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</si>
  <si>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</si>
  <si>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</si>
  <si>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</si>
  <si>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</si>
  <si>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</si>
  <si>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</si>
  <si>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</si>
  <si>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</si>
  <si>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</si>
  <si>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</si>
  <si>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</si>
  <si>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</si>
  <si>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</si>
  <si>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</si>
  <si>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</si>
  <si>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</si>
  <si>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</si>
  <si>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</si>
  <si>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</si>
  <si>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</si>
  <si>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</si>
  <si>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</si>
  <si>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</si>
  <si>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</si>
  <si>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</si>
  <si>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</si>
  <si>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</si>
  <si>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</si>
  <si>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</si>
  <si>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</si>
  <si>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</si>
  <si>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</si>
  <si>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</si>
  <si>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</si>
  <si>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</si>
  <si>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</si>
  <si>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</si>
  <si>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</si>
  <si>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</si>
  <si>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</si>
  <si>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</si>
  <si>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</si>
  <si>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</si>
  <si>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</si>
  <si>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</si>
  <si>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</si>
  <si>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</si>
  <si>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</si>
  <si>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</si>
  <si>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</si>
  <si>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</si>
  <si>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</si>
  <si>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</si>
  <si>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</si>
  <si>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</si>
  <si>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</si>
  <si>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</si>
  <si>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</si>
  <si>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</si>
  <si>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</si>
  <si>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</si>
  <si>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</si>
  <si>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</si>
  <si>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</si>
  <si>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</si>
  <si>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</si>
  <si>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</si>
  <si>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</si>
  <si>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</si>
  <si>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</si>
  <si>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</si>
  <si>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</si>
  <si>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</si>
  <si>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</si>
  <si>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</si>
  <si>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</si>
  <si>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</si>
  <si>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</si>
  <si>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</si>
  <si>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</si>
  <si>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</si>
  <si>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</si>
  <si>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</si>
  <si>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</si>
  <si>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</si>
  <si>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</si>
  <si>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</si>
  <si>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</si>
  <si>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</si>
  <si>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</si>
  <si>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</si>
  <si>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</si>
  <si>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</si>
  <si>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</si>
  <si>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</si>
  <si>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</si>
  <si>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</si>
  <si>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</si>
  <si>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</si>
  <si>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</si>
  <si>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</si>
  <si>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</si>
  <si>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</si>
  <si>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</si>
  <si>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</si>
  <si>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</si>
  <si>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</si>
  <si>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</si>
  <si>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</si>
  <si>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</si>
  <si>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</si>
  <si>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</si>
  <si>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</si>
  <si>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</si>
  <si>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</si>
  <si>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</si>
  <si>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</si>
  <si>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</si>
  <si>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</si>
  <si>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</si>
  <si>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</si>
  <si>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</si>
  <si>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</si>
  <si>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</si>
  <si>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</si>
  <si>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</si>
  <si>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</si>
  <si>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</si>
  <si>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</si>
  <si>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</si>
  <si>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</si>
  <si>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</si>
  <si>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</si>
  <si>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</si>
  <si>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</si>
  <si>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</si>
  <si>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</si>
  <si>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</si>
  <si>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</si>
  <si>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</si>
  <si>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</si>
  <si>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</si>
  <si>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</si>
  <si>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</si>
  <si>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</si>
  <si>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</si>
  <si>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</si>
  <si>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</si>
  <si>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</si>
  <si>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</si>
  <si>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</si>
  <si>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</si>
  <si>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</si>
  <si>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</si>
  <si>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</si>
  <si>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</si>
  <si>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</si>
  <si>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</si>
  <si>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</si>
  <si>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</si>
  <si>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</si>
  <si>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</si>
  <si>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</si>
  <si>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</si>
  <si>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</si>
  <si>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</si>
  <si>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</si>
  <si>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</si>
  <si>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</si>
  <si>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</si>
  <si>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</si>
  <si>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</si>
  <si>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</si>
  <si>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</si>
  <si>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</si>
  <si>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</si>
  <si>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</si>
  <si>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</si>
  <si>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</si>
  <si>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</si>
  <si>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</si>
  <si>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</si>
  <si>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</si>
  <si>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</si>
  <si>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</si>
  <si>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</si>
  <si>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</si>
  <si>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</si>
  <si>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</si>
  <si>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</si>
  <si>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</si>
  <si>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</si>
  <si>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</si>
  <si>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</si>
  <si>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</si>
  <si>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</si>
  <si>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</si>
  <si>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</si>
  <si>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</si>
  <si>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</si>
  <si>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</si>
  <si>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</si>
  <si>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</si>
  <si>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</si>
  <si>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</si>
  <si>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</si>
  <si>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</si>
  <si>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</si>
  <si>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</si>
  <si>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</si>
  <si>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</si>
  <si>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</si>
  <si>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</si>
  <si>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</si>
  <si>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</si>
  <si>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</si>
  <si>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</si>
  <si>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</si>
  <si>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</si>
  <si>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</si>
  <si>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</si>
  <si>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</si>
  <si>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</si>
  <si>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</si>
  <si>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</si>
  <si>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</si>
  <si>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</si>
  <si>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</si>
  <si>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</si>
  <si>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</si>
  <si>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</si>
  <si>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</si>
  <si>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</si>
  <si>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</si>
  <si>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</si>
  <si>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</si>
  <si>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</si>
  <si>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</si>
  <si>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</si>
  <si>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</si>
  <si>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</si>
  <si>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</si>
  <si>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</si>
  <si>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</si>
  <si>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</si>
  <si>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</si>
  <si>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</si>
  <si>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</si>
  <si>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</si>
  <si>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</si>
  <si>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</si>
  <si>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</si>
  <si>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</si>
  <si>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</si>
  <si>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</si>
  <si>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</si>
  <si>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</si>
  <si>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</si>
  <si>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</si>
  <si>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</si>
  <si>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</si>
  <si>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</si>
  <si>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</si>
  <si>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</si>
  <si>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</si>
  <si>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</si>
  <si>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</si>
  <si>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</si>
  <si>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</si>
  <si>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</si>
  <si>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</si>
  <si>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</si>
  <si>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</si>
  <si>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</si>
  <si>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</si>
  <si>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</si>
  <si>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</si>
  <si>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</si>
  <si>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</si>
  <si>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</si>
  <si>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</si>
  <si>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</si>
  <si>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</si>
  <si>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</si>
  <si>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</si>
  <si>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</si>
  <si>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</si>
  <si>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</si>
  <si>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</si>
  <si>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</si>
  <si>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</si>
  <si>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</si>
  <si>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</si>
  <si>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</si>
  <si>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</si>
  <si>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</si>
  <si>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</si>
  <si>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</si>
  <si>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</si>
  <si>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</si>
  <si>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</si>
  <si>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</si>
  <si>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</si>
  <si>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</si>
  <si>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</si>
  <si>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</si>
  <si>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</si>
  <si>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</si>
  <si>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</si>
  <si>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</si>
  <si>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</si>
  <si>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</si>
  <si>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</si>
  <si>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</si>
  <si>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</si>
  <si>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</si>
  <si>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</si>
  <si>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</si>
  <si>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</si>
  <si>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</si>
  <si>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</si>
  <si>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</si>
  <si>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</si>
  <si>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</si>
  <si>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</si>
  <si>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</si>
  <si>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</si>
  <si>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</si>
  <si>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</si>
  <si>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</si>
  <si>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</si>
  <si>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</si>
  <si>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</si>
  <si>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</si>
  <si>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</si>
  <si>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</si>
  <si>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</si>
  <si>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</si>
  <si>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</si>
  <si>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</si>
  <si>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</si>
  <si>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</si>
  <si>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</si>
  <si>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</si>
  <si>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</si>
  <si>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</si>
  <si>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</si>
  <si>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</si>
  <si>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</si>
  <si>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</si>
  <si>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</si>
  <si>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</si>
  <si>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</si>
  <si>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</si>
  <si>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</si>
  <si>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</si>
  <si>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</si>
  <si>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</si>
  <si>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</si>
  <si>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</si>
  <si>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</si>
  <si>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</si>
  <si>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</si>
  <si>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</si>
  <si>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</si>
  <si>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</si>
  <si>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</si>
  <si>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</si>
  <si>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</si>
  <si>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</si>
  <si>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</si>
  <si>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</si>
  <si>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</si>
  <si>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</si>
  <si>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</si>
  <si>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</si>
  <si>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</si>
  <si>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</si>
  <si>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</si>
  <si>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</si>
  <si>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</si>
  <si>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</si>
  <si>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</si>
  <si>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</si>
  <si>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</si>
  <si>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</si>
  <si>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</si>
  <si>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</si>
  <si>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</si>
  <si>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</si>
  <si>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</si>
  <si>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</si>
  <si>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</si>
  <si>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</si>
  <si>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</si>
  <si>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</si>
  <si>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</si>
  <si>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</si>
  <si>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</si>
  <si>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</si>
  <si>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</si>
  <si>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</si>
  <si>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</si>
  <si>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</si>
  <si>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</si>
  <si>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</si>
  <si>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</si>
  <si>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</si>
  <si>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</si>
  <si>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</si>
  <si>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</si>
  <si>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</si>
  <si>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</si>
  <si>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</si>
  <si>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</si>
  <si>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</si>
  <si>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</si>
  <si>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</si>
  <si>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</si>
  <si>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</si>
  <si>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</si>
  <si>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</si>
  <si>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</si>
  <si>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</si>
  <si>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</si>
  <si>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</si>
  <si>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</si>
  <si>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</si>
  <si>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</si>
  <si>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</si>
  <si>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</si>
  <si>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</si>
  <si>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</si>
  <si>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</si>
  <si>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</si>
  <si>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</si>
  <si>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</si>
  <si>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</si>
  <si>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</si>
  <si>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</si>
  <si>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</si>
  <si>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</si>
  <si>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</si>
  <si>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</si>
  <si>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</si>
  <si>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</si>
  <si>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</si>
  <si>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</si>
  <si>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</si>
  <si>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</si>
  <si>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</si>
  <si>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</si>
  <si>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</si>
  <si>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</si>
  <si>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</si>
  <si>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</si>
  <si>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</si>
  <si>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</si>
  <si>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</si>
  <si>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</si>
  <si>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</si>
  <si>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</si>
  <si>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</si>
  <si>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</si>
  <si>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</si>
  <si>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</si>
  <si>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</si>
  <si>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</si>
  <si>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</si>
  <si>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</si>
  <si>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</si>
  <si>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</si>
  <si>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</si>
  <si>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</si>
  <si>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</si>
  <si>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</si>
  <si>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</si>
  <si>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</si>
  <si>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</si>
  <si>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</si>
  <si>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</si>
  <si>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</si>
  <si>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</si>
  <si>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</si>
  <si>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</si>
  <si>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</si>
  <si>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</si>
  <si>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</si>
  <si>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</si>
  <si>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</si>
  <si>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</si>
  <si>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</si>
  <si>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</si>
  <si>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</si>
  <si>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</si>
  <si>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</si>
  <si>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</si>
  <si>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</si>
  <si>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</si>
  <si>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</si>
  <si>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</si>
  <si>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</si>
  <si>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</si>
  <si>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</si>
  <si>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</si>
  <si>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</si>
  <si>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</si>
  <si>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</si>
  <si>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</si>
  <si>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</si>
  <si>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</si>
  <si>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</si>
  <si>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</si>
  <si>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</si>
  <si>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</si>
  <si>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</si>
  <si>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</si>
  <si>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</si>
  <si>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</si>
  <si>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</si>
  <si>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</si>
  <si>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</si>
  <si>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</si>
  <si>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</si>
  <si>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</si>
  <si>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</si>
  <si>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</si>
  <si>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</si>
  <si>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</si>
  <si>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</si>
  <si>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</si>
  <si>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</si>
  <si>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</si>
  <si>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</si>
  <si>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</si>
  <si>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</si>
  <si>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</si>
  <si>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</si>
  <si>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</si>
  <si>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</si>
  <si>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</si>
  <si>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</si>
  <si>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</si>
  <si>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</si>
  <si>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</si>
  <si>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</si>
  <si>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</si>
  <si>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</si>
  <si>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</si>
  <si>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</si>
  <si>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</si>
  <si>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</si>
  <si>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</si>
  <si>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</si>
  <si>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</si>
  <si>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</si>
  <si>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</si>
  <si>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</si>
  <si>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</si>
  <si>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</si>
  <si>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</si>
  <si>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</si>
  <si>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</si>
  <si>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</si>
  <si>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</si>
  <si>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</si>
  <si>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</si>
  <si>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</si>
  <si>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</si>
  <si>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</si>
  <si>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</si>
  <si>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</si>
  <si>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</si>
  <si>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</si>
  <si>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</si>
  <si>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</si>
  <si>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</si>
  <si>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</si>
  <si>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</si>
  <si>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</si>
  <si>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</si>
  <si>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</si>
  <si>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</si>
  <si>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</si>
  <si>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</si>
  <si>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</si>
  <si>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</si>
  <si>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</si>
  <si>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</si>
  <si>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</si>
  <si>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</si>
  <si>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</si>
  <si>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</si>
  <si>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</si>
  <si>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</si>
  <si>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</si>
  <si>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</si>
  <si>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</si>
  <si>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</si>
  <si>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</si>
  <si>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</si>
  <si>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</si>
  <si>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</si>
  <si>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</si>
  <si>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</si>
  <si>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</si>
  <si>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</si>
  <si>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</si>
  <si>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</si>
  <si>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</si>
  <si>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</si>
  <si>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</si>
  <si>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</si>
  <si>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</si>
  <si>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</si>
  <si>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</si>
  <si>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</si>
  <si>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</si>
  <si>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</si>
  <si>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</si>
  <si>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</si>
  <si>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</si>
  <si>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</si>
  <si>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</si>
  <si>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</si>
  <si>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</si>
  <si>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</si>
  <si>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</si>
  <si>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</si>
  <si>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</si>
  <si>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</si>
  <si>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</si>
  <si>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</si>
  <si>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</si>
  <si>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</si>
  <si>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</si>
  <si>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</si>
  <si>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</si>
  <si>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</si>
  <si>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</si>
  <si>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</si>
  <si>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</si>
  <si>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</si>
  <si>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</si>
  <si>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</si>
  <si>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</si>
  <si>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</si>
  <si>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</si>
  <si>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</si>
  <si>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</si>
  <si>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</si>
  <si>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</si>
  <si>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</si>
  <si>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</si>
  <si>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</si>
  <si>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</si>
  <si>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</si>
  <si>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</si>
  <si>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</si>
  <si>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</si>
  <si>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</si>
  <si>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</si>
  <si>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</si>
  <si>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</si>
  <si>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</si>
  <si>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</si>
  <si>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</si>
  <si>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</si>
  <si>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</si>
  <si>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</si>
  <si>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</si>
  <si>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</si>
  <si>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</si>
  <si>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</si>
  <si>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</si>
  <si>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</si>
  <si>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</si>
  <si>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</si>
  <si>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</si>
  <si>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</si>
  <si>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</si>
  <si>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</si>
  <si>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</si>
  <si>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</si>
  <si>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</si>
  <si>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</si>
  <si>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</si>
  <si>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</si>
  <si>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</si>
  <si>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</si>
  <si>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</si>
  <si>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</si>
  <si>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</si>
  <si>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</si>
  <si>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</si>
  <si>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</si>
  <si>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</si>
  <si>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</si>
  <si>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</si>
  <si>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</si>
  <si>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</si>
  <si>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</si>
  <si>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</si>
  <si>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</si>
  <si>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</si>
  <si>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</si>
  <si>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</si>
  <si>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</si>
  <si>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</si>
  <si>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</si>
  <si>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</si>
  <si>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</si>
  <si>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</si>
  <si>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</si>
  <si>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</si>
  <si>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</si>
  <si>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</si>
  <si>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</si>
  <si>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</si>
  <si>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</si>
  <si>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</si>
  <si>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</si>
  <si>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</si>
  <si>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</si>
  <si>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</si>
  <si>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</si>
  <si>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</si>
  <si>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</si>
  <si>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</si>
  <si>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</si>
  <si>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</si>
  <si>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</si>
  <si>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</si>
  <si>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</si>
  <si>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</si>
  <si>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</si>
  <si>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</si>
  <si>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</si>
  <si>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</si>
  <si>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</si>
  <si>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</si>
  <si>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</si>
  <si>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</si>
  <si>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</si>
  <si>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</si>
  <si>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</si>
  <si>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</si>
  <si>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</si>
  <si>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</si>
  <si>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</si>
  <si>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</si>
  <si>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</si>
  <si>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</si>
  <si>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</si>
  <si>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</si>
  <si>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</si>
  <si>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</si>
  <si>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</si>
  <si>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</si>
  <si>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</si>
  <si>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</si>
  <si>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</si>
  <si>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</si>
  <si>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</si>
  <si>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</si>
  <si>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</si>
  <si>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</si>
  <si>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</si>
  <si>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</si>
  <si>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</si>
  <si>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</si>
  <si>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</si>
  <si>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</si>
  <si>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</si>
  <si>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</si>
  <si>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</si>
  <si>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</si>
  <si>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</si>
  <si>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</si>
  <si>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</si>
  <si>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</si>
  <si>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</si>
  <si>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</si>
  <si>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</si>
  <si>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</si>
  <si>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</si>
  <si>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</si>
  <si>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</si>
  <si>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</si>
  <si>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</si>
  <si>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</si>
  <si>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</si>
  <si>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</si>
  <si>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</si>
  <si>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</si>
  <si>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</si>
  <si>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</si>
  <si>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</si>
  <si>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</si>
  <si>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</si>
  <si>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</si>
  <si>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</si>
  <si>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</si>
  <si>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</si>
  <si>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</si>
  <si>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</si>
  <si>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</si>
  <si>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</si>
  <si>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</si>
  <si>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</si>
  <si>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</si>
  <si>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</si>
  <si>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</si>
  <si>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</si>
  <si>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</si>
  <si>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</si>
  <si>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</si>
  <si>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</si>
  <si>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</si>
  <si>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</si>
  <si>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</si>
  <si>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</si>
  <si>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</si>
  <si>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</si>
  <si>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</si>
  <si>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</si>
  <si>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</si>
  <si>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</si>
  <si>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</si>
  <si>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</si>
  <si>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</si>
  <si>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</si>
  <si>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</si>
  <si>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</si>
  <si>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</si>
  <si>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</si>
  <si>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</si>
  <si>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</si>
  <si>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</si>
  <si>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</si>
  <si>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</si>
  <si>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</si>
  <si>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</si>
  <si>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</si>
  <si>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 xml:space="preserve">JOEL HOPKINS </t>
  </si>
  <si>
    <t>314 S MCCOY STREET</t>
  </si>
  <si>
    <t>GRANVILLE</t>
  </si>
  <si>
    <t>IL</t>
  </si>
  <si>
    <t>815-339-6630</t>
  </si>
  <si>
    <t>815-339-6643</t>
  </si>
  <si>
    <t>JOEL@HOPKINSOFFICE.COM</t>
  </si>
  <si>
    <t>Total Federal Expenditures for 7/1/18-6/30/19</t>
  </si>
  <si>
    <t>066-004501</t>
  </si>
  <si>
    <t xml:space="preserve">BUREAU </t>
  </si>
  <si>
    <t>307 CHESTNUT</t>
  </si>
  <si>
    <t xml:space="preserve">DALZELL  </t>
  </si>
  <si>
    <t>BBAUER@BHSROE.ORG</t>
  </si>
  <si>
    <t>BRUCE BAUER</t>
  </si>
  <si>
    <t>815-663-8821</t>
  </si>
  <si>
    <t>815-663-4515</t>
  </si>
  <si>
    <t xml:space="preserve">BMP COOPERATIVE, TISKILWA, IL </t>
  </si>
  <si>
    <t>2011 LIFE SAFETY</t>
  </si>
  <si>
    <t>2018 GO BONDS 2018A</t>
  </si>
  <si>
    <t>2018 GO BONDS 2018B</t>
  </si>
  <si>
    <t xml:space="preserve">Operations &amp; Maintenance Fund - Operations &amp; Maintenance of Plant Services - Purchased Services </t>
  </si>
  <si>
    <t>20-2540-300</t>
  </si>
  <si>
    <t>Waste Management</t>
  </si>
  <si>
    <t xml:space="preserve">D&amp;M Landscaping </t>
  </si>
  <si>
    <t xml:space="preserve">Kendrick Pest Control </t>
  </si>
  <si>
    <t>10-1790; Education - Other District/Concessions School Activity; Concessions $556</t>
  </si>
  <si>
    <t>10-1999; Education  - Other Local Sources; Other Income $155</t>
  </si>
  <si>
    <t>20-1999; Operations &amp; Maintenance; Donations $7,698</t>
  </si>
  <si>
    <t>10-2190-600; Education - Other Support Services- Pupils- Other Objects; OT/PT $3,105</t>
  </si>
  <si>
    <t>Dalzell SD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</si>
</sst>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0</xdr:row>
          <xdr:rowOff>47625</xdr:rowOff>
        </xdr:from>
        <xdr:to>
          <xdr:col>1</xdr:col>
          <xdr:colOff>2438400</xdr:colOff>
          <xdr:row>4</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6" t="s">
        <v>405</v>
      </c>
      <c r="J1" s="2017"/>
      <c r="K1" s="2017"/>
      <c r="L1" s="2017"/>
      <c r="M1" s="2017"/>
      <c r="N1" s="2017"/>
      <c r="O1" s="2017"/>
      <c r="P1" s="2017"/>
      <c r="Q1" s="2017"/>
      <c r="R1" s="2017"/>
      <c r="S1" s="2017"/>
    </row>
    <row r="2" spans="1:28" ht="12" customHeight="1" x14ac:dyDescent="0.2">
      <c r="A2" s="47" t="s">
        <v>1992</v>
      </c>
      <c r="D2" s="48"/>
      <c r="I2" s="2018" t="s">
        <v>979</v>
      </c>
      <c r="J2" s="2017"/>
      <c r="K2" s="2017"/>
      <c r="L2" s="2017"/>
      <c r="M2" s="2017"/>
      <c r="N2" s="2017"/>
      <c r="O2" s="2017"/>
      <c r="P2" s="2017"/>
      <c r="Q2" s="2017"/>
      <c r="R2" s="2017"/>
      <c r="S2" s="2017"/>
    </row>
    <row r="3" spans="1:28" ht="12" customHeight="1" x14ac:dyDescent="0.2">
      <c r="A3" s="155" t="s">
        <v>1944</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2063</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2064</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28006098002</v>
      </c>
      <c r="B13" s="1987"/>
      <c r="C13" s="1987"/>
      <c r="D13" s="1987"/>
      <c r="E13" s="1987"/>
      <c r="F13" s="1987"/>
      <c r="G13" s="1987"/>
      <c r="H13" s="1988"/>
      <c r="I13" s="31"/>
      <c r="J13" s="30"/>
      <c r="K13" s="28"/>
      <c r="L13" s="30"/>
      <c r="M13" s="30"/>
      <c r="N13" s="30"/>
      <c r="O13" s="30"/>
      <c r="P13" s="30"/>
      <c r="Q13" s="30"/>
      <c r="R13" s="30"/>
      <c r="S13" s="30"/>
      <c r="T13" s="1991" t="s">
        <v>2065</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2075</v>
      </c>
      <c r="B15" s="1989"/>
      <c r="C15" s="1989"/>
      <c r="D15" s="1989"/>
      <c r="E15" s="1989"/>
      <c r="F15" s="1989"/>
      <c r="G15" s="1989"/>
      <c r="H15" s="1990"/>
      <c r="T15" s="1952" t="s">
        <v>2066</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2095</v>
      </c>
      <c r="B17" s="2014"/>
      <c r="C17" s="2014"/>
      <c r="D17" s="2014"/>
      <c r="E17" s="2014"/>
      <c r="F17" s="2014"/>
      <c r="G17" s="2014"/>
      <c r="H17" s="2015"/>
      <c r="T17" s="2001" t="s">
        <v>2067</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2076</v>
      </c>
      <c r="B19" s="1985"/>
      <c r="C19" s="1985"/>
      <c r="D19" s="1985"/>
      <c r="E19" s="1985"/>
      <c r="F19" s="1985"/>
      <c r="G19" s="1985"/>
      <c r="H19" s="1983"/>
      <c r="I19" s="30"/>
      <c r="J19" s="99"/>
      <c r="K19" s="40"/>
      <c r="L19" s="38"/>
      <c r="M19" s="112" t="s">
        <v>315</v>
      </c>
      <c r="P19" s="27"/>
      <c r="Q19" s="27"/>
      <c r="R19" s="27"/>
      <c r="S19" s="31"/>
      <c r="T19" s="1984" t="s">
        <v>2068</v>
      </c>
      <c r="U19" s="1982"/>
      <c r="V19" s="1982"/>
      <c r="W19" s="1983"/>
      <c r="X19" s="1999" t="s">
        <v>2069</v>
      </c>
      <c r="Y19" s="2000"/>
      <c r="Z19" s="1997">
        <v>61326</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2077</v>
      </c>
      <c r="B21" s="1982"/>
      <c r="C21" s="1982"/>
      <c r="D21" s="1982"/>
      <c r="E21" s="1982"/>
      <c r="F21" s="1982"/>
      <c r="G21" s="1982"/>
      <c r="H21" s="1983"/>
      <c r="I21" s="2007" t="s">
        <v>678</v>
      </c>
      <c r="J21" s="1970"/>
      <c r="K21" s="1970"/>
      <c r="L21" s="1970"/>
      <c r="M21" s="1970"/>
      <c r="N21" s="1970"/>
      <c r="O21" s="1970"/>
      <c r="P21" s="1970"/>
      <c r="Q21" s="1970"/>
      <c r="R21" s="1970"/>
      <c r="S21" s="1971"/>
      <c r="T21" s="1949" t="s">
        <v>2070</v>
      </c>
      <c r="U21" s="1950"/>
      <c r="V21" s="1950"/>
      <c r="W21" s="1950"/>
      <c r="X21" s="1963" t="s">
        <v>2071</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t="s">
        <v>2078</v>
      </c>
      <c r="B23" s="2005"/>
      <c r="C23" s="2005"/>
      <c r="D23" s="2005"/>
      <c r="E23" s="2005"/>
      <c r="F23" s="2005"/>
      <c r="G23" s="2005"/>
      <c r="H23" s="2006"/>
      <c r="T23" s="1944" t="s">
        <v>2074</v>
      </c>
      <c r="U23" s="1945"/>
      <c r="V23" s="1945"/>
      <c r="W23" s="1945"/>
      <c r="X23" s="1960">
        <v>44530</v>
      </c>
      <c r="Y23" s="1961"/>
      <c r="Z23" s="1961"/>
      <c r="AA23" s="1962"/>
    </row>
    <row r="24" spans="1:27" ht="14.1" customHeight="1" x14ac:dyDescent="0.2">
      <c r="A24" s="88" t="s">
        <v>677</v>
      </c>
      <c r="B24" s="49"/>
      <c r="C24" s="49"/>
      <c r="D24" s="49"/>
      <c r="E24" s="49"/>
      <c r="F24" s="49"/>
      <c r="G24" s="49"/>
      <c r="H24" s="61"/>
      <c r="J24" s="2046" t="str">
        <f>IF(B5="x",IF(AUDITCHECK!D29="AFR form Incomplete.","",IF(AUDITCHECK!D29="Deficit reduction plan is required.","School District must complete a deficit reduction plan in the 2019-2020 Budget",)),"")</f>
        <v>School District must complete a deficit reduction plan in the 2019-2020 Budget</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61320</v>
      </c>
      <c r="B25" s="1982"/>
      <c r="C25" s="1982"/>
      <c r="D25" s="1982"/>
      <c r="E25" s="1982"/>
      <c r="F25" s="1982"/>
      <c r="G25" s="1982"/>
      <c r="H25" s="1983"/>
      <c r="I25" s="113"/>
      <c r="J25" s="2048"/>
      <c r="K25" s="2048"/>
      <c r="L25" s="2048"/>
      <c r="M25" s="2048"/>
      <c r="N25" s="2048"/>
      <c r="O25" s="2048"/>
      <c r="P25" s="2048"/>
      <c r="Q25" s="2048"/>
      <c r="R25" s="2048"/>
      <c r="S25" s="2049"/>
      <c r="T25" s="1941" t="s">
        <v>2072</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2079</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2078</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2080</v>
      </c>
      <c r="B42" s="2031"/>
      <c r="C42" s="2032"/>
      <c r="D42" s="2045" t="s">
        <v>2081</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3" colorId="8" zoomScale="110" zoomScaleNormal="110" workbookViewId="0">
      <selection activeCell="L70" sqref="L7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2065</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7195476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1.7100000000000001E-2</v>
      </c>
      <c r="E10" s="356" t="s">
        <v>1005</v>
      </c>
      <c r="F10" s="355">
        <v>2.5000000000000001E-3</v>
      </c>
      <c r="G10" s="356" t="s">
        <v>1005</v>
      </c>
      <c r="H10" s="355">
        <v>1.1999999999999999E-3</v>
      </c>
      <c r="I10" s="356" t="s">
        <v>1006</v>
      </c>
      <c r="J10" s="1732">
        <f>ROUND(D10+F10+H10,5)</f>
        <v>2.0799999999999999E-2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545231</v>
      </c>
      <c r="E16" s="356"/>
      <c r="F16" s="1733">
        <f>SUM('Acct Summary 7-8'!C17,'Acct Summary 7-8'!D17,'Acct Summary 7-8'!F17)</f>
        <v>643149</v>
      </c>
      <c r="G16" s="356"/>
      <c r="H16" s="1733">
        <f>SUM(D16-F16)</f>
        <v>-97918</v>
      </c>
      <c r="I16" s="222"/>
      <c r="J16" s="1733">
        <f>SUM('Acct Summary 7-8'!C81,'Acct Summary 7-8'!D81,'Acct Summary 7-8'!F81,'Acct Summary 7-8'!I81)</f>
        <v>235043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35">
        <f>IF(B31="X",(J7*0.069),IF(B32="X",(J7*0.138),"Enter x in a.or b."))</f>
        <v>496487.84400000004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189000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Dalzell SD 98</v>
      </c>
      <c r="E7" s="391"/>
      <c r="G7" s="252"/>
      <c r="H7" s="387"/>
      <c r="I7" s="387"/>
      <c r="J7" s="387"/>
      <c r="K7" s="387"/>
      <c r="L7" s="329"/>
      <c r="M7" s="329"/>
      <c r="N7" s="329"/>
      <c r="O7" s="329"/>
      <c r="P7" s="329"/>
    </row>
    <row r="8" spans="1:18" ht="12.75" x14ac:dyDescent="0.2">
      <c r="A8" s="329"/>
      <c r="B8" s="329"/>
      <c r="C8" s="389" t="s">
        <v>1125</v>
      </c>
      <c r="D8" s="392">
        <f>COVER!A13</f>
        <v>28006098002</v>
      </c>
      <c r="E8" s="393"/>
      <c r="G8" s="329"/>
      <c r="H8" s="329"/>
      <c r="I8" s="329"/>
      <c r="J8" s="329"/>
      <c r="K8" s="329"/>
      <c r="L8" s="329"/>
      <c r="M8" s="329"/>
      <c r="N8" s="329"/>
      <c r="O8" s="329"/>
      <c r="P8" s="329"/>
    </row>
    <row r="9" spans="1:18" ht="12.75" x14ac:dyDescent="0.2">
      <c r="A9" s="329"/>
      <c r="B9" s="329"/>
      <c r="C9" s="389" t="s">
        <v>713</v>
      </c>
      <c r="D9" s="394" t="str">
        <f>COVER!A15</f>
        <v xml:space="preserve">BUREAU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235043</v>
      </c>
      <c r="I12" s="404"/>
      <c r="J12" s="404"/>
      <c r="K12" s="405">
        <f>TRUNC((H12/H13*100000),5)/100000</f>
        <v>0.43108884120000002</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545231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643149</v>
      </c>
      <c r="I17" s="404"/>
      <c r="J17" s="416"/>
      <c r="K17" s="405">
        <f>TRUNC((H17/H18*100000),5)/100000</f>
        <v>1.1795899352000001</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545231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1.8435823</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245537</v>
      </c>
      <c r="I24" s="422"/>
      <c r="J24" s="422"/>
      <c r="K24" s="423">
        <f>TRUNC(((H24/H25*100000)/100000),2)</f>
        <v>137.43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1786.5250000000001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127216.01568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189000</v>
      </c>
      <c r="I32" s="420"/>
      <c r="J32" s="420"/>
      <c r="K32" s="423">
        <f>TRUNC(100-((((H32/H33*100))*100)/100),2)</f>
        <v>61.93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496487.84400000004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3.0999999999999996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activeCell="C4" sqref="C4:K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f>223422+1000</f>
        <v>224422</v>
      </c>
      <c r="D4" s="466">
        <v>21102</v>
      </c>
      <c r="E4" s="466">
        <v>12312</v>
      </c>
      <c r="F4" s="466"/>
      <c r="G4" s="466">
        <f>8450-419</f>
        <v>8031</v>
      </c>
      <c r="H4" s="466"/>
      <c r="I4" s="466">
        <v>13</v>
      </c>
      <c r="J4" s="467">
        <v>6</v>
      </c>
      <c r="K4" s="466">
        <v>763</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224422</v>
      </c>
      <c r="D13" s="1737">
        <f t="shared" ref="D13:L13" si="0">SUM(D4:D12)</f>
        <v>21102</v>
      </c>
      <c r="E13" s="1737">
        <f t="shared" si="0"/>
        <v>12312</v>
      </c>
      <c r="F13" s="1737">
        <f t="shared" si="0"/>
        <v>0</v>
      </c>
      <c r="G13" s="1737">
        <f t="shared" si="0"/>
        <v>8031</v>
      </c>
      <c r="H13" s="1737">
        <f t="shared" si="0"/>
        <v>0</v>
      </c>
      <c r="I13" s="1737">
        <f t="shared" si="0"/>
        <v>13</v>
      </c>
      <c r="J13" s="1737">
        <f t="shared" si="0"/>
        <v>6</v>
      </c>
      <c r="K13" s="1737">
        <f t="shared" si="0"/>
        <v>763</v>
      </c>
      <c r="L13" s="1737">
        <f t="shared" si="0"/>
        <v>0</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10700</v>
      </c>
      <c r="N16" s="484"/>
    </row>
    <row r="17" spans="1:14" s="485" customFormat="1" ht="12.75" customHeight="1" x14ac:dyDescent="0.2">
      <c r="A17" s="482" t="s">
        <v>1403</v>
      </c>
      <c r="B17" s="483">
        <v>230</v>
      </c>
      <c r="C17" s="477"/>
      <c r="D17" s="477"/>
      <c r="E17" s="477"/>
      <c r="F17" s="477"/>
      <c r="G17" s="477"/>
      <c r="H17" s="477"/>
      <c r="I17" s="477"/>
      <c r="J17" s="477"/>
      <c r="K17" s="477"/>
      <c r="L17" s="477"/>
      <c r="M17" s="467">
        <v>414703</v>
      </c>
      <c r="N17" s="484"/>
    </row>
    <row r="18" spans="1:14" s="485" customFormat="1" ht="12.75" customHeight="1" x14ac:dyDescent="0.2">
      <c r="A18" s="482" t="s">
        <v>1404</v>
      </c>
      <c r="B18" s="483">
        <v>240</v>
      </c>
      <c r="C18" s="477"/>
      <c r="D18" s="477"/>
      <c r="E18" s="477"/>
      <c r="F18" s="477"/>
      <c r="G18" s="477"/>
      <c r="H18" s="477"/>
      <c r="I18" s="477"/>
      <c r="J18" s="477"/>
      <c r="K18" s="477"/>
      <c r="L18" s="477"/>
      <c r="M18" s="467">
        <v>113010</v>
      </c>
      <c r="N18" s="484"/>
    </row>
    <row r="19" spans="1:14" s="485" customFormat="1" ht="12.75" customHeight="1" x14ac:dyDescent="0.2">
      <c r="A19" s="482" t="s">
        <v>1405</v>
      </c>
      <c r="B19" s="483">
        <v>250</v>
      </c>
      <c r="C19" s="477"/>
      <c r="D19" s="477"/>
      <c r="E19" s="477"/>
      <c r="F19" s="477"/>
      <c r="G19" s="477"/>
      <c r="H19" s="477"/>
      <c r="I19" s="477"/>
      <c r="J19" s="477"/>
      <c r="K19" s="477"/>
      <c r="L19" s="477"/>
      <c r="M19" s="467">
        <f>58989+173274</f>
        <v>232263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12312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176688</v>
      </c>
    </row>
    <row r="23" spans="1:14" ht="13.5" customHeight="1" thickBot="1" x14ac:dyDescent="0.25">
      <c r="A23" s="1736" t="s">
        <v>643</v>
      </c>
      <c r="B23" s="1741"/>
      <c r="C23" s="468"/>
      <c r="D23" s="468"/>
      <c r="E23" s="468"/>
      <c r="F23" s="468"/>
      <c r="G23" s="468"/>
      <c r="H23" s="468"/>
      <c r="I23" s="468"/>
      <c r="J23" s="468"/>
      <c r="K23" s="468"/>
      <c r="L23" s="468"/>
      <c r="M23" s="1688">
        <f>SUM(M15:M22)</f>
        <v>770676</v>
      </c>
      <c r="N23" s="1688">
        <f>SUM(N21:N22)</f>
        <v>189000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v>10494</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10494</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189000</v>
      </c>
    </row>
    <row r="37" spans="1:14" ht="13.5" thickBot="1" x14ac:dyDescent="0.25">
      <c r="A37" s="1736" t="s">
        <v>653</v>
      </c>
      <c r="B37" s="1741"/>
      <c r="C37" s="477"/>
      <c r="D37" s="477"/>
      <c r="E37" s="477"/>
      <c r="F37" s="477"/>
      <c r="G37" s="477"/>
      <c r="H37" s="477"/>
      <c r="I37" s="477"/>
      <c r="J37" s="477"/>
      <c r="K37" s="477"/>
      <c r="L37" s="480"/>
      <c r="M37" s="468"/>
      <c r="N37" s="1688">
        <f>SUM(N36:N36)</f>
        <v>189000</v>
      </c>
    </row>
    <row r="38" spans="1:14" s="329" customFormat="1" ht="13.5" customHeight="1" thickTop="1" x14ac:dyDescent="0.2">
      <c r="A38" s="496" t="s">
        <v>420</v>
      </c>
      <c r="B38" s="483">
        <v>714</v>
      </c>
      <c r="C38" s="466"/>
      <c r="D38" s="466"/>
      <c r="E38" s="466"/>
      <c r="F38" s="466"/>
      <c r="G38" s="466">
        <v>1153</v>
      </c>
      <c r="H38" s="466"/>
      <c r="I38" s="466"/>
      <c r="J38" s="467"/>
      <c r="K38" s="466"/>
      <c r="L38" s="481"/>
      <c r="M38" s="497"/>
      <c r="N38" s="497"/>
    </row>
    <row r="39" spans="1:14" s="329" customFormat="1" ht="13.5" customHeight="1" x14ac:dyDescent="0.2">
      <c r="A39" s="496" t="s">
        <v>342</v>
      </c>
      <c r="B39" s="483">
        <v>730</v>
      </c>
      <c r="C39" s="466">
        <v>224422</v>
      </c>
      <c r="D39" s="466">
        <v>21102</v>
      </c>
      <c r="E39" s="466">
        <v>12312</v>
      </c>
      <c r="F39" s="466">
        <v>-10494</v>
      </c>
      <c r="G39" s="466">
        <f>8031-1153</f>
        <v>6878</v>
      </c>
      <c r="H39" s="466"/>
      <c r="I39" s="466">
        <v>13</v>
      </c>
      <c r="J39" s="467">
        <v>6</v>
      </c>
      <c r="K39" s="466">
        <v>763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770676</v>
      </c>
      <c r="N40" s="497"/>
    </row>
    <row r="41" spans="1:14" ht="13.5" customHeight="1" thickBot="1" x14ac:dyDescent="0.25">
      <c r="A41" s="1736" t="s">
        <v>655</v>
      </c>
      <c r="B41" s="1706"/>
      <c r="C41" s="1688">
        <f>(SUM(C34,C37,C38,C39))</f>
        <v>224422</v>
      </c>
      <c r="D41" s="1688">
        <f t="shared" ref="D41:L41" si="2">SUM(D34,D37,D38:D39)</f>
        <v>21102</v>
      </c>
      <c r="E41" s="1688">
        <f t="shared" si="2"/>
        <v>12312</v>
      </c>
      <c r="F41" s="1688">
        <f t="shared" si="2"/>
        <v>0</v>
      </c>
      <c r="G41" s="1688">
        <f t="shared" si="2"/>
        <v>8031</v>
      </c>
      <c r="H41" s="1688">
        <f t="shared" si="2"/>
        <v>0</v>
      </c>
      <c r="I41" s="1688">
        <f t="shared" si="2"/>
        <v>13</v>
      </c>
      <c r="J41" s="1688">
        <f t="shared" si="2"/>
        <v>6</v>
      </c>
      <c r="K41" s="1688">
        <f t="shared" si="2"/>
        <v>763</v>
      </c>
      <c r="L41" s="1688">
        <f t="shared" si="2"/>
        <v>0</v>
      </c>
      <c r="M41" s="1688">
        <f>SUM(M40)</f>
        <v>770676</v>
      </c>
      <c r="N41" s="1688">
        <f>SUM(N37)</f>
        <v>189000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pane="bottomLeft" activeCell="C17" sqref="C17:K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149156</v>
      </c>
      <c r="D4" s="1742">
        <f>'Revenues 9-14'!D109</f>
        <v>27206</v>
      </c>
      <c r="E4" s="1742">
        <f>'Revenues 9-14'!E109</f>
        <v>21136</v>
      </c>
      <c r="F4" s="1742">
        <f>'Revenues 9-14'!F109</f>
        <v>7551</v>
      </c>
      <c r="G4" s="1742">
        <f>'Revenues 9-14'!G109</f>
        <v>24077</v>
      </c>
      <c r="H4" s="1742">
        <f>'Revenues 9-14'!H109</f>
        <v>0</v>
      </c>
      <c r="I4" s="1742">
        <f>'Revenues 9-14'!I109</f>
        <v>3197</v>
      </c>
      <c r="J4" s="1742">
        <f>'Revenues 9-14'!J109</f>
        <v>31438</v>
      </c>
      <c r="K4" s="1742">
        <f>'Revenues 9-14'!K109</f>
        <v>3122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276397</v>
      </c>
      <c r="D6" s="1743">
        <f>'Revenues 9-14'!D170</f>
        <v>18500</v>
      </c>
      <c r="E6" s="1743">
        <f>'Revenues 9-14'!E170</f>
        <v>0</v>
      </c>
      <c r="F6" s="1743">
        <f>'Revenues 9-14'!F170</f>
        <v>25488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37736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463289</v>
      </c>
      <c r="D8" s="1688">
        <f t="shared" ref="D8:K8" si="0">SUM(D4:D7)</f>
        <v>45706</v>
      </c>
      <c r="E8" s="1688">
        <f t="shared" si="0"/>
        <v>21136</v>
      </c>
      <c r="F8" s="1688">
        <f t="shared" si="0"/>
        <v>33039</v>
      </c>
      <c r="G8" s="1688">
        <f t="shared" si="0"/>
        <v>24077</v>
      </c>
      <c r="H8" s="1688">
        <f t="shared" si="0"/>
        <v>0</v>
      </c>
      <c r="I8" s="1688">
        <f t="shared" si="0"/>
        <v>3197</v>
      </c>
      <c r="J8" s="1688">
        <f t="shared" si="0"/>
        <v>31438</v>
      </c>
      <c r="K8" s="1688">
        <f t="shared" si="0"/>
        <v>3122</v>
      </c>
      <c r="L8" s="347"/>
    </row>
    <row r="9" spans="1:13" ht="15.75" thickTop="1" x14ac:dyDescent="0.2">
      <c r="A9" s="514" t="s">
        <v>1653</v>
      </c>
      <c r="B9" s="515">
        <v>3998</v>
      </c>
      <c r="C9" s="481">
        <f>190022+3169</f>
        <v>193191</v>
      </c>
      <c r="D9" s="516"/>
      <c r="E9" s="481"/>
      <c r="F9" s="481"/>
      <c r="G9" s="517"/>
      <c r="H9" s="481"/>
      <c r="I9" s="509" t="s">
        <v>1169</v>
      </c>
      <c r="J9" s="478"/>
      <c r="K9" s="481"/>
      <c r="L9" s="347"/>
    </row>
    <row r="10" spans="1:13" s="519" customFormat="1" ht="13.5" thickBot="1" x14ac:dyDescent="0.25">
      <c r="A10" s="1736" t="s">
        <v>1173</v>
      </c>
      <c r="B10" s="1709"/>
      <c r="C10" s="1688">
        <f>SUM(C8:C9)</f>
        <v>656480</v>
      </c>
      <c r="D10" s="1688">
        <f t="shared" ref="D10:K10" si="1">SUM(D8:D9)</f>
        <v>45706</v>
      </c>
      <c r="E10" s="1688">
        <f t="shared" si="1"/>
        <v>21136</v>
      </c>
      <c r="F10" s="1688">
        <f t="shared" si="1"/>
        <v>33039</v>
      </c>
      <c r="G10" s="1688">
        <f t="shared" si="1"/>
        <v>24077</v>
      </c>
      <c r="H10" s="1688">
        <f t="shared" si="1"/>
        <v>0</v>
      </c>
      <c r="I10" s="1688">
        <f t="shared" si="1"/>
        <v>3197</v>
      </c>
      <c r="J10" s="1688">
        <f t="shared" si="1"/>
        <v>31438</v>
      </c>
      <c r="K10" s="1688">
        <f t="shared" si="1"/>
        <v>3122</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321081</v>
      </c>
      <c r="D12" s="520" t="s">
        <v>1169</v>
      </c>
      <c r="E12" s="468" t="s">
        <v>1169</v>
      </c>
      <c r="F12" s="468" t="s">
        <v>1169</v>
      </c>
      <c r="G12" s="1742">
        <f>'Expenditures 15-22'!K229</f>
        <v>6183</v>
      </c>
      <c r="H12" s="521"/>
      <c r="I12" s="468" t="s">
        <v>1169</v>
      </c>
      <c r="J12" s="468" t="s">
        <v>1169</v>
      </c>
      <c r="K12" s="521" t="s">
        <v>1169</v>
      </c>
      <c r="L12" s="347"/>
    </row>
    <row r="13" spans="1:13" ht="15.75" customHeight="1" x14ac:dyDescent="0.2">
      <c r="A13" s="1576" t="s">
        <v>457</v>
      </c>
      <c r="B13" s="1578">
        <v>2000</v>
      </c>
      <c r="C13" s="1743">
        <f>'Expenditures 15-22'!K74</f>
        <v>140319</v>
      </c>
      <c r="D13" s="1743">
        <f>'Expenditures 15-22'!K129</f>
        <v>44655</v>
      </c>
      <c r="E13" s="469" t="s">
        <v>1169</v>
      </c>
      <c r="F13" s="1743">
        <f>'Expenditures 15-22'!K184</f>
        <v>111697</v>
      </c>
      <c r="G13" s="1743">
        <f>'Expenditures 15-22'!K279</f>
        <v>14344</v>
      </c>
      <c r="H13" s="1743">
        <f>'Expenditures 15-22'!K303</f>
        <v>0</v>
      </c>
      <c r="I13" s="468" t="s">
        <v>1169</v>
      </c>
      <c r="J13" s="1743">
        <f>'Expenditures 15-22'!K330</f>
        <v>31453</v>
      </c>
      <c r="K13" s="1747">
        <f>'Expenditures 15-22'!K352</f>
        <v>7450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21011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21265</v>
      </c>
      <c r="F16" s="1743">
        <f>'Expenditures 15-22'!K208</f>
        <v>4386</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482411</v>
      </c>
      <c r="D17" s="1688">
        <f t="shared" si="2"/>
        <v>44655</v>
      </c>
      <c r="E17" s="1688">
        <f t="shared" si="2"/>
        <v>21265</v>
      </c>
      <c r="F17" s="1688">
        <f t="shared" si="2"/>
        <v>116083</v>
      </c>
      <c r="G17" s="1688">
        <f t="shared" si="2"/>
        <v>20527</v>
      </c>
      <c r="H17" s="1688">
        <f t="shared" si="2"/>
        <v>0</v>
      </c>
      <c r="I17" s="468"/>
      <c r="J17" s="1688">
        <f>SUM(J12:J16)</f>
        <v>31453</v>
      </c>
      <c r="K17" s="1688">
        <f>SUM(K12:K16)</f>
        <v>7450</v>
      </c>
      <c r="L17" s="347"/>
    </row>
    <row r="18" spans="1:12" ht="15" customHeight="1" thickTop="1" x14ac:dyDescent="0.2">
      <c r="A18" s="1744" t="s">
        <v>1654</v>
      </c>
      <c r="B18" s="1745">
        <v>4180</v>
      </c>
      <c r="C18" s="1742">
        <f t="shared" ref="C18:H18" si="3">C9</f>
        <v>193191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675602</v>
      </c>
      <c r="D19" s="1688">
        <f t="shared" si="4"/>
        <v>44655</v>
      </c>
      <c r="E19" s="1688">
        <f t="shared" si="4"/>
        <v>21265</v>
      </c>
      <c r="F19" s="1688">
        <f t="shared" si="4"/>
        <v>116083</v>
      </c>
      <c r="G19" s="1688">
        <f t="shared" si="4"/>
        <v>20527</v>
      </c>
      <c r="H19" s="1688">
        <f t="shared" si="4"/>
        <v>0</v>
      </c>
      <c r="I19" s="468"/>
      <c r="J19" s="1688">
        <f>SUM(J17:J18)</f>
        <v>31453</v>
      </c>
      <c r="K19" s="1688">
        <f>SUM(K17:K18)</f>
        <v>7450</v>
      </c>
      <c r="L19" s="347"/>
    </row>
    <row r="20" spans="1:12" ht="16.5" thickTop="1" thickBot="1" x14ac:dyDescent="0.25">
      <c r="A20" s="2126" t="s">
        <v>1655</v>
      </c>
      <c r="B20" s="2127"/>
      <c r="C20" s="1746">
        <f>C8-C17</f>
        <v>-19122</v>
      </c>
      <c r="D20" s="1746">
        <f t="shared" ref="D20:K20" si="5">D8-D17</f>
        <v>1051</v>
      </c>
      <c r="E20" s="1746">
        <f t="shared" si="5"/>
        <v>-129</v>
      </c>
      <c r="F20" s="1746">
        <f t="shared" si="5"/>
        <v>-83044</v>
      </c>
      <c r="G20" s="1746">
        <f t="shared" si="5"/>
        <v>3550</v>
      </c>
      <c r="H20" s="1746">
        <f t="shared" si="5"/>
        <v>0</v>
      </c>
      <c r="I20" s="1746">
        <f t="shared" si="5"/>
        <v>3197</v>
      </c>
      <c r="J20" s="1746">
        <f t="shared" si="5"/>
        <v>-15</v>
      </c>
      <c r="K20" s="1746">
        <f t="shared" si="5"/>
        <v>-4328</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f>78834+79</f>
        <v>78913</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v>75000</v>
      </c>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v>10869</v>
      </c>
      <c r="F33" s="467">
        <v>79386</v>
      </c>
      <c r="G33" s="477"/>
      <c r="H33" s="467"/>
      <c r="I33" s="467">
        <v>78745</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3">
        <f>SUM(C24:C43)</f>
        <v>153913</v>
      </c>
      <c r="D44" s="1703">
        <f t="shared" ref="D44:K44" si="6">SUM(D24:D43)</f>
        <v>0</v>
      </c>
      <c r="E44" s="1703">
        <f t="shared" si="6"/>
        <v>10869</v>
      </c>
      <c r="F44" s="1703">
        <f t="shared" si="6"/>
        <v>79386</v>
      </c>
      <c r="G44" s="1703">
        <f t="shared" si="6"/>
        <v>0</v>
      </c>
      <c r="H44" s="1703">
        <f t="shared" si="6"/>
        <v>0</v>
      </c>
      <c r="I44" s="1703">
        <f t="shared" si="6"/>
        <v>78745</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78913</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75000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3016</v>
      </c>
      <c r="J75" s="530"/>
      <c r="K75" s="532"/>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75000</v>
      </c>
      <c r="G76" s="1703">
        <f t="shared" si="7"/>
        <v>0</v>
      </c>
      <c r="H76" s="1703">
        <f t="shared" si="7"/>
        <v>0</v>
      </c>
      <c r="I76" s="1703">
        <f t="shared" si="7"/>
        <v>81929</v>
      </c>
      <c r="J76" s="1703">
        <f t="shared" si="7"/>
        <v>0</v>
      </c>
      <c r="K76" s="1703">
        <f t="shared" si="7"/>
        <v>0</v>
      </c>
      <c r="L76" s="524"/>
    </row>
    <row r="77" spans="1:12" ht="14.25" thickTop="1" thickBot="1" x14ac:dyDescent="0.25">
      <c r="A77" s="2118" t="s">
        <v>1177</v>
      </c>
      <c r="B77" s="2119"/>
      <c r="C77" s="1703">
        <f t="shared" ref="C77:K77" si="8">C44-C76</f>
        <v>153913</v>
      </c>
      <c r="D77" s="1703">
        <f t="shared" si="8"/>
        <v>0</v>
      </c>
      <c r="E77" s="1703">
        <f t="shared" si="8"/>
        <v>10869</v>
      </c>
      <c r="F77" s="1703">
        <f t="shared" si="8"/>
        <v>4386</v>
      </c>
      <c r="G77" s="1703">
        <f t="shared" si="8"/>
        <v>0</v>
      </c>
      <c r="H77" s="1703">
        <f t="shared" si="8"/>
        <v>0</v>
      </c>
      <c r="I77" s="1703">
        <f t="shared" si="8"/>
        <v>-3184</v>
      </c>
      <c r="J77" s="1703">
        <f t="shared" si="8"/>
        <v>0</v>
      </c>
      <c r="K77" s="1703">
        <f t="shared" si="8"/>
        <v>0</v>
      </c>
      <c r="L77" s="347"/>
    </row>
    <row r="78" spans="1:12" ht="21.75" customHeight="1" thickTop="1" thickBot="1" x14ac:dyDescent="0.25">
      <c r="A78" s="2122" t="s">
        <v>597</v>
      </c>
      <c r="B78" s="2123"/>
      <c r="C78" s="1702">
        <f t="shared" ref="C78:K78" si="9">C20+C77</f>
        <v>134791</v>
      </c>
      <c r="D78" s="1702">
        <f t="shared" si="9"/>
        <v>1051</v>
      </c>
      <c r="E78" s="1702">
        <f t="shared" si="9"/>
        <v>10740</v>
      </c>
      <c r="F78" s="1702">
        <f t="shared" si="9"/>
        <v>-78658</v>
      </c>
      <c r="G78" s="1702">
        <f t="shared" si="9"/>
        <v>3550</v>
      </c>
      <c r="H78" s="1702">
        <f t="shared" si="9"/>
        <v>0</v>
      </c>
      <c r="I78" s="1702">
        <f t="shared" si="9"/>
        <v>13</v>
      </c>
      <c r="J78" s="1702">
        <f t="shared" si="9"/>
        <v>-15</v>
      </c>
      <c r="K78" s="1702">
        <f t="shared" si="9"/>
        <v>-4328</v>
      </c>
      <c r="L78" s="533"/>
    </row>
    <row r="79" spans="1:12" ht="13.5" thickTop="1" x14ac:dyDescent="0.2">
      <c r="A79" s="1494" t="s">
        <v>1948</v>
      </c>
      <c r="B79" s="534"/>
      <c r="C79" s="478">
        <v>89631</v>
      </c>
      <c r="D79" s="535">
        <v>20051</v>
      </c>
      <c r="E79" s="535">
        <v>1572</v>
      </c>
      <c r="F79" s="535">
        <v>68164</v>
      </c>
      <c r="G79" s="535">
        <v>4481</v>
      </c>
      <c r="H79" s="535"/>
      <c r="I79" s="535"/>
      <c r="J79" s="535">
        <v>21</v>
      </c>
      <c r="K79" s="535">
        <v>5091</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1949</v>
      </c>
      <c r="B81" s="2121"/>
      <c r="C81" s="1688">
        <f>(SUM(C78:C80))</f>
        <v>224422</v>
      </c>
      <c r="D81" s="1688">
        <f>SUM(D78:D80)</f>
        <v>21102</v>
      </c>
      <c r="E81" s="1688">
        <f t="shared" ref="E81:K81" si="10">SUM(E78:E80)</f>
        <v>12312</v>
      </c>
      <c r="F81" s="1688">
        <f t="shared" si="10"/>
        <v>-10494</v>
      </c>
      <c r="G81" s="1688">
        <f t="shared" si="10"/>
        <v>8031</v>
      </c>
      <c r="H81" s="1688">
        <f t="shared" si="10"/>
        <v>0</v>
      </c>
      <c r="I81" s="1688">
        <f t="shared" si="10"/>
        <v>13</v>
      </c>
      <c r="J81" s="1688">
        <f t="shared" si="10"/>
        <v>6</v>
      </c>
      <c r="K81" s="1688">
        <f t="shared" si="10"/>
        <v>763</v>
      </c>
      <c r="L81" s="347"/>
    </row>
    <row r="82" spans="1:12" ht="0.75" customHeight="1" thickTop="1" thickBot="1" x14ac:dyDescent="0.25">
      <c r="A82" s="536" t="s">
        <v>343</v>
      </c>
      <c r="B82" s="537"/>
      <c r="C82" s="538">
        <f>(C81-C79)</f>
        <v>134791</v>
      </c>
      <c r="D82" s="538">
        <f t="shared" ref="D82:K82" si="11">(D81-D79)</f>
        <v>1051</v>
      </c>
      <c r="E82" s="538">
        <f t="shared" si="11"/>
        <v>10740</v>
      </c>
      <c r="F82" s="538">
        <f t="shared" si="11"/>
        <v>-78658</v>
      </c>
      <c r="G82" s="538">
        <f t="shared" si="11"/>
        <v>3550</v>
      </c>
      <c r="H82" s="538">
        <f t="shared" si="11"/>
        <v>0</v>
      </c>
      <c r="I82" s="538">
        <f t="shared" si="11"/>
        <v>13</v>
      </c>
      <c r="J82" s="538">
        <f t="shared" si="11"/>
        <v>-15</v>
      </c>
      <c r="K82" s="538">
        <f t="shared" si="11"/>
        <v>-4328</v>
      </c>
    </row>
    <row r="83" spans="1:12" ht="14.25" hidden="1" thickTop="1" thickBot="1" x14ac:dyDescent="0.25">
      <c r="A83" s="539" t="s">
        <v>344</v>
      </c>
      <c r="B83" s="464"/>
      <c r="C83" s="540">
        <f>C82/C81</f>
        <v>0.60061402179821943</v>
      </c>
      <c r="D83" s="540">
        <f t="shared" ref="D83:K83" si="12">D82/D81</f>
        <v>4.9805705620320349E-2</v>
      </c>
      <c r="E83" s="540">
        <f t="shared" si="12"/>
        <v>0.87231968810916183</v>
      </c>
      <c r="F83" s="540">
        <f t="shared" si="12"/>
        <v>7.4955212502382311</v>
      </c>
      <c r="G83" s="540">
        <f t="shared" si="12"/>
        <v>0.44203710621342296</v>
      </c>
      <c r="H83" s="540" t="e">
        <f t="shared" si="12"/>
        <v>#DIV/0!</v>
      </c>
      <c r="I83" s="540">
        <f t="shared" si="12"/>
        <v>1</v>
      </c>
      <c r="J83" s="540">
        <f t="shared" si="12"/>
        <v>-2.5</v>
      </c>
      <c r="K83" s="540">
        <f t="shared" si="12"/>
        <v>-5.6723460026212322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106194</v>
      </c>
      <c r="D5" s="481">
        <v>15525</v>
      </c>
      <c r="E5" s="466">
        <v>21107</v>
      </c>
      <c r="F5" s="548">
        <v>7452</v>
      </c>
      <c r="G5" s="466">
        <v>3095</v>
      </c>
      <c r="H5" s="466"/>
      <c r="I5" s="466">
        <v>3105</v>
      </c>
      <c r="J5" s="467">
        <v>31394</v>
      </c>
      <c r="K5" s="466">
        <v>3105</v>
      </c>
    </row>
    <row r="6" spans="1:12" ht="15" x14ac:dyDescent="0.2">
      <c r="A6" s="463" t="s">
        <v>1662</v>
      </c>
      <c r="B6" s="470">
        <v>1130</v>
      </c>
      <c r="C6" s="466">
        <v>3105</v>
      </c>
      <c r="D6" s="466"/>
      <c r="E6" s="475"/>
      <c r="F6" s="475"/>
      <c r="G6" s="468"/>
      <c r="H6" s="468"/>
      <c r="I6" s="468"/>
      <c r="J6" s="468"/>
      <c r="K6" s="468"/>
    </row>
    <row r="7" spans="1:12" x14ac:dyDescent="0.2">
      <c r="A7" s="463" t="s">
        <v>110</v>
      </c>
      <c r="B7" s="549">
        <v>1140</v>
      </c>
      <c r="C7" s="466">
        <v>1242</v>
      </c>
      <c r="D7" s="466"/>
      <c r="E7" s="468"/>
      <c r="F7" s="467"/>
      <c r="G7" s="467"/>
      <c r="H7" s="467"/>
      <c r="I7" s="468"/>
      <c r="J7" s="468"/>
      <c r="K7" s="468"/>
    </row>
    <row r="8" spans="1:12" x14ac:dyDescent="0.2">
      <c r="A8" s="463" t="s">
        <v>413</v>
      </c>
      <c r="B8" s="470">
        <v>1150</v>
      </c>
      <c r="C8" s="475"/>
      <c r="D8" s="475"/>
      <c r="E8" s="477"/>
      <c r="F8" s="477"/>
      <c r="G8" s="481">
        <v>20639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110541</v>
      </c>
      <c r="D12" s="1707">
        <f t="shared" si="0"/>
        <v>15525</v>
      </c>
      <c r="E12" s="1707">
        <f t="shared" si="0"/>
        <v>21107</v>
      </c>
      <c r="F12" s="1707">
        <f t="shared" si="0"/>
        <v>7452</v>
      </c>
      <c r="G12" s="1707">
        <f t="shared" si="0"/>
        <v>23734</v>
      </c>
      <c r="H12" s="1707">
        <f t="shared" si="0"/>
        <v>0</v>
      </c>
      <c r="I12" s="1707">
        <f t="shared" si="0"/>
        <v>3105</v>
      </c>
      <c r="J12" s="1707">
        <f t="shared" si="0"/>
        <v>31394</v>
      </c>
      <c r="K12" s="1688">
        <f t="shared" si="0"/>
        <v>3105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3937</v>
      </c>
      <c r="E16" s="466"/>
      <c r="F16" s="466"/>
      <c r="G16" s="466">
        <v>308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3937</v>
      </c>
      <c r="E18" s="1710">
        <f t="shared" si="1"/>
        <v>0</v>
      </c>
      <c r="F18" s="1710">
        <f t="shared" si="1"/>
        <v>0</v>
      </c>
      <c r="G18" s="1710">
        <f t="shared" si="1"/>
        <v>308</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156</v>
      </c>
      <c r="D65" s="466">
        <v>46</v>
      </c>
      <c r="E65" s="466">
        <v>29</v>
      </c>
      <c r="F65" s="467">
        <v>99</v>
      </c>
      <c r="G65" s="466">
        <v>35</v>
      </c>
      <c r="H65" s="466"/>
      <c r="I65" s="466">
        <v>92</v>
      </c>
      <c r="J65" s="467">
        <v>44</v>
      </c>
      <c r="K65" s="466">
        <v>17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156</v>
      </c>
      <c r="D67" s="1688">
        <f t="shared" ref="D67:K67" si="2">SUM(D65:D66)</f>
        <v>46</v>
      </c>
      <c r="E67" s="1688">
        <f t="shared" si="2"/>
        <v>29</v>
      </c>
      <c r="F67" s="1688">
        <f t="shared" si="2"/>
        <v>99</v>
      </c>
      <c r="G67" s="1688">
        <f t="shared" si="2"/>
        <v>35</v>
      </c>
      <c r="H67" s="1688">
        <f t="shared" si="2"/>
        <v>0</v>
      </c>
      <c r="I67" s="1688">
        <f t="shared" si="2"/>
        <v>92</v>
      </c>
      <c r="J67" s="1688">
        <f t="shared" si="2"/>
        <v>44</v>
      </c>
      <c r="K67" s="1688">
        <f t="shared" si="2"/>
        <v>17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1186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556</v>
      </c>
      <c r="D81" s="466"/>
      <c r="E81" s="468"/>
      <c r="F81" s="468"/>
      <c r="G81" s="468"/>
      <c r="H81" s="468"/>
      <c r="I81" s="468"/>
      <c r="J81" s="468"/>
      <c r="K81" s="468"/>
    </row>
    <row r="82" spans="1:11" ht="12.75" customHeight="1" thickBot="1" x14ac:dyDescent="0.25">
      <c r="A82" s="1708" t="s">
        <v>241</v>
      </c>
      <c r="B82" s="1709"/>
      <c r="C82" s="1707">
        <f>SUM(C77:C81)</f>
        <v>1742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4385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4385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18841</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616</v>
      </c>
      <c r="D99" s="466"/>
      <c r="E99" s="466"/>
      <c r="F99" s="466"/>
      <c r="G99" s="466"/>
      <c r="H99" s="466"/>
      <c r="I99" s="468"/>
      <c r="J99" s="467"/>
      <c r="K99" s="466"/>
    </row>
    <row r="100" spans="1:12" ht="12.75" customHeight="1" x14ac:dyDescent="0.2">
      <c r="A100" s="463" t="s">
        <v>245</v>
      </c>
      <c r="B100" s="470">
        <v>1960</v>
      </c>
      <c r="C100" s="489">
        <v>12720</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155</v>
      </c>
      <c r="D107" s="466">
        <v>7698</v>
      </c>
      <c r="E107" s="466"/>
      <c r="F107" s="466"/>
      <c r="G107" s="466"/>
      <c r="H107" s="466"/>
      <c r="I107" s="466"/>
      <c r="J107" s="467"/>
      <c r="K107" s="466"/>
    </row>
    <row r="108" spans="1:12" ht="12.75" customHeight="1" thickBot="1" x14ac:dyDescent="0.25">
      <c r="A108" s="1708" t="s">
        <v>487</v>
      </c>
      <c r="B108" s="1712"/>
      <c r="C108" s="1707">
        <f>SUM(C95:C107)</f>
        <v>32332</v>
      </c>
      <c r="D108" s="1707">
        <f t="shared" ref="D108:K108" si="3">SUM(D95:D107)</f>
        <v>7698</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149156</v>
      </c>
      <c r="D109" s="1715">
        <f t="shared" si="4"/>
        <v>27206</v>
      </c>
      <c r="E109" s="1715">
        <f t="shared" si="4"/>
        <v>21136</v>
      </c>
      <c r="F109" s="1715">
        <f t="shared" si="4"/>
        <v>7551</v>
      </c>
      <c r="G109" s="1715">
        <f t="shared" si="4"/>
        <v>24077</v>
      </c>
      <c r="H109" s="1715">
        <f t="shared" si="4"/>
        <v>0</v>
      </c>
      <c r="I109" s="1715">
        <f t="shared" si="4"/>
        <v>3197</v>
      </c>
      <c r="J109" s="1715">
        <f t="shared" si="4"/>
        <v>31438</v>
      </c>
      <c r="K109" s="1702">
        <f t="shared" si="4"/>
        <v>3122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276397</v>
      </c>
      <c r="D117" s="481">
        <v>18500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276397</v>
      </c>
      <c r="D122" s="1707">
        <f t="shared" si="5"/>
        <v>18500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24633</v>
      </c>
      <c r="G152" s="467"/>
      <c r="H152" s="468"/>
      <c r="I152" s="468"/>
      <c r="J152" s="468"/>
      <c r="K152" s="468"/>
    </row>
    <row r="153" spans="1:11" ht="12.75" customHeight="1" x14ac:dyDescent="0.2">
      <c r="A153" s="463" t="s">
        <v>1057</v>
      </c>
      <c r="B153" s="562">
        <v>3510</v>
      </c>
      <c r="C153" s="551"/>
      <c r="D153" s="466"/>
      <c r="E153" s="561"/>
      <c r="F153" s="466">
        <v>855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25488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0</v>
      </c>
      <c r="D169" s="1722">
        <f t="shared" si="6"/>
        <v>0</v>
      </c>
      <c r="E169" s="1722">
        <f t="shared" si="6"/>
        <v>0</v>
      </c>
      <c r="F169" s="1722">
        <f t="shared" si="6"/>
        <v>25488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276397</v>
      </c>
      <c r="D170" s="1715">
        <f t="shared" si="7"/>
        <v>18500</v>
      </c>
      <c r="E170" s="1715">
        <f t="shared" si="7"/>
        <v>0</v>
      </c>
      <c r="F170" s="1715">
        <f t="shared" si="7"/>
        <v>25488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6359</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6359</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25703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25703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2585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2585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3089</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37736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37736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463289</v>
      </c>
      <c r="D268" s="1715">
        <f t="shared" si="12"/>
        <v>45706</v>
      </c>
      <c r="E268" s="1715">
        <f t="shared" si="12"/>
        <v>21136</v>
      </c>
      <c r="F268" s="1715">
        <f t="shared" si="12"/>
        <v>33039</v>
      </c>
      <c r="G268" s="1715">
        <f t="shared" si="12"/>
        <v>24077</v>
      </c>
      <c r="H268" s="1715">
        <f t="shared" si="12"/>
        <v>0</v>
      </c>
      <c r="I268" s="1715">
        <f t="shared" si="12"/>
        <v>3197</v>
      </c>
      <c r="J268" s="1715">
        <f t="shared" si="12"/>
        <v>31438</v>
      </c>
      <c r="K268" s="1702">
        <f t="shared" si="12"/>
        <v>3122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80" activePane="bottomLeft" state="frozen"/>
      <selection pane="bottomLeft" activeCell="N366" sqref="N36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212626</v>
      </c>
      <c r="D5" s="466">
        <v>26096</v>
      </c>
      <c r="E5" s="466">
        <v>278</v>
      </c>
      <c r="F5" s="466">
        <v>20559</v>
      </c>
      <c r="G5" s="466"/>
      <c r="H5" s="466">
        <v>464</v>
      </c>
      <c r="I5" s="467"/>
      <c r="J5" s="467"/>
      <c r="K5" s="1671">
        <f>SUM(C5:J5)</f>
        <v>260023</v>
      </c>
      <c r="L5" s="466">
        <v>251739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46046</v>
      </c>
      <c r="D8" s="466">
        <v>3786</v>
      </c>
      <c r="E8" s="466"/>
      <c r="F8" s="466">
        <v>54</v>
      </c>
      <c r="G8" s="466"/>
      <c r="H8" s="466"/>
      <c r="I8" s="467"/>
      <c r="J8" s="467"/>
      <c r="K8" s="1671">
        <f t="shared" si="0"/>
        <v>49886</v>
      </c>
      <c r="L8" s="466">
        <v>55321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v>11972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9100</v>
      </c>
      <c r="D14" s="466">
        <v>54</v>
      </c>
      <c r="E14" s="466">
        <v>1545</v>
      </c>
      <c r="F14" s="466">
        <v>428</v>
      </c>
      <c r="G14" s="466"/>
      <c r="H14" s="466">
        <v>45</v>
      </c>
      <c r="I14" s="467"/>
      <c r="J14" s="467"/>
      <c r="K14" s="1671">
        <f t="shared" si="0"/>
        <v>11172</v>
      </c>
      <c r="L14" s="466">
        <v>12274</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267772</v>
      </c>
      <c r="D33" s="1670">
        <f t="shared" ref="D33:L33" si="1">SUM(D5:D32)</f>
        <v>29936</v>
      </c>
      <c r="E33" s="1670">
        <f t="shared" si="1"/>
        <v>1823</v>
      </c>
      <c r="F33" s="1670">
        <f t="shared" si="1"/>
        <v>21041</v>
      </c>
      <c r="G33" s="1670">
        <f t="shared" si="1"/>
        <v>0</v>
      </c>
      <c r="H33" s="1670">
        <f t="shared" si="1"/>
        <v>509</v>
      </c>
      <c r="I33" s="1670">
        <f t="shared" si="1"/>
        <v>0</v>
      </c>
      <c r="J33" s="1670">
        <f t="shared" si="1"/>
        <v>0</v>
      </c>
      <c r="K33" s="1670">
        <f t="shared" si="1"/>
        <v>321081</v>
      </c>
      <c r="L33" s="1670">
        <f t="shared" si="1"/>
        <v>331306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258</v>
      </c>
      <c r="F38" s="466"/>
      <c r="G38" s="466"/>
      <c r="H38" s="466"/>
      <c r="I38" s="467"/>
      <c r="J38" s="467"/>
      <c r="K38" s="1671">
        <f t="shared" si="2"/>
        <v>258</v>
      </c>
      <c r="L38" s="466">
        <v>238</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7619</v>
      </c>
      <c r="F40" s="466"/>
      <c r="G40" s="466"/>
      <c r="H40" s="466"/>
      <c r="I40" s="467"/>
      <c r="J40" s="467"/>
      <c r="K40" s="1671">
        <f t="shared" si="2"/>
        <v>7619</v>
      </c>
      <c r="L40" s="466">
        <v>7560</v>
      </c>
    </row>
    <row r="41" spans="1:14" x14ac:dyDescent="0.2">
      <c r="A41" s="1504" t="s">
        <v>1669</v>
      </c>
      <c r="B41" s="614">
        <v>2190</v>
      </c>
      <c r="C41" s="466"/>
      <c r="D41" s="466"/>
      <c r="E41" s="466"/>
      <c r="F41" s="466"/>
      <c r="G41" s="466"/>
      <c r="H41" s="466">
        <v>3105</v>
      </c>
      <c r="I41" s="467"/>
      <c r="J41" s="467"/>
      <c r="K41" s="1671">
        <f t="shared" si="2"/>
        <v>3105</v>
      </c>
      <c r="L41" s="466">
        <v>3376</v>
      </c>
    </row>
    <row r="42" spans="1:14" ht="12.75" customHeight="1" thickBot="1" x14ac:dyDescent="0.25">
      <c r="A42" s="1668" t="s">
        <v>560</v>
      </c>
      <c r="B42" s="1669" t="s">
        <v>716</v>
      </c>
      <c r="C42" s="1670">
        <f>SUM(C36:C41)</f>
        <v>0</v>
      </c>
      <c r="D42" s="1670">
        <f t="shared" ref="D42:L42" si="3">SUM(D36:D41)</f>
        <v>0</v>
      </c>
      <c r="E42" s="1670">
        <f t="shared" si="3"/>
        <v>7877</v>
      </c>
      <c r="F42" s="1670">
        <f t="shared" si="3"/>
        <v>0</v>
      </c>
      <c r="G42" s="1670">
        <f t="shared" si="3"/>
        <v>0</v>
      </c>
      <c r="H42" s="1670">
        <f t="shared" si="3"/>
        <v>3105</v>
      </c>
      <c r="I42" s="1670">
        <f t="shared" si="3"/>
        <v>0</v>
      </c>
      <c r="J42" s="1670">
        <f t="shared" si="3"/>
        <v>0</v>
      </c>
      <c r="K42" s="1670">
        <f t="shared" si="3"/>
        <v>10982</v>
      </c>
      <c r="L42" s="1670">
        <f t="shared" si="3"/>
        <v>11174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550</v>
      </c>
      <c r="F44" s="481"/>
      <c r="G44" s="481"/>
      <c r="H44" s="481"/>
      <c r="I44" s="467"/>
      <c r="J44" s="467"/>
      <c r="K44" s="1672">
        <f>SUM(C44:J44)</f>
        <v>550</v>
      </c>
      <c r="L44" s="481"/>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550</v>
      </c>
      <c r="F47" s="1670">
        <f t="shared" si="4"/>
        <v>0</v>
      </c>
      <c r="G47" s="1670">
        <f t="shared" si="4"/>
        <v>0</v>
      </c>
      <c r="H47" s="1670">
        <f t="shared" si="4"/>
        <v>0</v>
      </c>
      <c r="I47" s="1670">
        <f t="shared" si="4"/>
        <v>0</v>
      </c>
      <c r="J47" s="1670">
        <f t="shared" si="4"/>
        <v>0</v>
      </c>
      <c r="K47" s="1670">
        <f t="shared" si="4"/>
        <v>550</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f>1477+1477</f>
        <v>2954</v>
      </c>
      <c r="D49" s="481"/>
      <c r="E49" s="481">
        <v>9204</v>
      </c>
      <c r="F49" s="481">
        <v>154</v>
      </c>
      <c r="G49" s="481"/>
      <c r="H49" s="481"/>
      <c r="I49" s="467"/>
      <c r="J49" s="467"/>
      <c r="K49" s="1672">
        <f>SUM(C49:J49)</f>
        <v>12312</v>
      </c>
      <c r="L49" s="481">
        <v>11656</v>
      </c>
    </row>
    <row r="50" spans="1:14" x14ac:dyDescent="0.2">
      <c r="A50" s="1504" t="s">
        <v>818</v>
      </c>
      <c r="B50" s="614">
        <v>2320</v>
      </c>
      <c r="C50" s="466">
        <v>34724</v>
      </c>
      <c r="D50" s="466"/>
      <c r="E50" s="466">
        <v>1246</v>
      </c>
      <c r="F50" s="466">
        <v>471</v>
      </c>
      <c r="G50" s="466"/>
      <c r="H50" s="466"/>
      <c r="I50" s="467"/>
      <c r="J50" s="467"/>
      <c r="K50" s="1672">
        <f>SUM(C50:J50)</f>
        <v>36441</v>
      </c>
      <c r="L50" s="466">
        <v>39288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37678</v>
      </c>
      <c r="D53" s="1670">
        <f t="shared" ref="D53:L53" si="5">SUM(D49:D52)</f>
        <v>0</v>
      </c>
      <c r="E53" s="1670">
        <f t="shared" si="5"/>
        <v>10450</v>
      </c>
      <c r="F53" s="1670">
        <f t="shared" si="5"/>
        <v>625</v>
      </c>
      <c r="G53" s="1670">
        <f t="shared" si="5"/>
        <v>0</v>
      </c>
      <c r="H53" s="1670">
        <f t="shared" si="5"/>
        <v>0</v>
      </c>
      <c r="I53" s="1670">
        <f t="shared" si="5"/>
        <v>0</v>
      </c>
      <c r="J53" s="1670">
        <f t="shared" si="5"/>
        <v>0</v>
      </c>
      <c r="K53" s="1670">
        <f t="shared" si="5"/>
        <v>48753</v>
      </c>
      <c r="L53" s="1670">
        <f t="shared" si="5"/>
        <v>50944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40366</v>
      </c>
      <c r="D55" s="481"/>
      <c r="E55" s="481">
        <v>6070</v>
      </c>
      <c r="F55" s="481">
        <v>1279</v>
      </c>
      <c r="G55" s="481"/>
      <c r="H55" s="481"/>
      <c r="I55" s="467"/>
      <c r="J55" s="467"/>
      <c r="K55" s="1672">
        <f>SUM(C55:J55)</f>
        <v>47715</v>
      </c>
      <c r="L55" s="481">
        <v>47940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40366</v>
      </c>
      <c r="D57" s="1674">
        <f t="shared" ref="D57:K57" si="6">SUM(D55:D56)</f>
        <v>0</v>
      </c>
      <c r="E57" s="1674">
        <f t="shared" si="6"/>
        <v>6070</v>
      </c>
      <c r="F57" s="1674">
        <f t="shared" si="6"/>
        <v>1279</v>
      </c>
      <c r="G57" s="1674">
        <f t="shared" si="6"/>
        <v>0</v>
      </c>
      <c r="H57" s="1674">
        <f t="shared" si="6"/>
        <v>0</v>
      </c>
      <c r="I57" s="1674">
        <f t="shared" si="6"/>
        <v>0</v>
      </c>
      <c r="J57" s="1674">
        <f t="shared" si="6"/>
        <v>0</v>
      </c>
      <c r="K57" s="1674">
        <f t="shared" si="6"/>
        <v>47715</v>
      </c>
      <c r="L57" s="1670">
        <f>SUM(L55:L56)</f>
        <v>47940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21353</v>
      </c>
      <c r="D60" s="466"/>
      <c r="E60" s="466"/>
      <c r="F60" s="466">
        <v>1273</v>
      </c>
      <c r="G60" s="466">
        <v>9500</v>
      </c>
      <c r="H60" s="466"/>
      <c r="I60" s="467"/>
      <c r="J60" s="467"/>
      <c r="K60" s="1672">
        <f t="shared" si="7"/>
        <v>32126</v>
      </c>
      <c r="L60" s="466">
        <v>19857</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21353</v>
      </c>
      <c r="D65" s="1670">
        <f t="shared" ref="D65:L65" si="8">SUM(D59:D64)</f>
        <v>0</v>
      </c>
      <c r="E65" s="1670">
        <f t="shared" si="8"/>
        <v>0</v>
      </c>
      <c r="F65" s="1670">
        <f t="shared" si="8"/>
        <v>1273</v>
      </c>
      <c r="G65" s="1670">
        <f t="shared" si="8"/>
        <v>9500</v>
      </c>
      <c r="H65" s="1670">
        <f t="shared" si="8"/>
        <v>0</v>
      </c>
      <c r="I65" s="1670">
        <f t="shared" si="8"/>
        <v>0</v>
      </c>
      <c r="J65" s="1670">
        <f t="shared" si="8"/>
        <v>0</v>
      </c>
      <c r="K65" s="1670">
        <f t="shared" si="8"/>
        <v>32126</v>
      </c>
      <c r="L65" s="1670">
        <f t="shared" si="8"/>
        <v>19857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193</v>
      </c>
      <c r="F71" s="466"/>
      <c r="G71" s="466"/>
      <c r="H71" s="466"/>
      <c r="I71" s="467"/>
      <c r="J71" s="467"/>
      <c r="K71" s="1672">
        <f>SUM(C71:J71)</f>
        <v>193</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193</v>
      </c>
      <c r="F72" s="1670">
        <f t="shared" si="9"/>
        <v>0</v>
      </c>
      <c r="G72" s="1670">
        <f t="shared" si="9"/>
        <v>0</v>
      </c>
      <c r="H72" s="1670">
        <f t="shared" si="9"/>
        <v>0</v>
      </c>
      <c r="I72" s="1670">
        <f t="shared" si="9"/>
        <v>0</v>
      </c>
      <c r="J72" s="1670">
        <f t="shared" si="9"/>
        <v>0</v>
      </c>
      <c r="K72" s="1670">
        <f t="shared" si="9"/>
        <v>193</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99397</v>
      </c>
      <c r="D74" s="1677">
        <f t="shared" ref="D74:K74" si="10">SUM(D42,D47,D53,D57,D65,D72,D73)</f>
        <v>0</v>
      </c>
      <c r="E74" s="1677">
        <f t="shared" si="10"/>
        <v>25140</v>
      </c>
      <c r="F74" s="1677">
        <f t="shared" si="10"/>
        <v>3177</v>
      </c>
      <c r="G74" s="1677">
        <f t="shared" si="10"/>
        <v>9500</v>
      </c>
      <c r="H74" s="1677">
        <f t="shared" si="10"/>
        <v>3105</v>
      </c>
      <c r="I74" s="1677">
        <f t="shared" si="10"/>
        <v>0</v>
      </c>
      <c r="J74" s="1677">
        <f t="shared" si="10"/>
        <v>0</v>
      </c>
      <c r="K74" s="1677">
        <f t="shared" si="10"/>
        <v>140319</v>
      </c>
      <c r="L74" s="1677">
        <f>SUM(L42,L47,L53,L57,L65,L72,L73)</f>
        <v>129915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5746</v>
      </c>
      <c r="F79" s="616"/>
      <c r="G79" s="616"/>
      <c r="H79" s="466">
        <v>15265</v>
      </c>
      <c r="I79" s="477"/>
      <c r="J79" s="477"/>
      <c r="K79" s="1671">
        <f t="shared" si="11"/>
        <v>21011</v>
      </c>
      <c r="L79" s="466">
        <v>5746</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5746</v>
      </c>
      <c r="F84" s="616"/>
      <c r="G84" s="616"/>
      <c r="H84" s="1670">
        <f>SUM(H78:H83)</f>
        <v>15265</v>
      </c>
      <c r="I84" s="477"/>
      <c r="J84" s="477"/>
      <c r="K84" s="1670">
        <f>SUM(K78:K83)</f>
        <v>21011</v>
      </c>
      <c r="L84" s="1670">
        <f>SUM(L78:L83)</f>
        <v>5746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16000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16000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5746</v>
      </c>
      <c r="F102" s="616"/>
      <c r="G102" s="616"/>
      <c r="H102" s="1677">
        <f>SUM(H84,H92,H100,H101)</f>
        <v>15265</v>
      </c>
      <c r="I102" s="477"/>
      <c r="J102" s="477"/>
      <c r="K102" s="1677">
        <f>SUM(K84,K92,K100,K101)</f>
        <v>21011</v>
      </c>
      <c r="L102" s="1677">
        <f>SUM(L84,L92,L100,L101)</f>
        <v>21746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367169</v>
      </c>
      <c r="D114" s="1670">
        <f t="shared" ref="D114:K114" si="13">SUM(D33,D74,D75,D102,D112,D113)</f>
        <v>29936</v>
      </c>
      <c r="E114" s="1670">
        <f t="shared" si="13"/>
        <v>32709</v>
      </c>
      <c r="F114" s="1670">
        <f t="shared" si="13"/>
        <v>24218</v>
      </c>
      <c r="G114" s="1670">
        <f t="shared" si="13"/>
        <v>9500</v>
      </c>
      <c r="H114" s="1670">
        <f>SUM(H33,H74,H75,H102,H112,H113)</f>
        <v>18879</v>
      </c>
      <c r="I114" s="1670">
        <f t="shared" si="13"/>
        <v>0</v>
      </c>
      <c r="J114" s="1670">
        <f t="shared" si="13"/>
        <v>0</v>
      </c>
      <c r="K114" s="1670">
        <f t="shared" si="13"/>
        <v>482411</v>
      </c>
      <c r="L114" s="1670">
        <f>SUM(L33,L74,L75,L102,L112,L113)</f>
        <v>482967</v>
      </c>
    </row>
    <row r="115" spans="1:14" ht="13.5" thickTop="1" x14ac:dyDescent="0.2">
      <c r="A115" s="2181" t="s">
        <v>996</v>
      </c>
      <c r="B115" s="2182"/>
      <c r="C115" s="618"/>
      <c r="D115" s="618"/>
      <c r="E115" s="618"/>
      <c r="F115" s="618"/>
      <c r="G115" s="618"/>
      <c r="H115" s="618"/>
      <c r="I115" s="618"/>
      <c r="J115" s="618"/>
      <c r="K115" s="1684">
        <f>'Revenues 9-14'!C268-'Expenditures 15-22'!K114</f>
        <v>-19122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11910</v>
      </c>
      <c r="D124" s="466">
        <v>121</v>
      </c>
      <c r="E124" s="466">
        <v>10494</v>
      </c>
      <c r="F124" s="466">
        <v>14385</v>
      </c>
      <c r="G124" s="466">
        <v>7745</v>
      </c>
      <c r="H124" s="466"/>
      <c r="I124" s="467"/>
      <c r="J124" s="467"/>
      <c r="K124" s="1670">
        <f>SUM(C124:J124)</f>
        <v>44655</v>
      </c>
      <c r="L124" s="466">
        <v>45499</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11910</v>
      </c>
      <c r="D127" s="1670">
        <f t="shared" ref="D127:L127" si="14">SUM(D122:D126)</f>
        <v>121</v>
      </c>
      <c r="E127" s="1670">
        <f t="shared" si="14"/>
        <v>10494</v>
      </c>
      <c r="F127" s="1670">
        <f t="shared" si="14"/>
        <v>14385</v>
      </c>
      <c r="G127" s="1670">
        <f t="shared" si="14"/>
        <v>7745</v>
      </c>
      <c r="H127" s="1670">
        <f t="shared" si="14"/>
        <v>0</v>
      </c>
      <c r="I127" s="1670">
        <f t="shared" si="14"/>
        <v>0</v>
      </c>
      <c r="J127" s="1670">
        <f t="shared" si="14"/>
        <v>0</v>
      </c>
      <c r="K127" s="1670">
        <f t="shared" si="14"/>
        <v>44655</v>
      </c>
      <c r="L127" s="1670">
        <f t="shared" si="14"/>
        <v>45499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11910</v>
      </c>
      <c r="D129" s="1677">
        <f t="shared" ref="D129:L129" si="15">SUM(D120,D127,D128)</f>
        <v>121</v>
      </c>
      <c r="E129" s="1677">
        <f t="shared" si="15"/>
        <v>10494</v>
      </c>
      <c r="F129" s="1677">
        <f t="shared" si="15"/>
        <v>14385</v>
      </c>
      <c r="G129" s="1677">
        <f t="shared" si="15"/>
        <v>7745</v>
      </c>
      <c r="H129" s="1677">
        <f t="shared" si="15"/>
        <v>0</v>
      </c>
      <c r="I129" s="1677">
        <f t="shared" si="15"/>
        <v>0</v>
      </c>
      <c r="J129" s="1677">
        <f t="shared" si="15"/>
        <v>0</v>
      </c>
      <c r="K129" s="1677">
        <f t="shared" si="15"/>
        <v>44655</v>
      </c>
      <c r="L129" s="1677">
        <f t="shared" si="15"/>
        <v>45499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3"/>
      <c r="C151" s="1670">
        <f>SUM(C129,C130,C139,C149,C150)</f>
        <v>11910</v>
      </c>
      <c r="D151" s="1670">
        <f t="shared" ref="D151:K151" si="16">SUM(D129,D130,D139,D149,D150)</f>
        <v>121</v>
      </c>
      <c r="E151" s="1670">
        <f t="shared" si="16"/>
        <v>10494</v>
      </c>
      <c r="F151" s="1670">
        <f t="shared" si="16"/>
        <v>14385</v>
      </c>
      <c r="G151" s="1670">
        <f t="shared" si="16"/>
        <v>7745</v>
      </c>
      <c r="H151" s="1670">
        <f t="shared" si="16"/>
        <v>0</v>
      </c>
      <c r="I151" s="1670">
        <f t="shared" si="16"/>
        <v>0</v>
      </c>
      <c r="J151" s="1670">
        <f t="shared" si="16"/>
        <v>0</v>
      </c>
      <c r="K151" s="1670">
        <f t="shared" si="16"/>
        <v>44655</v>
      </c>
      <c r="L151" s="1670">
        <f>SUM(L129,L130,L139,L149,L150)</f>
        <v>45499</v>
      </c>
    </row>
    <row r="152" spans="1:14" ht="12.75" customHeight="1" thickTop="1" x14ac:dyDescent="0.2">
      <c r="A152" s="2174" t="s">
        <v>1178</v>
      </c>
      <c r="B152" s="2175"/>
      <c r="C152" s="618"/>
      <c r="D152" s="618"/>
      <c r="E152" s="618"/>
      <c r="F152" s="618"/>
      <c r="G152" s="618"/>
      <c r="H152" s="618"/>
      <c r="I152" s="618"/>
      <c r="J152" s="616"/>
      <c r="K152" s="1684">
        <f>'Revenues 9-14'!D268-'Expenditures 15-22'!K151</f>
        <v>1051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1265</v>
      </c>
      <c r="I169" s="616"/>
      <c r="J169" s="616"/>
      <c r="K169" s="1671">
        <f>SUM(C169:H169)</f>
        <v>1265</v>
      </c>
      <c r="L169" s="656">
        <v>21265</v>
      </c>
    </row>
    <row r="170" spans="1:14" ht="33.75" customHeight="1" x14ac:dyDescent="0.2">
      <c r="A170" s="669" t="s">
        <v>1670</v>
      </c>
      <c r="B170" s="671" t="s">
        <v>31</v>
      </c>
      <c r="C170" s="616"/>
      <c r="D170" s="616"/>
      <c r="E170" s="616"/>
      <c r="F170" s="616"/>
      <c r="G170" s="616"/>
      <c r="H170" s="569">
        <v>20000</v>
      </c>
      <c r="I170" s="616"/>
      <c r="J170" s="616"/>
      <c r="K170" s="1671">
        <f>SUM(C170:J170)</f>
        <v>20000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21265</v>
      </c>
      <c r="I172" s="638"/>
      <c r="J172" s="616"/>
      <c r="K172" s="1677">
        <f>SUM(K168,K169,K170,K171)</f>
        <v>21265</v>
      </c>
      <c r="L172" s="1677">
        <f>SUM(L168,L169,L170,L171)</f>
        <v>21265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21265</v>
      </c>
      <c r="I174" s="638"/>
      <c r="J174" s="616"/>
      <c r="K174" s="1677">
        <f>SUM(K160,K172,K173)</f>
        <v>21265</v>
      </c>
      <c r="L174" s="1677">
        <f>SUM(L160,L172,L173)</f>
        <v>21265</v>
      </c>
    </row>
    <row r="175" spans="1:14" ht="13.5" thickTop="1" x14ac:dyDescent="0.2">
      <c r="A175" s="2181" t="s">
        <v>996</v>
      </c>
      <c r="B175" s="2182"/>
      <c r="C175" s="616"/>
      <c r="D175" s="616"/>
      <c r="E175" s="616"/>
      <c r="F175" s="616"/>
      <c r="G175" s="616"/>
      <c r="H175" s="618"/>
      <c r="I175" s="616"/>
      <c r="J175" s="616"/>
      <c r="K175" s="1684">
        <f>'Revenues 9-14'!E268-'Expenditures 15-22'!K174</f>
        <v>-129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21893</v>
      </c>
      <c r="D182" s="466"/>
      <c r="E182" s="466">
        <v>6852</v>
      </c>
      <c r="F182" s="466">
        <f>40+4649</f>
        <v>4689</v>
      </c>
      <c r="G182" s="466">
        <v>77372</v>
      </c>
      <c r="H182" s="466">
        <v>891</v>
      </c>
      <c r="I182" s="467"/>
      <c r="J182" s="467"/>
      <c r="K182" s="1671">
        <f>SUM(C182:J182)</f>
        <v>111697</v>
      </c>
      <c r="L182" s="466">
        <v>111244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21893</v>
      </c>
      <c r="D184" s="1677">
        <f t="shared" ref="D184:J184" si="17">SUM(D180,D182,D183)</f>
        <v>0</v>
      </c>
      <c r="E184" s="1677">
        <f t="shared" si="17"/>
        <v>6852</v>
      </c>
      <c r="F184" s="1677">
        <f t="shared" si="17"/>
        <v>4689</v>
      </c>
      <c r="G184" s="1677">
        <f t="shared" si="17"/>
        <v>77372</v>
      </c>
      <c r="H184" s="1677">
        <f t="shared" si="17"/>
        <v>891</v>
      </c>
      <c r="I184" s="1677">
        <f t="shared" si="17"/>
        <v>0</v>
      </c>
      <c r="J184" s="1677">
        <f t="shared" si="17"/>
        <v>0</v>
      </c>
      <c r="K184" s="1677">
        <f>SUM(K180,K182,K183)</f>
        <v>111697</v>
      </c>
      <c r="L184" s="1677">
        <f>SUM(L180, L182:L183)</f>
        <v>111244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v>4386</v>
      </c>
      <c r="I207" s="616"/>
      <c r="J207" s="616"/>
      <c r="K207" s="1671">
        <f>H207</f>
        <v>4386</v>
      </c>
      <c r="L207" s="466"/>
    </row>
    <row r="208" spans="1:14" ht="12.75" customHeight="1" thickBot="1" x14ac:dyDescent="0.25">
      <c r="A208" s="1686" t="s">
        <v>638</v>
      </c>
      <c r="B208" s="1687" t="s">
        <v>492</v>
      </c>
      <c r="C208" s="616"/>
      <c r="D208" s="616"/>
      <c r="E208" s="616"/>
      <c r="F208" s="616"/>
      <c r="G208" s="616"/>
      <c r="H208" s="1677">
        <f>SUM(H204,H205,H206,H207)</f>
        <v>4386</v>
      </c>
      <c r="I208" s="616"/>
      <c r="J208" s="616"/>
      <c r="K208" s="1677">
        <f>SUM(K204,K205,K206,K207)</f>
        <v>4386</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21893</v>
      </c>
      <c r="D210" s="1670">
        <f>SUM(D184,D185)</f>
        <v>0</v>
      </c>
      <c r="E210" s="1670">
        <f>SUM(E184,E185,E196)</f>
        <v>6852</v>
      </c>
      <c r="F210" s="1670">
        <f>SUM(F184,F185)</f>
        <v>4689</v>
      </c>
      <c r="G210" s="1670">
        <f>SUM(G184,G185)</f>
        <v>77372</v>
      </c>
      <c r="H210" s="1670">
        <f>SUM(H184,H185,H196,H208,H209)</f>
        <v>5277</v>
      </c>
      <c r="I210" s="1670">
        <f>SUM(I184,I185)</f>
        <v>0</v>
      </c>
      <c r="J210" s="1670">
        <f>SUM(J184,J185)</f>
        <v>0</v>
      </c>
      <c r="K210" s="1671">
        <f>SUM(K184,K185,K196,K208,K209)</f>
        <v>116083</v>
      </c>
      <c r="L210" s="1670">
        <f>SUM(L184,L185,L196,L208,L209)</f>
        <v>111244</v>
      </c>
    </row>
    <row r="211" spans="1:14" ht="13.5" thickTop="1" x14ac:dyDescent="0.2">
      <c r="A211" s="2181" t="s">
        <v>996</v>
      </c>
      <c r="B211" s="2182"/>
      <c r="C211" s="618"/>
      <c r="D211" s="618"/>
      <c r="E211" s="618"/>
      <c r="F211" s="618"/>
      <c r="G211" s="618"/>
      <c r="H211" s="618"/>
      <c r="I211" s="616"/>
      <c r="J211" s="616"/>
      <c r="K211" s="1684">
        <f>'Revenues 9-14'!F268-'Expenditures 15-22'!K210</f>
        <v>-83044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195+3400</f>
        <v>3595</v>
      </c>
      <c r="E215" s="616"/>
      <c r="F215" s="616"/>
      <c r="G215" s="616"/>
      <c r="H215" s="616"/>
      <c r="I215" s="616"/>
      <c r="J215" s="616"/>
      <c r="K215" s="1671">
        <f>D215</f>
        <v>3595</v>
      </c>
      <c r="L215" s="466">
        <v>3450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330+1785</f>
        <v>2115</v>
      </c>
      <c r="E217" s="616"/>
      <c r="F217" s="616"/>
      <c r="G217" s="616"/>
      <c r="H217" s="616"/>
      <c r="I217" s="616"/>
      <c r="J217" s="616"/>
      <c r="K217" s="1671">
        <f t="shared" si="19"/>
        <v>2115</v>
      </c>
      <c r="L217" s="466">
        <v>3000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473</v>
      </c>
      <c r="E223" s="616"/>
      <c r="F223" s="616"/>
      <c r="G223" s="616"/>
      <c r="H223" s="616"/>
      <c r="I223" s="616"/>
      <c r="J223" s="616"/>
      <c r="K223" s="1671">
        <f t="shared" si="19"/>
        <v>473</v>
      </c>
      <c r="L223" s="466">
        <v>485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6183</v>
      </c>
      <c r="E229" s="616"/>
      <c r="F229" s="616"/>
      <c r="G229" s="616"/>
      <c r="H229" s="616"/>
      <c r="I229" s="616"/>
      <c r="J229" s="616"/>
      <c r="K229" s="1670">
        <f>SUM(K215:K228)</f>
        <v>6183</v>
      </c>
      <c r="L229" s="1670">
        <f>SUM(L215:L228)</f>
        <v>6935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257+226</f>
        <v>483</v>
      </c>
      <c r="E245" s="616"/>
      <c r="F245" s="616"/>
      <c r="G245" s="616"/>
      <c r="H245" s="616"/>
      <c r="I245" s="616"/>
      <c r="J245" s="616"/>
      <c r="K245" s="1672">
        <f>D245</f>
        <v>483</v>
      </c>
      <c r="L245" s="481">
        <v>457</v>
      </c>
    </row>
    <row r="246" spans="1:12" x14ac:dyDescent="0.2">
      <c r="A246" s="1504" t="s">
        <v>818</v>
      </c>
      <c r="B246" s="614">
        <v>2320</v>
      </c>
      <c r="C246" s="616"/>
      <c r="D246" s="466">
        <f>232+577</f>
        <v>809</v>
      </c>
      <c r="E246" s="616"/>
      <c r="F246" s="616"/>
      <c r="G246" s="616"/>
      <c r="H246" s="616"/>
      <c r="I246" s="616"/>
      <c r="J246" s="616"/>
      <c r="K246" s="1672">
        <f t="shared" ref="K246:K256" si="21">D246</f>
        <v>809</v>
      </c>
      <c r="L246" s="466">
        <v>1989</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1292</v>
      </c>
      <c r="E257" s="616"/>
      <c r="F257" s="616"/>
      <c r="G257" s="616"/>
      <c r="H257" s="616"/>
      <c r="I257" s="616"/>
      <c r="J257" s="616"/>
      <c r="K257" s="1670">
        <f>SUM(K245:K256)</f>
        <v>1292</v>
      </c>
      <c r="L257" s="1670">
        <f>SUM(L245:L256)</f>
        <v>2446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1635+1247</f>
        <v>2882</v>
      </c>
      <c r="E259" s="616"/>
      <c r="F259" s="616"/>
      <c r="G259" s="616"/>
      <c r="H259" s="616"/>
      <c r="I259" s="616"/>
      <c r="J259" s="616"/>
      <c r="K259" s="1672">
        <f>D259</f>
        <v>2882</v>
      </c>
      <c r="L259" s="481">
        <v>2185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2882</v>
      </c>
      <c r="E261" s="616"/>
      <c r="F261" s="616"/>
      <c r="G261" s="616"/>
      <c r="H261" s="616"/>
      <c r="I261" s="616"/>
      <c r="J261" s="616"/>
      <c r="K261" s="1670">
        <f>SUM(K259:K260)</f>
        <v>2882</v>
      </c>
      <c r="L261" s="1670">
        <f>SUM(L259:L260)</f>
        <v>2185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3870+1634</f>
        <v>5504</v>
      </c>
      <c r="E264" s="616"/>
      <c r="F264" s="616"/>
      <c r="G264" s="616"/>
      <c r="H264" s="616"/>
      <c r="I264" s="616"/>
      <c r="J264" s="616"/>
      <c r="K264" s="1672">
        <f t="shared" ref="K264:K269" si="22">D264</f>
        <v>5504</v>
      </c>
      <c r="L264" s="466">
        <v>4912</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911</v>
      </c>
      <c r="E266" s="616"/>
      <c r="F266" s="616"/>
      <c r="G266" s="616"/>
      <c r="H266" s="616"/>
      <c r="I266" s="616"/>
      <c r="J266" s="616"/>
      <c r="K266" s="1672">
        <f t="shared" si="22"/>
        <v>911</v>
      </c>
      <c r="L266" s="466">
        <v>880</v>
      </c>
    </row>
    <row r="267" spans="1:14" x14ac:dyDescent="0.2">
      <c r="A267" s="1504" t="s">
        <v>953</v>
      </c>
      <c r="B267" s="614">
        <v>2550</v>
      </c>
      <c r="C267" s="616"/>
      <c r="D267" s="466">
        <f>2210+1545</f>
        <v>3755</v>
      </c>
      <c r="E267" s="616"/>
      <c r="F267" s="616"/>
      <c r="G267" s="616"/>
      <c r="H267" s="616"/>
      <c r="I267" s="616"/>
      <c r="J267" s="616"/>
      <c r="K267" s="1672">
        <f t="shared" si="22"/>
        <v>3755</v>
      </c>
      <c r="L267" s="466">
        <v>3173</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10170</v>
      </c>
      <c r="E270" s="616"/>
      <c r="F270" s="616"/>
      <c r="G270" s="616"/>
      <c r="H270" s="616"/>
      <c r="I270" s="616"/>
      <c r="J270" s="616"/>
      <c r="K270" s="1670">
        <f>SUM(K263:K269)</f>
        <v>10170</v>
      </c>
      <c r="L270" s="1670">
        <f>SUM(L263:L269)</f>
        <v>8965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14344</v>
      </c>
      <c r="E279" s="616"/>
      <c r="F279" s="616"/>
      <c r="G279" s="616"/>
      <c r="H279" s="616"/>
      <c r="I279" s="616"/>
      <c r="J279" s="616"/>
      <c r="K279" s="1677">
        <f>SUM(K238,K243,K257,K261,K270,K277,K278)</f>
        <v>14344</v>
      </c>
      <c r="L279" s="1677">
        <f>SUM(L238,L243,L257,L261,L270,L277,L278)</f>
        <v>13596</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20527</v>
      </c>
      <c r="E295" s="616"/>
      <c r="F295" s="616"/>
      <c r="G295" s="616"/>
      <c r="H295" s="1670">
        <f>H293</f>
        <v>0</v>
      </c>
      <c r="I295" s="616"/>
      <c r="J295" s="616"/>
      <c r="K295" s="1670">
        <f>SUM(K229,K279,K280,K285,K293,K294)</f>
        <v>20527</v>
      </c>
      <c r="L295" s="1670">
        <f>SUM(L229,L279,L280,L285,L293,L294)</f>
        <v>20531</v>
      </c>
    </row>
    <row r="296" spans="1:14" ht="13.5" thickTop="1" x14ac:dyDescent="0.2">
      <c r="A296" s="2181" t="s">
        <v>996</v>
      </c>
      <c r="B296" s="2182"/>
      <c r="C296" s="616"/>
      <c r="D296" s="618"/>
      <c r="E296" s="616"/>
      <c r="F296" s="616"/>
      <c r="G296" s="616"/>
      <c r="H296" s="687"/>
      <c r="I296" s="616"/>
      <c r="J296" s="616"/>
      <c r="K296" s="1684">
        <f>'Revenues 9-14'!G268-'Expenditures 15-22'!K295</f>
        <v>3550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2489</v>
      </c>
      <c r="F320" s="467"/>
      <c r="G320" s="467"/>
      <c r="H320" s="467"/>
      <c r="I320" s="467"/>
      <c r="J320" s="467"/>
      <c r="K320" s="1671">
        <f t="shared" ref="K320:K327" si="24">SUM(C320:J320)</f>
        <v>2489</v>
      </c>
      <c r="L320" s="467">
        <v>2667</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11299</v>
      </c>
      <c r="M321" s="665"/>
      <c r="N321" s="665"/>
    </row>
    <row r="322" spans="1:14" s="674" customFormat="1" x14ac:dyDescent="0.2">
      <c r="A322" s="1519" t="s">
        <v>238</v>
      </c>
      <c r="B322" s="697" t="s">
        <v>284</v>
      </c>
      <c r="C322" s="467"/>
      <c r="D322" s="467"/>
      <c r="E322" s="467">
        <v>12046</v>
      </c>
      <c r="F322" s="467"/>
      <c r="G322" s="467"/>
      <c r="H322" s="467"/>
      <c r="I322" s="467"/>
      <c r="J322" s="467"/>
      <c r="K322" s="1671">
        <f t="shared" si="24"/>
        <v>12046</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15802</v>
      </c>
      <c r="D325" s="467"/>
      <c r="E325" s="467">
        <v>1116</v>
      </c>
      <c r="F325" s="467"/>
      <c r="G325" s="467"/>
      <c r="H325" s="467"/>
      <c r="I325" s="467"/>
      <c r="J325" s="467"/>
      <c r="K325" s="1671">
        <f t="shared" si="24"/>
        <v>16918</v>
      </c>
      <c r="L325" s="467">
        <v>17580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122</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15802</v>
      </c>
      <c r="D330" s="1670">
        <f t="shared" ref="D330:J330" si="25">SUM(D319:D329)</f>
        <v>0</v>
      </c>
      <c r="E330" s="1670">
        <f t="shared" si="25"/>
        <v>15651</v>
      </c>
      <c r="F330" s="1670">
        <f t="shared" si="25"/>
        <v>0</v>
      </c>
      <c r="G330" s="1670">
        <f t="shared" si="25"/>
        <v>0</v>
      </c>
      <c r="H330" s="1670">
        <f t="shared" si="25"/>
        <v>0</v>
      </c>
      <c r="I330" s="1670">
        <f t="shared" si="25"/>
        <v>0</v>
      </c>
      <c r="J330" s="1670">
        <f t="shared" si="25"/>
        <v>0</v>
      </c>
      <c r="K330" s="1670">
        <f>SUM(K319:K329)</f>
        <v>31453</v>
      </c>
      <c r="L330" s="1670">
        <f>SUM(L319:L329)</f>
        <v>31668</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15802</v>
      </c>
      <c r="D342" s="1670">
        <f>SUM(D330)</f>
        <v>0</v>
      </c>
      <c r="E342" s="1670">
        <f>SUM(E330)</f>
        <v>15651</v>
      </c>
      <c r="F342" s="1670">
        <f>SUM(F330)</f>
        <v>0</v>
      </c>
      <c r="G342" s="1670">
        <f>SUM(G330)</f>
        <v>0</v>
      </c>
      <c r="H342" s="1670">
        <f>SUM(H330,H334,H340)</f>
        <v>0</v>
      </c>
      <c r="I342" s="1670">
        <f>SUM(I330)</f>
        <v>0</v>
      </c>
      <c r="J342" s="1670">
        <f>SUM(J330)</f>
        <v>0</v>
      </c>
      <c r="K342" s="1670">
        <f>SUM(K330,K334,K340)</f>
        <v>31453</v>
      </c>
      <c r="L342" s="1677">
        <f>SUM(L330,L340,L341)</f>
        <v>31668</v>
      </c>
    </row>
    <row r="343" spans="1:14" ht="12.75" customHeight="1" thickTop="1" x14ac:dyDescent="0.2">
      <c r="A343" s="2167" t="s">
        <v>996</v>
      </c>
      <c r="B343" s="2168"/>
      <c r="C343" s="616"/>
      <c r="D343" s="616"/>
      <c r="E343" s="616"/>
      <c r="F343" s="616"/>
      <c r="G343" s="616"/>
      <c r="H343" s="616"/>
      <c r="I343" s="616"/>
      <c r="J343" s="616"/>
      <c r="K343" s="1684">
        <f>'Revenues 9-14'!J268-'Expenditures 15-22'!K342</f>
        <v>-15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7450</v>
      </c>
      <c r="H349" s="466"/>
      <c r="I349" s="467"/>
      <c r="J349" s="467"/>
      <c r="K349" s="1671">
        <f>SUM(C349:J349)</f>
        <v>7450</v>
      </c>
      <c r="L349" s="466">
        <v>8235</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7450</v>
      </c>
      <c r="H350" s="1670">
        <f t="shared" si="26"/>
        <v>0</v>
      </c>
      <c r="I350" s="1670">
        <f t="shared" si="26"/>
        <v>0</v>
      </c>
      <c r="J350" s="1670">
        <f t="shared" si="26"/>
        <v>0</v>
      </c>
      <c r="K350" s="1670">
        <f t="shared" si="26"/>
        <v>7450</v>
      </c>
      <c r="L350" s="1670">
        <f t="shared" si="26"/>
        <v>8235</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7450</v>
      </c>
      <c r="H352" s="1670">
        <f t="shared" si="27"/>
        <v>0</v>
      </c>
      <c r="I352" s="1670">
        <f t="shared" si="27"/>
        <v>0</v>
      </c>
      <c r="J352" s="1670">
        <f t="shared" si="27"/>
        <v>0</v>
      </c>
      <c r="K352" s="1670">
        <f t="shared" si="27"/>
        <v>7450</v>
      </c>
      <c r="L352" s="1670">
        <f t="shared" si="27"/>
        <v>8235</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7450</v>
      </c>
      <c r="H367" s="1670">
        <f t="shared" si="28"/>
        <v>0</v>
      </c>
      <c r="I367" s="1670">
        <f t="shared" si="28"/>
        <v>0</v>
      </c>
      <c r="J367" s="1670">
        <f t="shared" si="28"/>
        <v>0</v>
      </c>
      <c r="K367" s="1670">
        <f t="shared" si="28"/>
        <v>7450</v>
      </c>
      <c r="L367" s="1670">
        <f t="shared" si="28"/>
        <v>8235</v>
      </c>
    </row>
    <row r="368" spans="1:14" ht="13.5" thickTop="1" x14ac:dyDescent="0.2">
      <c r="A368" s="2181" t="s">
        <v>996</v>
      </c>
      <c r="B368" s="2182"/>
      <c r="C368" s="654"/>
      <c r="D368" s="654"/>
      <c r="E368" s="626"/>
      <c r="F368" s="626"/>
      <c r="G368" s="626"/>
      <c r="H368" s="626"/>
      <c r="I368" s="626"/>
      <c r="J368" s="623"/>
      <c r="K368" s="1671">
        <f>'Revenues 9-14'!K268-'Expenditures 15-22'!K367</f>
        <v>-4328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7" sqref="E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1950</v>
      </c>
      <c r="C2" s="714" t="s">
        <v>1951</v>
      </c>
      <c r="D2" s="714" t="s">
        <v>1952</v>
      </c>
      <c r="E2" s="714" t="s">
        <v>1953</v>
      </c>
      <c r="F2" s="714" t="s">
        <v>1954</v>
      </c>
    </row>
    <row r="3" spans="1:6" ht="12" customHeight="1" x14ac:dyDescent="0.2">
      <c r="A3" s="2184"/>
      <c r="B3" s="1525"/>
      <c r="C3" s="1526"/>
      <c r="D3" s="1527" t="s">
        <v>256</v>
      </c>
      <c r="E3" s="1526"/>
      <c r="F3" s="1527" t="s">
        <v>257</v>
      </c>
    </row>
    <row r="4" spans="1:6" ht="13.7" customHeight="1" x14ac:dyDescent="0.2">
      <c r="A4" s="715" t="s">
        <v>1155</v>
      </c>
      <c r="B4" s="1749">
        <f>'Revenues 9-14'!C5</f>
        <v>106194</v>
      </c>
      <c r="C4" s="1524"/>
      <c r="D4" s="1752">
        <f>B4-C4</f>
        <v>106194</v>
      </c>
      <c r="E4" s="1524">
        <v>123043</v>
      </c>
      <c r="F4" s="1752">
        <f>E4-C4</f>
        <v>123043</v>
      </c>
    </row>
    <row r="5" spans="1:6" ht="13.7" customHeight="1" x14ac:dyDescent="0.2">
      <c r="A5" s="715" t="s">
        <v>870</v>
      </c>
      <c r="B5" s="1750">
        <f>'Revenues 9-14'!D5</f>
        <v>15525</v>
      </c>
      <c r="C5" s="585"/>
      <c r="D5" s="1753">
        <f t="shared" ref="D5:D18" si="0">B5-C5</f>
        <v>15525</v>
      </c>
      <c r="E5" s="585">
        <v>17989</v>
      </c>
      <c r="F5" s="1753">
        <f>E5-C5</f>
        <v>17989</v>
      </c>
    </row>
    <row r="6" spans="1:6" ht="13.7" customHeight="1" x14ac:dyDescent="0.2">
      <c r="A6" s="715" t="s">
        <v>411</v>
      </c>
      <c r="B6" s="1750">
        <f>'Revenues 9-14'!E5</f>
        <v>21107</v>
      </c>
      <c r="C6" s="585"/>
      <c r="D6" s="1753">
        <f t="shared" si="0"/>
        <v>21107</v>
      </c>
      <c r="E6" s="585">
        <v>20425</v>
      </c>
      <c r="F6" s="1753">
        <f t="shared" ref="F6:F18" si="1">E6-C6</f>
        <v>20425</v>
      </c>
    </row>
    <row r="7" spans="1:6" ht="13.7" customHeight="1" x14ac:dyDescent="0.2">
      <c r="A7" s="715" t="s">
        <v>155</v>
      </c>
      <c r="B7" s="1750">
        <f>'Revenues 9-14'!F5</f>
        <v>7452</v>
      </c>
      <c r="C7" s="585"/>
      <c r="D7" s="1753">
        <f t="shared" si="0"/>
        <v>7452</v>
      </c>
      <c r="E7" s="585">
        <v>8635</v>
      </c>
      <c r="F7" s="1753">
        <f t="shared" si="1"/>
        <v>8635</v>
      </c>
    </row>
    <row r="8" spans="1:6" ht="13.7" customHeight="1" x14ac:dyDescent="0.2">
      <c r="A8" s="715" t="s">
        <v>1179</v>
      </c>
      <c r="B8" s="1750">
        <f>'Revenues 9-14'!G5</f>
        <v>3095</v>
      </c>
      <c r="C8" s="585"/>
      <c r="D8" s="1753">
        <f t="shared" si="0"/>
        <v>3095</v>
      </c>
      <c r="E8" s="585">
        <v>8512</v>
      </c>
      <c r="F8" s="1753">
        <f t="shared" si="1"/>
        <v>8512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3105</v>
      </c>
      <c r="C10" s="585"/>
      <c r="D10" s="1753">
        <f t="shared" si="0"/>
        <v>3105</v>
      </c>
      <c r="E10" s="585">
        <v>3598</v>
      </c>
      <c r="F10" s="1753">
        <f t="shared" si="1"/>
        <v>3598</v>
      </c>
    </row>
    <row r="11" spans="1:6" x14ac:dyDescent="0.2">
      <c r="A11" s="715" t="s">
        <v>409</v>
      </c>
      <c r="B11" s="1750">
        <f>'Revenues 9-14'!J5</f>
        <v>31394</v>
      </c>
      <c r="C11" s="585"/>
      <c r="D11" s="1753">
        <f t="shared" si="0"/>
        <v>31394</v>
      </c>
      <c r="E11" s="585">
        <v>44233</v>
      </c>
      <c r="F11" s="1753">
        <f t="shared" si="1"/>
        <v>44233</v>
      </c>
    </row>
    <row r="12" spans="1:6" ht="13.7" customHeight="1" x14ac:dyDescent="0.2">
      <c r="A12" s="715" t="s">
        <v>157</v>
      </c>
      <c r="B12" s="1750">
        <f>'Revenues 9-14'!K5</f>
        <v>3105</v>
      </c>
      <c r="C12" s="585"/>
      <c r="D12" s="1753">
        <f t="shared" si="0"/>
        <v>3105</v>
      </c>
      <c r="E12" s="585">
        <v>3598</v>
      </c>
      <c r="F12" s="1753">
        <f t="shared" si="1"/>
        <v>3598</v>
      </c>
    </row>
    <row r="13" spans="1:6" ht="13.7" customHeight="1" x14ac:dyDescent="0.2">
      <c r="A13" s="715" t="s">
        <v>936</v>
      </c>
      <c r="B13" s="1750">
        <f>SUM('Revenues 9-14'!C6:D6)</f>
        <v>3105</v>
      </c>
      <c r="C13" s="585"/>
      <c r="D13" s="1753">
        <f t="shared" si="0"/>
        <v>3105</v>
      </c>
      <c r="E13" s="585">
        <v>3598</v>
      </c>
      <c r="F13" s="1753">
        <f t="shared" si="1"/>
        <v>3598</v>
      </c>
    </row>
    <row r="14" spans="1:6" ht="13.7" customHeight="1" x14ac:dyDescent="0.2">
      <c r="A14" s="715" t="s">
        <v>410</v>
      </c>
      <c r="B14" s="1750">
        <f>SUM('Revenues 9-14'!C7:D7,'Revenues 9-14'!F7:H7)</f>
        <v>1242</v>
      </c>
      <c r="C14" s="585"/>
      <c r="D14" s="1753">
        <f t="shared" si="0"/>
        <v>1242</v>
      </c>
      <c r="E14" s="585">
        <v>1439</v>
      </c>
      <c r="F14" s="1753">
        <f t="shared" si="1"/>
        <v>1439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20639</v>
      </c>
      <c r="C16" s="585"/>
      <c r="D16" s="1753">
        <f t="shared" si="0"/>
        <v>20639</v>
      </c>
      <c r="E16" s="585">
        <v>12750</v>
      </c>
      <c r="F16" s="1753">
        <f t="shared" si="1"/>
        <v>12750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215963</v>
      </c>
      <c r="C19" s="1751">
        <f>SUM(C4:C18)</f>
        <v>0</v>
      </c>
      <c r="D19" s="1751">
        <f>SUM(D4:D18)</f>
        <v>215963</v>
      </c>
      <c r="E19" s="1751">
        <f>SUM(E4:E18)</f>
        <v>247820</v>
      </c>
      <c r="F19" s="1751">
        <f>SUM(F4:F18)</f>
        <v>247820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4" t="s">
        <v>1955</v>
      </c>
      <c r="D2" s="723" t="s">
        <v>1956</v>
      </c>
      <c r="E2" s="723" t="s">
        <v>1957</v>
      </c>
      <c r="F2" s="1884" t="s">
        <v>1958</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5">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7" t="s">
        <v>631</v>
      </c>
      <c r="B15" s="2188"/>
      <c r="C15" s="1755">
        <f>SUM(C6:C14)</f>
        <v>0</v>
      </c>
      <c r="D15" s="1755">
        <f>SUM(D6:D14)</f>
        <v>0</v>
      </c>
      <c r="E15" s="1755">
        <f>SUM(E6:E14)</f>
        <v>0</v>
      </c>
      <c r="F15" s="1755">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388</v>
      </c>
      <c r="B19" s="2211"/>
      <c r="C19" s="726"/>
      <c r="D19" s="585"/>
      <c r="E19" s="726"/>
      <c r="F19" s="1755">
        <f>SUM(C19+D19)-E19</f>
        <v>0</v>
      </c>
    </row>
    <row r="20" spans="1:11" ht="12.75" customHeight="1" thickTop="1" thickBot="1" x14ac:dyDescent="0.25">
      <c r="A20" s="2210" t="s">
        <v>448</v>
      </c>
      <c r="B20" s="2211"/>
      <c r="C20" s="726"/>
      <c r="D20" s="585"/>
      <c r="E20" s="726"/>
      <c r="F20" s="1755">
        <f>SUM(C20+D20)-E20</f>
        <v>0</v>
      </c>
    </row>
    <row r="21" spans="1:11" ht="14.25" thickTop="1" thickBot="1" x14ac:dyDescent="0.25">
      <c r="A21" s="2187" t="s">
        <v>632</v>
      </c>
      <c r="B21" s="2188"/>
      <c r="C21" s="1755">
        <f>SUM(C17:C20)</f>
        <v>0</v>
      </c>
      <c r="D21" s="1755">
        <f>SUM(D17:D20)</f>
        <v>0</v>
      </c>
      <c r="E21" s="1755">
        <f>SUM(E17:E20)</f>
        <v>0</v>
      </c>
      <c r="F21" s="1755">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5">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5">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5">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2083</v>
      </c>
      <c r="B31" s="733">
        <v>40787</v>
      </c>
      <c r="C31" s="734">
        <v>65000</v>
      </c>
      <c r="D31" s="735">
        <v>4</v>
      </c>
      <c r="E31" s="734">
        <v>40000</v>
      </c>
      <c r="F31" s="734"/>
      <c r="G31" s="734"/>
      <c r="H31" s="734">
        <v>20000</v>
      </c>
      <c r="I31" s="1756">
        <f>((E31+F31)-H31)+G31</f>
        <v>20000</v>
      </c>
      <c r="J31" s="734">
        <v>7688</v>
      </c>
      <c r="K31" s="736"/>
    </row>
    <row r="32" spans="1:11" ht="12" customHeight="1" x14ac:dyDescent="0.2">
      <c r="A32" s="732" t="s">
        <v>2084</v>
      </c>
      <c r="B32" s="733">
        <v>43412</v>
      </c>
      <c r="C32" s="734">
        <v>84000</v>
      </c>
      <c r="D32" s="735">
        <v>2</v>
      </c>
      <c r="E32" s="734"/>
      <c r="F32" s="734">
        <v>84000</v>
      </c>
      <c r="G32" s="734"/>
      <c r="H32" s="734"/>
      <c r="I32" s="1756">
        <f>((E32+F32)-H32)+G32</f>
        <v>84000</v>
      </c>
      <c r="J32" s="734">
        <v>84000</v>
      </c>
      <c r="K32" s="736"/>
    </row>
    <row r="33" spans="1:11" ht="12" customHeight="1" x14ac:dyDescent="0.2">
      <c r="A33" s="732" t="s">
        <v>2085</v>
      </c>
      <c r="B33" s="733">
        <v>43412</v>
      </c>
      <c r="C33" s="734">
        <v>85000</v>
      </c>
      <c r="D33" s="735">
        <v>2</v>
      </c>
      <c r="E33" s="734"/>
      <c r="F33" s="734">
        <v>85000</v>
      </c>
      <c r="G33" s="734"/>
      <c r="H33" s="734"/>
      <c r="I33" s="1756">
        <f t="shared" ref="I33:I48" si="1">((E33+F33)-H33)+G33</f>
        <v>85000</v>
      </c>
      <c r="J33" s="734">
        <v>85000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234000</v>
      </c>
      <c r="D49" s="745"/>
      <c r="E49" s="1756">
        <f t="shared" ref="E49:J49" si="2">SUM(E31:E48)</f>
        <v>40000</v>
      </c>
      <c r="F49" s="1756">
        <f t="shared" si="2"/>
        <v>169000</v>
      </c>
      <c r="G49" s="1756">
        <f t="shared" si="2"/>
        <v>0</v>
      </c>
      <c r="H49" s="1756">
        <f t="shared" si="2"/>
        <v>20000</v>
      </c>
      <c r="I49" s="1756">
        <f t="shared" si="2"/>
        <v>189000</v>
      </c>
      <c r="J49" s="1756">
        <f t="shared" si="2"/>
        <v>176688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1963</v>
      </c>
      <c r="B3" s="2221"/>
      <c r="C3" s="2221"/>
      <c r="D3" s="2221"/>
      <c r="E3" s="2222"/>
      <c r="F3" s="763"/>
      <c r="G3" s="764"/>
      <c r="H3" s="764"/>
      <c r="I3" s="764"/>
      <c r="J3" s="765"/>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1242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1" t="s">
        <v>1813</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7"/>
      <c r="G12" s="1758">
        <f>SUM(G5:G11)</f>
        <v>0</v>
      </c>
      <c r="H12" s="1758">
        <f>SUM(H5:H11)</f>
        <v>1242</v>
      </c>
      <c r="I12" s="1758">
        <f>SUM(I5:I11)</f>
        <v>0</v>
      </c>
      <c r="J12" s="1758">
        <f>SUM(J5:J11)</f>
        <v>0</v>
      </c>
      <c r="K12" s="1758">
        <f>SUM(K5:K11)</f>
        <v>0</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1242</v>
      </c>
      <c r="I14" s="771"/>
      <c r="J14" s="773"/>
      <c r="K14" s="765"/>
    </row>
    <row r="15" spans="1:11" x14ac:dyDescent="0.2">
      <c r="A15" s="2214" t="s">
        <v>4</v>
      </c>
      <c r="B15" s="2214"/>
      <c r="C15" s="2214"/>
      <c r="D15" s="2214"/>
      <c r="E15" s="2242"/>
      <c r="F15" s="789" t="s">
        <v>855</v>
      </c>
      <c r="G15" s="771"/>
      <c r="H15" s="764"/>
      <c r="I15" s="764"/>
      <c r="J15" s="765"/>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1809</v>
      </c>
      <c r="B19" s="2249"/>
      <c r="C19" s="2249"/>
      <c r="D19" s="2249"/>
      <c r="E19" s="2250"/>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9"/>
      <c r="G21" s="792"/>
      <c r="H21" s="796"/>
      <c r="I21" s="796"/>
      <c r="J21" s="1760">
        <f>SUM(J18:J20)</f>
        <v>0</v>
      </c>
      <c r="K21" s="793"/>
    </row>
    <row r="22" spans="1:11" ht="13.5" thickTop="1" x14ac:dyDescent="0.2">
      <c r="A22" s="2214" t="s">
        <v>1815</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1"/>
      <c r="G23" s="1758">
        <f>SUM(G14:G16,G21,G22)</f>
        <v>0</v>
      </c>
      <c r="H23" s="1758">
        <f>SUM(H14:H16,H21,H22)</f>
        <v>1242</v>
      </c>
      <c r="I23" s="1758">
        <f>SUM(I14:I16,I21,I22)</f>
        <v>0</v>
      </c>
      <c r="J23" s="1758">
        <f>SUM(J14:J16,J21,J22)</f>
        <v>0</v>
      </c>
      <c r="K23" s="1758">
        <f>SUM(K14:K16,K21,K22)</f>
        <v>0</v>
      </c>
    </row>
    <row r="24" spans="1:11" ht="14.25" thickTop="1" thickBot="1" x14ac:dyDescent="0.25">
      <c r="A24" s="2235" t="s">
        <v>1964</v>
      </c>
      <c r="B24" s="2234"/>
      <c r="C24" s="2234"/>
      <c r="D24" s="2234"/>
      <c r="E24" s="223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10700</v>
      </c>
      <c r="D5" s="841"/>
      <c r="E5" s="841"/>
      <c r="F5" s="1760">
        <f>(C5+D5)-E5</f>
        <v>10700</v>
      </c>
      <c r="G5" s="837"/>
      <c r="H5" s="842"/>
      <c r="I5" s="842"/>
      <c r="J5" s="842"/>
      <c r="K5" s="793"/>
      <c r="L5" s="1769">
        <f>F5-K5</f>
        <v>10700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414703</v>
      </c>
      <c r="D8" s="844"/>
      <c r="E8" s="844"/>
      <c r="F8" s="1760">
        <f>(C8+D8)-E8</f>
        <v>414703</v>
      </c>
      <c r="G8" s="843">
        <v>50</v>
      </c>
      <c r="H8" s="765">
        <v>257066</v>
      </c>
      <c r="I8" s="765">
        <v>8294</v>
      </c>
      <c r="J8" s="765"/>
      <c r="K8" s="1769">
        <f>(H8+I8)-J8</f>
        <v>265360</v>
      </c>
      <c r="L8" s="1769">
        <f>F8-K8</f>
        <v>149343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97815</v>
      </c>
      <c r="D10" s="846">
        <f>7745+7450</f>
        <v>15195</v>
      </c>
      <c r="E10" s="846"/>
      <c r="F10" s="1764">
        <f>(C10+D10)-E10</f>
        <v>113010</v>
      </c>
      <c r="G10" s="843">
        <v>20</v>
      </c>
      <c r="H10" s="847">
        <v>38969</v>
      </c>
      <c r="I10" s="847">
        <v>5651</v>
      </c>
      <c r="J10" s="847"/>
      <c r="K10" s="1769">
        <f>(H10+I10)-J10</f>
        <v>44620</v>
      </c>
      <c r="L10" s="1769">
        <f>F10-K10</f>
        <v>68390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58989</v>
      </c>
      <c r="D12" s="844"/>
      <c r="E12" s="844"/>
      <c r="F12" s="1760">
        <f>(C12+D12)-E12</f>
        <v>58989</v>
      </c>
      <c r="G12" s="843">
        <v>10</v>
      </c>
      <c r="H12" s="765">
        <v>58989</v>
      </c>
      <c r="I12" s="765"/>
      <c r="J12" s="765"/>
      <c r="K12" s="1769">
        <f>(H12+I12)-J12</f>
        <v>58989</v>
      </c>
      <c r="L12" s="1769">
        <f>F12-K12</f>
        <v>0</v>
      </c>
    </row>
    <row r="13" spans="1:14" ht="14.25" thickTop="1" thickBot="1" x14ac:dyDescent="0.25">
      <c r="A13" s="848" t="s">
        <v>1122</v>
      </c>
      <c r="B13" s="840">
        <v>252</v>
      </c>
      <c r="C13" s="844">
        <v>86402</v>
      </c>
      <c r="D13" s="844">
        <f>9500+77372</f>
        <v>86872</v>
      </c>
      <c r="E13" s="844"/>
      <c r="F13" s="1760">
        <f>(C13+D13)-E13</f>
        <v>173274</v>
      </c>
      <c r="G13" s="843">
        <v>5</v>
      </c>
      <c r="H13" s="765">
        <v>68524</v>
      </c>
      <c r="I13" s="765">
        <v>26359</v>
      </c>
      <c r="J13" s="765"/>
      <c r="K13" s="1769">
        <f>(H13+I13)-J13</f>
        <v>94883</v>
      </c>
      <c r="L13" s="1769">
        <f>F13-K13</f>
        <v>78391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668609</v>
      </c>
      <c r="D16" s="1760">
        <f>SUM(D3,D5:D6,D8:D10,D12:D15)</f>
        <v>102067</v>
      </c>
      <c r="E16" s="1760">
        <f>SUM(E3,E5:E6,E8:E10,E12:E15)</f>
        <v>0</v>
      </c>
      <c r="F16" s="1760">
        <f>SUM(F3,F5:F6,F8:F10,F12:F15)</f>
        <v>770676</v>
      </c>
      <c r="G16" s="843"/>
      <c r="H16" s="1760">
        <f>SUM(H3,H6,H8:H10,H12:H14,)</f>
        <v>423548</v>
      </c>
      <c r="I16" s="1760">
        <f>SUM(I3,I6,I8:I10,I12:I14,)</f>
        <v>40304</v>
      </c>
      <c r="J16" s="1760">
        <f>SUM(J3,J6,J8:J10,J12:J14,)</f>
        <v>0</v>
      </c>
      <c r="K16" s="1760">
        <f>(H16+I16)-J16</f>
        <v>463852</v>
      </c>
      <c r="L16" s="1760">
        <f>F16-K16</f>
        <v>306824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40304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1974</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482411</v>
      </c>
      <c r="G8" s="865"/>
    </row>
    <row r="9" spans="1:7" x14ac:dyDescent="0.2">
      <c r="A9" s="869" t="s">
        <v>460</v>
      </c>
      <c r="B9" s="870" t="s">
        <v>1876</v>
      </c>
      <c r="C9" s="871"/>
      <c r="D9" s="869" t="s">
        <v>501</v>
      </c>
      <c r="E9" s="868"/>
      <c r="F9" s="1909">
        <f>'Expenditures 15-22'!K151</f>
        <v>44655</v>
      </c>
      <c r="G9" s="872"/>
    </row>
    <row r="10" spans="1:7" x14ac:dyDescent="0.2">
      <c r="A10" s="869" t="s">
        <v>499</v>
      </c>
      <c r="B10" s="870" t="s">
        <v>1877</v>
      </c>
      <c r="C10" s="871"/>
      <c r="D10" s="869" t="s">
        <v>501</v>
      </c>
      <c r="E10" s="868"/>
      <c r="F10" s="1909">
        <f>'Expenditures 15-22'!K174</f>
        <v>21265</v>
      </c>
      <c r="G10" s="872"/>
    </row>
    <row r="11" spans="1:7" x14ac:dyDescent="0.2">
      <c r="A11" s="869" t="s">
        <v>461</v>
      </c>
      <c r="B11" s="870" t="s">
        <v>1878</v>
      </c>
      <c r="C11" s="871"/>
      <c r="D11" s="869" t="s">
        <v>501</v>
      </c>
      <c r="E11" s="868"/>
      <c r="F11" s="1909">
        <f>'Expenditures 15-22'!K210</f>
        <v>116083</v>
      </c>
      <c r="G11" s="872"/>
    </row>
    <row r="12" spans="1:7" x14ac:dyDescent="0.2">
      <c r="A12" s="869" t="s">
        <v>462</v>
      </c>
      <c r="B12" s="870" t="s">
        <v>1879</v>
      </c>
      <c r="C12" s="871"/>
      <c r="D12" s="869" t="s">
        <v>501</v>
      </c>
      <c r="E12" s="868"/>
      <c r="F12" s="1909">
        <f>'Expenditures 15-22'!K295</f>
        <v>20527</v>
      </c>
      <c r="G12" s="872"/>
    </row>
    <row r="13" spans="1:7" x14ac:dyDescent="0.2">
      <c r="A13" s="869" t="s">
        <v>106</v>
      </c>
      <c r="B13" s="870" t="s">
        <v>1880</v>
      </c>
      <c r="C13" s="871"/>
      <c r="D13" s="869" t="s">
        <v>501</v>
      </c>
      <c r="E13" s="868"/>
      <c r="F13" s="1909">
        <f>'Expenditures 15-22'!K342</f>
        <v>31453</v>
      </c>
      <c r="G13" s="873"/>
    </row>
    <row r="14" spans="1:7" ht="12" customHeight="1" thickBot="1" x14ac:dyDescent="0.25">
      <c r="A14" s="1770"/>
      <c r="B14" s="1771"/>
      <c r="C14" s="1772"/>
      <c r="D14" s="1773" t="s">
        <v>501</v>
      </c>
      <c r="E14" s="1774" t="s">
        <v>958</v>
      </c>
      <c r="F14" s="1775">
        <f>SUM(F8:F13)</f>
        <v>716394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21011</v>
      </c>
      <c r="G53" s="865"/>
    </row>
    <row r="54" spans="1:7" x14ac:dyDescent="0.2">
      <c r="A54" s="869" t="s">
        <v>459</v>
      </c>
      <c r="B54" s="869" t="s">
        <v>1476</v>
      </c>
      <c r="C54" s="889" t="s">
        <v>982</v>
      </c>
      <c r="D54" s="885" t="s">
        <v>1095</v>
      </c>
      <c r="E54" s="868"/>
      <c r="F54" s="1913">
        <f>'Expenditures 15-22'!G114</f>
        <v>9500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7745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77372</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135628</v>
      </c>
      <c r="G76" s="865"/>
    </row>
    <row r="77" spans="1:8" s="893" customFormat="1" ht="12" customHeight="1" thickTop="1" thickBot="1" x14ac:dyDescent="0.25">
      <c r="A77" s="1779"/>
      <c r="B77" s="1776"/>
      <c r="C77" s="1772"/>
      <c r="D77" s="1777" t="s">
        <v>1899</v>
      </c>
      <c r="E77" s="1774"/>
      <c r="F77" s="1780">
        <f>(F14-F76)</f>
        <v>580766</v>
      </c>
      <c r="G77" s="869"/>
    </row>
    <row r="78" spans="1:8" s="893" customFormat="1" ht="12" customHeight="1" thickTop="1" x14ac:dyDescent="0.2">
      <c r="A78" s="1781"/>
      <c r="B78" s="1776"/>
      <c r="C78" s="1772"/>
      <c r="D78" s="1777" t="s">
        <v>2061</v>
      </c>
      <c r="E78" s="1774"/>
      <c r="F78" s="898">
        <v>54.46</v>
      </c>
      <c r="G78" s="899"/>
      <c r="H78" s="869"/>
    </row>
    <row r="79" spans="1:8" s="893" customFormat="1" ht="12" customHeight="1" thickBot="1" x14ac:dyDescent="0.25">
      <c r="A79" s="1782"/>
      <c r="B79" s="1776"/>
      <c r="C79" s="1772"/>
      <c r="D79" s="1777" t="s">
        <v>1900</v>
      </c>
      <c r="E79" s="1774" t="s">
        <v>958</v>
      </c>
      <c r="F79" s="1783">
        <f>IF(F78&gt;0,F77/F78," Complete Line 78")</f>
        <v>10664.083731178847</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1742</v>
      </c>
      <c r="G95" s="912"/>
    </row>
    <row r="96" spans="1:7" x14ac:dyDescent="0.2">
      <c r="A96" s="908" t="s">
        <v>459</v>
      </c>
      <c r="B96" s="908" t="s">
        <v>176</v>
      </c>
      <c r="C96" s="910">
        <f>'Revenues 9-14'!B84</f>
        <v>1811</v>
      </c>
      <c r="D96" s="911" t="str">
        <f>'Revenues 9-14'!A84</f>
        <v>Rentals - Regular Textbooks</v>
      </c>
      <c r="E96" s="906"/>
      <c r="F96" s="1789">
        <f>'Revenues 9-14'!C84</f>
        <v>4385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0</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0</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25488</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6359</v>
      </c>
      <c r="G124" s="930"/>
    </row>
    <row r="125" spans="1:7" x14ac:dyDescent="0.2">
      <c r="A125" s="927" t="s">
        <v>664</v>
      </c>
      <c r="B125" s="927" t="s">
        <v>2022</v>
      </c>
      <c r="C125" s="932">
        <v>4200</v>
      </c>
      <c r="D125" s="929" t="str">
        <f>'Revenues 9-14'!A198</f>
        <v>Total Food Service</v>
      </c>
      <c r="E125" s="906"/>
      <c r="F125" s="1789">
        <f>SUM('Revenues 9-14'!C198,'Revenues 9-14'!G198)</f>
        <v>0</v>
      </c>
      <c r="G125" s="930"/>
    </row>
    <row r="126" spans="1:7" x14ac:dyDescent="0.2">
      <c r="A126" s="927" t="s">
        <v>668</v>
      </c>
      <c r="B126" s="927" t="s">
        <v>2023</v>
      </c>
      <c r="C126" s="932">
        <v>4300</v>
      </c>
      <c r="D126" s="933" t="str">
        <f>'Revenues 9-14'!A204</f>
        <v>Total Title I</v>
      </c>
      <c r="E126" s="906"/>
      <c r="F126" s="1789">
        <f>SUM('Revenues 9-14'!C204,'Revenues 9-14'!D204,'Revenues 9-14'!F204,'Revenues 9-14'!G204)</f>
        <v>25703</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2585</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3089</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30864</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100215</v>
      </c>
    </row>
    <row r="175" spans="1:7" ht="12" customHeight="1" x14ac:dyDescent="0.2">
      <c r="A175" s="1770"/>
      <c r="B175" s="1784"/>
      <c r="C175" s="1785"/>
      <c r="D175" s="1786" t="s">
        <v>2056</v>
      </c>
      <c r="E175" s="1787"/>
      <c r="F175" s="1789">
        <f>'PCTC-OEPP 27-28'!F77-F174</f>
        <v>480551</v>
      </c>
    </row>
    <row r="176" spans="1:7" ht="12" customHeight="1" x14ac:dyDescent="0.2">
      <c r="A176" s="1770"/>
      <c r="B176" s="1784"/>
      <c r="C176" s="1785"/>
      <c r="D176" s="1786" t="s">
        <v>1817</v>
      </c>
      <c r="E176" s="1787"/>
      <c r="F176" s="1789">
        <f>'Cap Outlay Deprec 26'!I18</f>
        <v>40304</v>
      </c>
    </row>
    <row r="177" spans="1:7" ht="12" customHeight="1" x14ac:dyDescent="0.2">
      <c r="A177" s="1770"/>
      <c r="B177" s="1784"/>
      <c r="C177" s="1785"/>
      <c r="D177" s="1786" t="s">
        <v>2057</v>
      </c>
      <c r="E177" s="1787"/>
      <c r="F177" s="1789">
        <f>F175+F176</f>
        <v>520855</v>
      </c>
    </row>
    <row r="178" spans="1:7" ht="12" customHeight="1" x14ac:dyDescent="0.2">
      <c r="A178" s="1770"/>
      <c r="B178" s="1790"/>
      <c r="C178" s="1785"/>
      <c r="D178" s="1786" t="str">
        <f>D78</f>
        <v>9 Month ADA from District Average Daily Attendance/Prior General State Aid Inquiry 2018-2019</v>
      </c>
      <c r="E178" s="1787"/>
      <c r="F178" s="1791">
        <f>'PCTC-OEPP 27-28'!F78</f>
        <v>54.46</v>
      </c>
      <c r="G178" s="930"/>
    </row>
    <row r="179" spans="1:7" ht="12" customHeight="1" thickBot="1" x14ac:dyDescent="0.25">
      <c r="A179" s="1770"/>
      <c r="B179" s="1790"/>
      <c r="C179" s="1785"/>
      <c r="D179" s="1786" t="s">
        <v>2058</v>
      </c>
      <c r="E179" s="1787" t="s">
        <v>1545</v>
      </c>
      <c r="F179" s="1792">
        <f>F177/F178</f>
        <v>9563.9919206757259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6" zoomScaleNormal="100" workbookViewId="0">
      <selection activeCell="P19" sqref="P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1975</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ht="30" x14ac:dyDescent="0.25">
      <c r="A17" s="1938" t="s">
        <v>2086</v>
      </c>
      <c r="B17" s="1939" t="s">
        <v>2087</v>
      </c>
      <c r="C17" s="1940" t="s">
        <v>2088</v>
      </c>
      <c r="D17" s="1844">
        <v>1937</v>
      </c>
      <c r="E17" s="1540">
        <f t="shared" ref="E17:E141" si="0">IF(D17&lt;=25000,D17,IF(D17&gt;25000,25000,0))</f>
        <v>1937</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1937</v>
      </c>
      <c r="G17" s="1793">
        <f>IF(F17=0,0,D17-F17)</f>
        <v>0</v>
      </c>
      <c r="H17" s="1647"/>
    </row>
    <row r="18" spans="1:8" ht="30" x14ac:dyDescent="0.25">
      <c r="A18" s="1938" t="s">
        <v>2086</v>
      </c>
      <c r="B18" s="1939" t="s">
        <v>2087</v>
      </c>
      <c r="C18" s="1940" t="s">
        <v>2089</v>
      </c>
      <c r="D18" s="1844">
        <v>1100</v>
      </c>
      <c r="E18" s="1540">
        <f t="shared" ref="E18:E140" si="2">IF(D18&lt;=25000,D18,IF(D18&gt;25000,25000,0))</f>
        <v>1100</v>
      </c>
      <c r="F18" s="1932">
        <f t="shared" si="1"/>
        <v>1100</v>
      </c>
      <c r="G18" s="1793">
        <f t="shared" ref="G18:G140" si="3">IF(F18=0,0,D18-F18)</f>
        <v>0</v>
      </c>
    </row>
    <row r="19" spans="1:8" ht="30" x14ac:dyDescent="0.25">
      <c r="A19" s="1938" t="s">
        <v>2086</v>
      </c>
      <c r="B19" s="1939" t="s">
        <v>2087</v>
      </c>
      <c r="C19" s="1940" t="s">
        <v>2090</v>
      </c>
      <c r="D19" s="1844">
        <v>330</v>
      </c>
      <c r="E19" s="1540">
        <f t="shared" si="2"/>
        <v>330</v>
      </c>
      <c r="F19" s="1932">
        <f t="shared" si="1"/>
        <v>330</v>
      </c>
      <c r="G19" s="1793">
        <f t="shared" si="3"/>
        <v>0</v>
      </c>
    </row>
    <row r="20" spans="1:8" x14ac:dyDescent="0.25">
      <c r="A20" s="1938"/>
      <c r="B20" s="1939"/>
      <c r="C20" s="1937"/>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hidden="1" x14ac:dyDescent="0.25">
      <c r="A35" s="1653"/>
      <c r="B35" s="1934"/>
      <c r="C35" s="1654"/>
      <c r="D35" s="1844"/>
      <c r="E35" s="1540">
        <f t="shared" si="2"/>
        <v>0</v>
      </c>
      <c r="F35" s="1932">
        <f t="shared" si="1"/>
        <v>0</v>
      </c>
      <c r="G35" s="1793">
        <f t="shared" si="3"/>
        <v>0</v>
      </c>
    </row>
    <row r="36" spans="1:7" hidden="1" x14ac:dyDescent="0.25">
      <c r="A36" s="1653"/>
      <c r="B36" s="1934"/>
      <c r="C36" s="1654"/>
      <c r="D36" s="1844"/>
      <c r="E36" s="1540">
        <f t="shared" si="2"/>
        <v>0</v>
      </c>
      <c r="F36" s="1932">
        <f t="shared" si="1"/>
        <v>0</v>
      </c>
      <c r="G36" s="1793">
        <f t="shared" si="3"/>
        <v>0</v>
      </c>
    </row>
    <row r="37" spans="1:7" hidden="1" x14ac:dyDescent="0.25">
      <c r="A37" s="1653"/>
      <c r="B37" s="1934"/>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935"/>
      <c r="C43" s="1654"/>
      <c r="D43" s="1844"/>
      <c r="E43" s="1540">
        <f t="shared" si="2"/>
        <v>0</v>
      </c>
      <c r="F43" s="1932">
        <f t="shared" si="1"/>
        <v>0</v>
      </c>
      <c r="G43" s="1793">
        <f t="shared" si="3"/>
        <v>0</v>
      </c>
    </row>
    <row r="44" spans="1:7" hidden="1" x14ac:dyDescent="0.25">
      <c r="A44" s="1653"/>
      <c r="B44" s="1935"/>
      <c r="C44" s="1654"/>
      <c r="D44" s="1844"/>
      <c r="E44" s="1540">
        <f t="shared" si="2"/>
        <v>0</v>
      </c>
      <c r="F44" s="1932">
        <f t="shared" si="1"/>
        <v>0</v>
      </c>
      <c r="G44" s="1793">
        <f t="shared" si="3"/>
        <v>0</v>
      </c>
    </row>
    <row r="45" spans="1:7" hidden="1" x14ac:dyDescent="0.25">
      <c r="A45" s="1653"/>
      <c r="B45" s="1935"/>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3"/>
      <c r="B61" s="1667"/>
      <c r="C61" s="1654"/>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5"/>
      <c r="B64" s="1667"/>
      <c r="C64" s="1656"/>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si="2"/>
        <v>0</v>
      </c>
      <c r="F70" s="1932">
        <f t="shared" si="1"/>
        <v>0</v>
      </c>
      <c r="G70" s="1793">
        <f t="shared" si="3"/>
        <v>0</v>
      </c>
    </row>
    <row r="71" spans="1:7" hidden="1" x14ac:dyDescent="0.25">
      <c r="A71" s="1653"/>
      <c r="B71" s="1667"/>
      <c r="C71" s="1654"/>
      <c r="D71" s="1844"/>
      <c r="E71" s="1540">
        <f t="shared" si="2"/>
        <v>0</v>
      </c>
      <c r="F71" s="1932">
        <f t="shared" si="1"/>
        <v>0</v>
      </c>
      <c r="G71" s="1793">
        <f t="shared" si="3"/>
        <v>0</v>
      </c>
    </row>
    <row r="72" spans="1:7" hidden="1" x14ac:dyDescent="0.25">
      <c r="A72" s="1653"/>
      <c r="B72" s="1667"/>
      <c r="C72" s="1654"/>
      <c r="D72" s="1844"/>
      <c r="E72" s="1540">
        <f t="shared" si="2"/>
        <v>0</v>
      </c>
      <c r="F72" s="1932">
        <f t="shared" si="1"/>
        <v>0</v>
      </c>
      <c r="G72" s="1793">
        <f t="shared" si="3"/>
        <v>0</v>
      </c>
    </row>
    <row r="73" spans="1:7" hidden="1" x14ac:dyDescent="0.25">
      <c r="A73" s="1653"/>
      <c r="B73" s="1667"/>
      <c r="C73" s="1654"/>
      <c r="D73" s="1844"/>
      <c r="E73" s="1540">
        <f t="shared" ref="E73:E84" si="4">IF(D73&lt;=25000,D73,IF(D73&gt;25000,25000,0))</f>
        <v>0</v>
      </c>
      <c r="F73" s="1932">
        <f t="shared" si="1"/>
        <v>0</v>
      </c>
      <c r="G73" s="1793">
        <f t="shared" ref="G73:G84" si="5">IF(F73=0,0,D73-F73)</f>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si="1"/>
        <v>0</v>
      </c>
      <c r="G78" s="1793">
        <f t="shared" si="5"/>
        <v>0</v>
      </c>
    </row>
    <row r="79" spans="1:7" hidden="1" x14ac:dyDescent="0.25">
      <c r="A79" s="1653"/>
      <c r="B79" s="1667"/>
      <c r="C79" s="1654"/>
      <c r="D79" s="1844"/>
      <c r="E79" s="1540">
        <f t="shared" si="4"/>
        <v>0</v>
      </c>
      <c r="F79" s="1932">
        <f t="shared" si="1"/>
        <v>0</v>
      </c>
      <c r="G79" s="1793">
        <f t="shared" si="5"/>
        <v>0</v>
      </c>
    </row>
    <row r="80" spans="1:7" hidden="1" x14ac:dyDescent="0.25">
      <c r="A80" s="1653"/>
      <c r="B80" s="1667"/>
      <c r="C80" s="1654"/>
      <c r="D80" s="1844"/>
      <c r="E80" s="1540">
        <f t="shared" si="4"/>
        <v>0</v>
      </c>
      <c r="F80" s="1932">
        <f t="shared" si="1"/>
        <v>0</v>
      </c>
      <c r="G80" s="1793">
        <f t="shared" si="5"/>
        <v>0</v>
      </c>
    </row>
    <row r="81" spans="1:7" hidden="1"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32">
        <f t="shared" si="6"/>
        <v>0</v>
      </c>
      <c r="G82" s="1793">
        <f t="shared" si="5"/>
        <v>0</v>
      </c>
    </row>
    <row r="83" spans="1:7" hidden="1" x14ac:dyDescent="0.25">
      <c r="A83" s="1653"/>
      <c r="B83" s="1667"/>
      <c r="C83" s="1654"/>
      <c r="D83" s="1844"/>
      <c r="E83" s="1540">
        <f t="shared" si="4"/>
        <v>0</v>
      </c>
      <c r="F83" s="1932">
        <f t="shared" si="6"/>
        <v>0</v>
      </c>
      <c r="G83" s="1793">
        <f t="shared" si="5"/>
        <v>0</v>
      </c>
    </row>
    <row r="84" spans="1:7" hidden="1" x14ac:dyDescent="0.25">
      <c r="A84" s="1653"/>
      <c r="B84" s="1667"/>
      <c r="C84" s="1654"/>
      <c r="D84" s="1844"/>
      <c r="E84" s="1540">
        <f t="shared" si="4"/>
        <v>0</v>
      </c>
      <c r="F84" s="1932">
        <f t="shared" si="6"/>
        <v>0</v>
      </c>
      <c r="G84" s="1793">
        <f t="shared" si="5"/>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si="2"/>
        <v>0</v>
      </c>
      <c r="F90" s="1932">
        <f t="shared" si="6"/>
        <v>0</v>
      </c>
      <c r="G90" s="1793">
        <f t="shared" si="3"/>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si="2"/>
        <v>0</v>
      </c>
      <c r="F92" s="1932">
        <f t="shared" si="6"/>
        <v>0</v>
      </c>
      <c r="G92" s="1793">
        <f t="shared" si="3"/>
        <v>0</v>
      </c>
    </row>
    <row r="93" spans="1:7" hidden="1" x14ac:dyDescent="0.25">
      <c r="A93" s="1653"/>
      <c r="B93" s="1667"/>
      <c r="C93" s="1654"/>
      <c r="D93" s="1844"/>
      <c r="E93" s="1540">
        <f t="shared" ref="E93" si="7">IF(D93&lt;=25000,D93,IF(D93&gt;25000,25000,0))</f>
        <v>0</v>
      </c>
      <c r="F93" s="1932">
        <f t="shared" si="6"/>
        <v>0</v>
      </c>
      <c r="G93" s="1793">
        <f t="shared" ref="G93" si="8">IF(F93=0,0,D93-F93)</f>
        <v>0</v>
      </c>
    </row>
    <row r="94" spans="1:7" hidden="1" x14ac:dyDescent="0.25">
      <c r="A94" s="1653"/>
      <c r="B94" s="1667"/>
      <c r="C94" s="1654"/>
      <c r="D94" s="1844"/>
      <c r="E94" s="1540">
        <f t="shared" si="2"/>
        <v>0</v>
      </c>
      <c r="F94" s="1932">
        <f t="shared" si="6"/>
        <v>0</v>
      </c>
      <c r="G94" s="1793">
        <f t="shared" si="3"/>
        <v>0</v>
      </c>
    </row>
    <row r="95" spans="1:7" hidden="1" x14ac:dyDescent="0.25">
      <c r="A95" s="1653"/>
      <c r="B95" s="1667"/>
      <c r="C95" s="1654"/>
      <c r="D95" s="1844"/>
      <c r="E95" s="1540">
        <f t="shared" ref="E95:E98" si="9">IF(D95&lt;=25000,D95,IF(D95&gt;25000,25000,0))</f>
        <v>0</v>
      </c>
      <c r="F95" s="1932">
        <f t="shared" si="6"/>
        <v>0</v>
      </c>
      <c r="G95" s="1793">
        <f t="shared" ref="G95:G98" si="10">IF(F95=0,0,D95-F95)</f>
        <v>0</v>
      </c>
    </row>
    <row r="96" spans="1:7" hidden="1" x14ac:dyDescent="0.25">
      <c r="A96" s="1653"/>
      <c r="B96" s="1667"/>
      <c r="C96" s="1654"/>
      <c r="D96" s="1844"/>
      <c r="E96" s="1540">
        <f t="shared" si="9"/>
        <v>0</v>
      </c>
      <c r="F96" s="1932">
        <f t="shared" si="6"/>
        <v>0</v>
      </c>
      <c r="G96" s="1793">
        <f t="shared" si="10"/>
        <v>0</v>
      </c>
    </row>
    <row r="97" spans="1:7" hidden="1" x14ac:dyDescent="0.25">
      <c r="A97" s="1653"/>
      <c r="B97" s="1667"/>
      <c r="C97" s="1654"/>
      <c r="D97" s="1844"/>
      <c r="E97" s="1540">
        <f t="shared" si="9"/>
        <v>0</v>
      </c>
      <c r="F97" s="1932">
        <f t="shared" si="6"/>
        <v>0</v>
      </c>
      <c r="G97" s="1793">
        <f t="shared" si="10"/>
        <v>0</v>
      </c>
    </row>
    <row r="98" spans="1:7" hidden="1" x14ac:dyDescent="0.25">
      <c r="A98" s="1653"/>
      <c r="B98" s="1667"/>
      <c r="C98" s="1654"/>
      <c r="D98" s="1844"/>
      <c r="E98" s="1540">
        <f t="shared" si="9"/>
        <v>0</v>
      </c>
      <c r="F98" s="1932">
        <f t="shared" si="6"/>
        <v>0</v>
      </c>
      <c r="G98" s="1793">
        <f t="shared" si="10"/>
        <v>0</v>
      </c>
    </row>
    <row r="99" spans="1:7" hidden="1" x14ac:dyDescent="0.25">
      <c r="A99" s="1653"/>
      <c r="B99" s="1667"/>
      <c r="C99" s="1654"/>
      <c r="D99" s="1844"/>
      <c r="E99" s="1540">
        <f t="shared" ref="E99" si="11">IF(D99&lt;=25000,D99,IF(D99&gt;25000,25000,0))</f>
        <v>0</v>
      </c>
      <c r="F99" s="1932">
        <f t="shared" si="6"/>
        <v>0</v>
      </c>
      <c r="G99" s="1793">
        <f t="shared" ref="G99" si="12">IF(F99=0,0,D99-F99)</f>
        <v>0</v>
      </c>
    </row>
    <row r="100" spans="1:7" hidden="1" x14ac:dyDescent="0.25">
      <c r="A100" s="1653"/>
      <c r="B100" s="1667"/>
      <c r="C100" s="1654"/>
      <c r="D100" s="1844"/>
      <c r="E100" s="1540">
        <f t="shared" ref="E100:E112" si="13">IF(D100&lt;=25000,D100,IF(D100&gt;25000,25000,0))</f>
        <v>0</v>
      </c>
      <c r="F100" s="1932">
        <f t="shared" si="6"/>
        <v>0</v>
      </c>
      <c r="G100" s="1793">
        <f t="shared" ref="G100:G112" si="14">IF(F100=0,0,D100-F100)</f>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si="13"/>
        <v>0</v>
      </c>
      <c r="F110" s="1932">
        <f t="shared" si="6"/>
        <v>0</v>
      </c>
      <c r="G110" s="1793">
        <f t="shared" si="14"/>
        <v>0</v>
      </c>
    </row>
    <row r="111" spans="1:7" hidden="1" x14ac:dyDescent="0.25">
      <c r="A111" s="1653"/>
      <c r="B111" s="1667"/>
      <c r="C111" s="1654"/>
      <c r="D111" s="1844"/>
      <c r="E111" s="1540">
        <f t="shared" si="13"/>
        <v>0</v>
      </c>
      <c r="F111" s="1932">
        <f t="shared" si="6"/>
        <v>0</v>
      </c>
      <c r="G111" s="1793">
        <f t="shared" si="14"/>
        <v>0</v>
      </c>
    </row>
    <row r="112" spans="1:7" hidden="1" x14ac:dyDescent="0.25">
      <c r="A112" s="1653"/>
      <c r="B112" s="1667"/>
      <c r="C112" s="1654"/>
      <c r="D112" s="1844"/>
      <c r="E112" s="1540">
        <f t="shared" si="13"/>
        <v>0</v>
      </c>
      <c r="F112" s="1932">
        <f t="shared" si="6"/>
        <v>0</v>
      </c>
      <c r="G112" s="1793">
        <f t="shared" si="14"/>
        <v>0</v>
      </c>
    </row>
    <row r="113" spans="1:7" hidden="1" x14ac:dyDescent="0.25">
      <c r="A113" s="1653"/>
      <c r="B113" s="1667"/>
      <c r="C113" s="1654"/>
      <c r="D113" s="1844"/>
      <c r="E113" s="1540">
        <f t="shared" ref="E113:E125" si="15">IF(D113&lt;=25000,D113,IF(D113&gt;25000,25000,0))</f>
        <v>0</v>
      </c>
      <c r="F113" s="1932">
        <f t="shared" si="6"/>
        <v>0</v>
      </c>
      <c r="G113" s="1793">
        <f t="shared" ref="G113:G125" si="16">IF(F113=0,0,D113-F113)</f>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si="15"/>
        <v>0</v>
      </c>
      <c r="F123" s="1932">
        <f t="shared" si="6"/>
        <v>0</v>
      </c>
      <c r="G123" s="1793">
        <f t="shared" si="16"/>
        <v>0</v>
      </c>
    </row>
    <row r="124" spans="1:7" hidden="1" x14ac:dyDescent="0.25">
      <c r="A124" s="1653"/>
      <c r="B124" s="1667"/>
      <c r="C124" s="1654"/>
      <c r="D124" s="1844"/>
      <c r="E124" s="1540">
        <f t="shared" si="15"/>
        <v>0</v>
      </c>
      <c r="F124" s="1932">
        <f t="shared" si="6"/>
        <v>0</v>
      </c>
      <c r="G124" s="1793">
        <f t="shared" si="16"/>
        <v>0</v>
      </c>
    </row>
    <row r="125" spans="1:7" hidden="1" x14ac:dyDescent="0.25">
      <c r="A125" s="1653"/>
      <c r="B125" s="1667"/>
      <c r="C125" s="1654"/>
      <c r="D125" s="1844"/>
      <c r="E125" s="1540">
        <f t="shared" si="15"/>
        <v>0</v>
      </c>
      <c r="F125" s="1932">
        <f t="shared" si="6"/>
        <v>0</v>
      </c>
      <c r="G125" s="1793">
        <f t="shared" si="16"/>
        <v>0</v>
      </c>
    </row>
    <row r="126" spans="1:7" hidden="1" x14ac:dyDescent="0.25">
      <c r="A126" s="1653"/>
      <c r="B126" s="1667"/>
      <c r="C126" s="1654"/>
      <c r="D126" s="1844"/>
      <c r="E126" s="1540">
        <f t="shared" ref="E126:E134" si="17">IF(D126&lt;=25000,D126,IF(D126&gt;25000,25000,0))</f>
        <v>0</v>
      </c>
      <c r="F126" s="1932">
        <f t="shared" si="6"/>
        <v>0</v>
      </c>
      <c r="G126" s="1793">
        <f t="shared" ref="G126:G134" si="18">IF(F126=0,0,D126-F126)</f>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667"/>
      <c r="C128" s="1654"/>
      <c r="D128" s="1844"/>
      <c r="E128" s="1540">
        <f t="shared" si="17"/>
        <v>0</v>
      </c>
      <c r="F128" s="1932">
        <f t="shared" si="6"/>
        <v>0</v>
      </c>
      <c r="G128" s="1793">
        <f t="shared" si="18"/>
        <v>0</v>
      </c>
    </row>
    <row r="129" spans="1:7" hidden="1" x14ac:dyDescent="0.25">
      <c r="A129" s="1653"/>
      <c r="B129" s="166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837"/>
      <c r="C131" s="1654"/>
      <c r="D131" s="1844"/>
      <c r="E131" s="1540">
        <f t="shared" si="17"/>
        <v>0</v>
      </c>
      <c r="F131" s="1932">
        <f t="shared" si="6"/>
        <v>0</v>
      </c>
      <c r="G131" s="1793">
        <f t="shared" si="18"/>
        <v>0</v>
      </c>
    </row>
    <row r="132" spans="1:7" hidden="1" x14ac:dyDescent="0.25">
      <c r="A132" s="1653"/>
      <c r="B132" s="1837"/>
      <c r="C132" s="1654"/>
      <c r="D132" s="1844"/>
      <c r="E132" s="1540">
        <f t="shared" si="17"/>
        <v>0</v>
      </c>
      <c r="F132" s="1932">
        <f t="shared" si="6"/>
        <v>0</v>
      </c>
      <c r="G132" s="1793">
        <f t="shared" si="18"/>
        <v>0</v>
      </c>
    </row>
    <row r="133" spans="1:7" hidden="1" x14ac:dyDescent="0.25">
      <c r="A133" s="1653"/>
      <c r="B133" s="1667"/>
      <c r="C133" s="1654"/>
      <c r="D133" s="1844"/>
      <c r="E133" s="1540">
        <f t="shared" si="17"/>
        <v>0</v>
      </c>
      <c r="F133" s="1932">
        <f t="shared" si="6"/>
        <v>0</v>
      </c>
      <c r="G133" s="1793">
        <f t="shared" si="18"/>
        <v>0</v>
      </c>
    </row>
    <row r="134" spans="1:7" hidden="1" x14ac:dyDescent="0.25">
      <c r="A134" s="1653"/>
      <c r="B134" s="1667"/>
      <c r="C134" s="1654"/>
      <c r="D134" s="1844"/>
      <c r="E134" s="1540">
        <f t="shared" si="17"/>
        <v>0</v>
      </c>
      <c r="F134" s="1932">
        <f t="shared" si="6"/>
        <v>0</v>
      </c>
      <c r="G134" s="1793">
        <f t="shared" si="18"/>
        <v>0</v>
      </c>
    </row>
    <row r="135" spans="1:7" hidden="1" x14ac:dyDescent="0.25">
      <c r="A135" s="1653"/>
      <c r="B135" s="1667"/>
      <c r="C135" s="1654"/>
      <c r="D135" s="1844"/>
      <c r="E135" s="1540">
        <f t="shared" ref="E135:E139" si="19">IF(D135&lt;=25000,D135,IF(D135&gt;25000,25000,0))</f>
        <v>0</v>
      </c>
      <c r="F135" s="1932">
        <f t="shared" si="6"/>
        <v>0</v>
      </c>
      <c r="G135" s="1793">
        <f t="shared" ref="G135:G139" si="20">IF(F135=0,0,D135-F135)</f>
        <v>0</v>
      </c>
    </row>
    <row r="136" spans="1:7" hidden="1" x14ac:dyDescent="0.25">
      <c r="A136" s="1653"/>
      <c r="B136" s="1667"/>
      <c r="C136" s="1654"/>
      <c r="D136" s="1844"/>
      <c r="E136" s="1540">
        <f t="shared" si="19"/>
        <v>0</v>
      </c>
      <c r="F136" s="1932">
        <f t="shared" si="6"/>
        <v>0</v>
      </c>
      <c r="G136" s="1793">
        <f t="shared" si="20"/>
        <v>0</v>
      </c>
    </row>
    <row r="137" spans="1:7" hidden="1" x14ac:dyDescent="0.25">
      <c r="A137" s="1653"/>
      <c r="B137" s="1667"/>
      <c r="C137" s="1654"/>
      <c r="D137" s="1844"/>
      <c r="E137" s="1540">
        <f t="shared" si="19"/>
        <v>0</v>
      </c>
      <c r="F137" s="1932">
        <f t="shared" si="6"/>
        <v>0</v>
      </c>
      <c r="G137" s="1793">
        <f t="shared" si="20"/>
        <v>0</v>
      </c>
    </row>
    <row r="138" spans="1:7" hidden="1" x14ac:dyDescent="0.25">
      <c r="A138" s="1653"/>
      <c r="B138" s="1667"/>
      <c r="C138" s="1654"/>
      <c r="D138" s="1844"/>
      <c r="E138" s="1540">
        <f t="shared" si="19"/>
        <v>0</v>
      </c>
      <c r="F138" s="1932">
        <f t="shared" si="6"/>
        <v>0</v>
      </c>
      <c r="G138" s="1793">
        <f t="shared" si="20"/>
        <v>0</v>
      </c>
    </row>
    <row r="139" spans="1:7" hidden="1" x14ac:dyDescent="0.25">
      <c r="A139" s="1653"/>
      <c r="B139" s="1667"/>
      <c r="C139" s="1654"/>
      <c r="D139" s="1844"/>
      <c r="E139" s="1540">
        <f t="shared" si="19"/>
        <v>0</v>
      </c>
      <c r="F139" s="1932">
        <f t="shared" si="6"/>
        <v>0</v>
      </c>
      <c r="G139" s="1793">
        <f t="shared" si="20"/>
        <v>0</v>
      </c>
    </row>
    <row r="140" spans="1:7" hidden="1"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3367</v>
      </c>
      <c r="E141" s="1541">
        <f t="shared" si="0"/>
        <v>3367</v>
      </c>
      <c r="F141" s="1933">
        <f>SUM(F17:F140)</f>
        <v>3367</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1976</v>
      </c>
      <c r="B11" s="2288"/>
      <c r="C11" s="2288"/>
      <c r="D11" s="228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327264</v>
      </c>
      <c r="F19" s="1799"/>
      <c r="G19" s="1801">
        <f>'Expenditures 15-22'!K33-SUM('Expenditures 15-22'!G33,'Expenditures 15-22'!I33)+'Expenditures 15-22'!D229</f>
        <v>327264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10982</v>
      </c>
      <c r="F21" s="1802"/>
      <c r="G21" s="1805">
        <f>'Expenditures 15-22'!K42-SUM('Expenditures 15-22'!G42,'Expenditures 15-22'!I42)+'Expenditures 15-22'!K120-SUM('Expenditures 15-22'!G120,'Expenditures 15-22'!I120)+'Expenditures 15-22'!K180-SUM('Expenditures 15-22'!G180,'Expenditures 15-22'!I180)+'Expenditures 15-22'!D238</f>
        <v>10982</v>
      </c>
      <c r="H21" s="987"/>
      <c r="I21" s="162"/>
    </row>
    <row r="22" spans="1:9" s="668" customFormat="1" ht="12" customHeight="1" x14ac:dyDescent="0.2">
      <c r="A22" s="994" t="s">
        <v>564</v>
      </c>
      <c r="B22" s="995"/>
      <c r="C22" s="993">
        <v>2200</v>
      </c>
      <c r="D22" s="1802"/>
      <c r="E22" s="1804">
        <f>'Expenditures 15-22'!K47-SUM('Expenditures 15-22'!G47,'Expenditures 15-22'!I47)+'Expenditures 15-22'!D243</f>
        <v>550</v>
      </c>
      <c r="F22" s="1802"/>
      <c r="G22" s="1805">
        <f>'Expenditures 15-22'!K47-SUM('Expenditures 15-22'!G47,'Expenditures 15-22'!I47)+'Expenditures 15-22'!D243</f>
        <v>550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81498</v>
      </c>
      <c r="F23" s="1802"/>
      <c r="G23" s="1804">
        <f>'Expenditures 15-22'!K53-SUM('Expenditures 15-22'!G53,'Expenditures 15-22'!I53)+'Expenditures 15-22'!D257+'Expenditures 15-22'!K330-SUM('Expenditures 15-22'!G330,'Expenditures 15-22'!I330)</f>
        <v>81498</v>
      </c>
      <c r="H23" s="987"/>
      <c r="I23" s="162"/>
    </row>
    <row r="24" spans="1:9" s="668" customFormat="1" ht="12" customHeight="1" x14ac:dyDescent="0.2">
      <c r="A24" s="994" t="s">
        <v>566</v>
      </c>
      <c r="B24" s="995"/>
      <c r="C24" s="993">
        <v>2400</v>
      </c>
      <c r="D24" s="1802"/>
      <c r="E24" s="1804">
        <f>'Expenditures 15-22'!K57-SUM('Expenditures 15-22'!G57,'Expenditures 15-22'!I57)+'Expenditures 15-22'!D261</f>
        <v>50597</v>
      </c>
      <c r="F24" s="1802"/>
      <c r="G24" s="1805">
        <f>'Expenditures 15-22'!K57-SUM('Expenditures 15-22'!G57,'Expenditures 15-22'!I57)+'Expenditures 15-22'!D261</f>
        <v>50597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28130</v>
      </c>
      <c r="E27" s="1804">
        <f>E8</f>
        <v>0</v>
      </c>
      <c r="F27" s="1804">
        <f>'Expenditures 15-22'!K60-SUM('Expenditures 15-22'!G60,'Expenditures 15-22'!I60)+'Expenditures 15-22'!D264-E8</f>
        <v>28130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37821</v>
      </c>
      <c r="F28" s="1806">
        <f>'Expenditures 15-22'!K61-SUM('Expenditures 15-22'!G61,'Expenditures 15-22'!I61)+'Expenditures 15-22'!K124-SUM('Expenditures 15-22'!G124,'Expenditures 15-22'!I124)+'Expenditures 15-22'!D266-E9</f>
        <v>37821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38080</v>
      </c>
      <c r="F29" s="1802"/>
      <c r="G29" s="1805">
        <f>'Expenditures 15-22'!K62-SUM('Expenditures 15-22'!G62,'Expenditures 15-22'!I62)+'Expenditures 15-22'!K125-SUM('Expenditures 15-22'!G125,'Expenditures 15-22'!I125)+'Expenditures 15-22'!K182-SUM('Expenditures 15-22'!G182,'Expenditures 15-22'!I182)+'Expenditures 15-22'!D267</f>
        <v>38080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193</v>
      </c>
      <c r="E37" s="1804">
        <f>E14</f>
        <v>0</v>
      </c>
      <c r="F37" s="1804">
        <f>'Expenditures 15-22'!K71-SUM('Expenditures 15-22'!G71,'Expenditures 15-22'!I71)+'Expenditures 15-22'!D276-E14</f>
        <v>193</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28323</v>
      </c>
      <c r="E41" s="1806">
        <f>SUM(E19:E40)</f>
        <v>546792</v>
      </c>
      <c r="F41" s="1806">
        <f>SUM(F19:F39)</f>
        <v>66144</v>
      </c>
      <c r="G41" s="1806">
        <f>SUM(G19:G40)</f>
        <v>508971</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28323</v>
      </c>
      <c r="F43" s="1807" t="s">
        <v>473</v>
      </c>
      <c r="G43" s="1808">
        <f>F41</f>
        <v>66144</v>
      </c>
    </row>
    <row r="44" spans="1:7" ht="12" customHeight="1" x14ac:dyDescent="0.2">
      <c r="A44" s="987"/>
      <c r="B44" s="162"/>
      <c r="C44" s="1001"/>
      <c r="D44" s="1807" t="s">
        <v>474</v>
      </c>
      <c r="E44" s="1808">
        <f>E41</f>
        <v>546792</v>
      </c>
      <c r="F44" s="1807" t="s">
        <v>474</v>
      </c>
      <c r="G44" s="1808">
        <f>G41</f>
        <v>508971</v>
      </c>
    </row>
    <row r="45" spans="1:7" ht="12" customHeight="1" x14ac:dyDescent="0.2">
      <c r="A45" s="987"/>
      <c r="B45" s="162"/>
      <c r="C45" s="162"/>
      <c r="D45" s="1809" t="s">
        <v>1006</v>
      </c>
      <c r="E45" s="1810">
        <f>(E43/E44)</f>
        <v>5.1798490102269237E-2</v>
      </c>
      <c r="F45" s="1809" t="s">
        <v>1006</v>
      </c>
      <c r="G45" s="1810">
        <f>(G43/G44)</f>
        <v>0.12995632364122905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D13" sqref="D1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1379</v>
      </c>
      <c r="B1" s="2293"/>
      <c r="C1" s="2293"/>
      <c r="D1" s="2293"/>
      <c r="E1" s="2293"/>
      <c r="F1" s="2293"/>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4" t="s">
        <v>1546</v>
      </c>
      <c r="B5" s="2295"/>
      <c r="C5" s="2296"/>
      <c r="D5" s="2296"/>
      <c r="E5" s="2296"/>
      <c r="F5" s="2296"/>
    </row>
    <row r="6" spans="1:10" ht="12" customHeight="1" x14ac:dyDescent="0.25">
      <c r="A6" s="1850"/>
      <c r="B6" s="1851"/>
      <c r="C6" s="2297" t="str">
        <f>COVER!A17</f>
        <v>Dalzell SD 98</v>
      </c>
      <c r="D6" s="2297"/>
      <c r="E6" s="2297"/>
      <c r="F6" s="1852"/>
    </row>
    <row r="7" spans="1:10" ht="11.25" customHeight="1" thickBot="1" x14ac:dyDescent="0.3">
      <c r="A7" s="1850"/>
      <c r="B7" s="1851"/>
      <c r="C7" s="2298">
        <f>COVER!A13</f>
        <v>28006098002</v>
      </c>
      <c r="D7" s="2298"/>
      <c r="E7" s="229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c r="F26" s="1867" t="s">
        <v>2082</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1392</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Dalzell SD 98</v>
      </c>
      <c r="J6" s="2318"/>
      <c r="Q6" s="1664"/>
    </row>
    <row r="7" spans="1:17" x14ac:dyDescent="0.2">
      <c r="A7" s="2319" t="s">
        <v>869</v>
      </c>
      <c r="B7" s="2320"/>
      <c r="C7" s="2320"/>
      <c r="D7" s="2320"/>
      <c r="E7" s="2321"/>
      <c r="F7" s="1017"/>
      <c r="G7" s="1009"/>
      <c r="H7" s="1016" t="s">
        <v>372</v>
      </c>
      <c r="I7" s="2322">
        <f>COVER!A13</f>
        <v>28006098002</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36441</v>
      </c>
      <c r="F12" s="1039"/>
      <c r="G12" s="1811">
        <f t="shared" ref="G12:G18" si="0">SUM(E12:F12)</f>
        <v>36441</v>
      </c>
      <c r="H12" s="1040">
        <v>37206</v>
      </c>
      <c r="I12" s="1039"/>
      <c r="J12" s="1811">
        <f t="shared" ref="J12:J18" si="1">SUM(H12:I12)</f>
        <v>37206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36441</v>
      </c>
      <c r="F19" s="1813">
        <f t="shared" si="2"/>
        <v>0</v>
      </c>
      <c r="G19" s="1813">
        <f t="shared" si="2"/>
        <v>36441</v>
      </c>
      <c r="H19" s="1813">
        <f t="shared" si="2"/>
        <v>37206</v>
      </c>
      <c r="I19" s="1813">
        <f t="shared" si="2"/>
        <v>0</v>
      </c>
      <c r="J19" s="1813">
        <f t="shared" si="2"/>
        <v>37206</v>
      </c>
    </row>
    <row r="20" spans="1:10" ht="13.5" thickTop="1" x14ac:dyDescent="0.2">
      <c r="A20" s="1035">
        <v>9</v>
      </c>
      <c r="B20" s="2329" t="s">
        <v>1980</v>
      </c>
      <c r="C20" s="2329"/>
      <c r="D20" s="2330"/>
      <c r="E20" s="1046"/>
      <c r="F20" s="1046"/>
      <c r="G20" s="1046"/>
      <c r="H20" s="1046"/>
      <c r="I20" s="1046"/>
      <c r="J20" s="1814">
        <f>IF(AND(G19&gt;0,J19&gt;0),(((J19-G19)/G19)),"Enter Budget Data")</f>
        <v>2.0992837737713016E-2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1982</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2091</v>
      </c>
    </row>
    <row r="6" spans="1:2" x14ac:dyDescent="0.2">
      <c r="A6" s="1068">
        <v>2</v>
      </c>
      <c r="B6" s="329" t="s">
        <v>2092</v>
      </c>
    </row>
    <row r="7" spans="1:2" x14ac:dyDescent="0.2">
      <c r="A7" s="1068">
        <v>3</v>
      </c>
      <c r="B7" s="329" t="s">
        <v>2093</v>
      </c>
    </row>
    <row r="8" spans="1:2" x14ac:dyDescent="0.2">
      <c r="A8" s="1068">
        <v>4</v>
      </c>
      <c r="B8" s="329" t="s">
        <v>2094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Dalzell SD 98</v>
      </c>
    </row>
    <row r="65" spans="2:2" x14ac:dyDescent="0.2">
      <c r="B65" s="1070">
        <f>COVER!A13</f>
        <v>28006098002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1524000</xdr:colOff>
                <xdr:row>0</xdr:row>
                <xdr:rowOff>47625</xdr:rowOff>
              </from>
              <to>
                <xdr:col>1</xdr:col>
                <xdr:colOff>2438400</xdr:colOff>
                <xdr:row>4</xdr:row>
                <xdr:rowOff>85725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1986</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1987</v>
      </c>
      <c r="B4" s="2357"/>
      <c r="C4" s="2357"/>
      <c r="D4" s="2357"/>
      <c r="E4" s="2357"/>
      <c r="F4" s="2358"/>
      <c r="G4" s="1074"/>
      <c r="H4" s="1074"/>
    </row>
    <row r="5" spans="1:8" ht="14.25" customHeight="1" x14ac:dyDescent="0.2">
      <c r="A5" s="2359" t="s">
        <v>1983</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463289</v>
      </c>
      <c r="C8" s="1815">
        <f>'Acct Summary 7-8'!D8</f>
        <v>45706</v>
      </c>
      <c r="D8" s="1815">
        <f>'Acct Summary 7-8'!F8</f>
        <v>33039</v>
      </c>
      <c r="E8" s="1815">
        <f>'Acct Summary 7-8'!I8</f>
        <v>3197</v>
      </c>
      <c r="F8" s="1815">
        <f>SUM(B8:E8)</f>
        <v>545231</v>
      </c>
    </row>
    <row r="9" spans="1:8" s="1079" customFormat="1" ht="14.25" customHeight="1" thickBot="1" x14ac:dyDescent="0.25">
      <c r="A9" s="1078" t="s">
        <v>1369</v>
      </c>
      <c r="B9" s="1816">
        <f>'Acct Summary 7-8'!C17</f>
        <v>482411</v>
      </c>
      <c r="C9" s="1816">
        <f>'Acct Summary 7-8'!D17</f>
        <v>44655</v>
      </c>
      <c r="D9" s="1816">
        <f>'Acct Summary 7-8'!F17</f>
        <v>116083</v>
      </c>
      <c r="E9" s="1815"/>
      <c r="F9" s="1815">
        <f>SUM(B9:E9)</f>
        <v>643149</v>
      </c>
    </row>
    <row r="10" spans="1:8" s="1079" customFormat="1" ht="14.25" thickTop="1" thickBot="1" x14ac:dyDescent="0.25">
      <c r="A10" s="1080" t="s">
        <v>1370</v>
      </c>
      <c r="B10" s="1817">
        <f>(B8-B9)</f>
        <v>-19122</v>
      </c>
      <c r="C10" s="1817">
        <f>(C8-C9)</f>
        <v>1051</v>
      </c>
      <c r="D10" s="1817">
        <f>(D8-D9)</f>
        <v>-83044</v>
      </c>
      <c r="E10" s="1816">
        <f>(E8-E9)</f>
        <v>3197</v>
      </c>
      <c r="F10" s="1818">
        <f>SUM(F8-F9)</f>
        <v>-97918</v>
      </c>
    </row>
    <row r="11" spans="1:8" s="1079" customFormat="1" ht="14.25" thickTop="1" thickBot="1" x14ac:dyDescent="0.25">
      <c r="A11" s="1081" t="s">
        <v>1984</v>
      </c>
      <c r="B11" s="1819">
        <f>'Acct Summary 7-8'!C81</f>
        <v>224422</v>
      </c>
      <c r="C11" s="1819">
        <f>'Acct Summary 7-8'!D81</f>
        <v>21102</v>
      </c>
      <c r="D11" s="1819">
        <f>'Acct Summary 7-8'!F81</f>
        <v>-10494</v>
      </c>
      <c r="E11" s="1819">
        <f>'Acct Summary 7-8'!I81</f>
        <v>13</v>
      </c>
      <c r="F11" s="1820">
        <f>SUM(B11:E11)</f>
        <v>235043</v>
      </c>
    </row>
    <row r="12" spans="1:8" ht="16.5" customHeight="1" thickTop="1" x14ac:dyDescent="0.2">
      <c r="A12" s="1082"/>
      <c r="B12" s="1083"/>
      <c r="C12" s="2341"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D46" sqref="D4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28006098002</v>
      </c>
    </row>
    <row r="3" spans="1:2" x14ac:dyDescent="0.2">
      <c r="A3" t="s">
        <v>956</v>
      </c>
      <c r="B3" s="138" t="str">
        <f>COVER!A15</f>
        <v xml:space="preserve">BUREAU </v>
      </c>
    </row>
    <row r="4" spans="1:2" x14ac:dyDescent="0.2">
      <c r="A4" t="s">
        <v>1007</v>
      </c>
      <c r="B4" s="138" t="str">
        <f>COVER!A17</f>
        <v>Dalzell SD 98</v>
      </c>
    </row>
    <row r="5" spans="1:2" x14ac:dyDescent="0.2">
      <c r="A5" t="s">
        <v>704</v>
      </c>
      <c r="B5" s="138" t="str">
        <f>COVER!A38</f>
        <v>BRUCE BAUER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 xml:space="preserve">JOEL HOPKINS </v>
      </c>
    </row>
    <row r="18" spans="1:2" x14ac:dyDescent="0.2">
      <c r="A18" t="s">
        <v>1150</v>
      </c>
      <c r="B18" s="138" t="str">
        <f>COVER!T17</f>
        <v>314 S MCCOY STREET</v>
      </c>
    </row>
    <row r="19" spans="1:2" x14ac:dyDescent="0.2">
      <c r="A19" t="s">
        <v>886</v>
      </c>
      <c r="B19" s="138" t="str">
        <f>COVER!T25</f>
        <v>JOEL@HOPKINSOFFICE.COM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224422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224422</v>
      </c>
      <c r="D92" s="2" t="str">
        <f t="shared" si="0"/>
        <v>Error?</v>
      </c>
    </row>
    <row r="93" spans="1:4" x14ac:dyDescent="0.2">
      <c r="A93" s="5">
        <v>32</v>
      </c>
      <c r="B93" s="138">
        <f>'Assets-Liab 5-6'!C41</f>
        <v>224422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21102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21102</v>
      </c>
      <c r="D123" s="2" t="str">
        <f t="shared" si="0"/>
        <v>Error?</v>
      </c>
    </row>
    <row r="124" spans="1:4" x14ac:dyDescent="0.2">
      <c r="A124" s="5">
        <v>63</v>
      </c>
      <c r="B124" s="138">
        <f>'Assets-Liab 5-6'!D41</f>
        <v>21102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12312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12312</v>
      </c>
      <c r="D140" s="2" t="str">
        <f t="shared" si="1"/>
        <v>Error?</v>
      </c>
    </row>
    <row r="141" spans="1:4" x14ac:dyDescent="0.2">
      <c r="A141" s="5">
        <v>80</v>
      </c>
      <c r="B141" s="138">
        <f>'Assets-Liab 5-6'!E41</f>
        <v>12312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10494</v>
      </c>
      <c r="C169" s="2" t="s">
        <v>573</v>
      </c>
      <c r="D169" s="2" t="str">
        <f t="shared" si="1"/>
        <v>Error?</v>
      </c>
    </row>
    <row r="170" spans="1:4" x14ac:dyDescent="0.2">
      <c r="A170" s="5">
        <v>109</v>
      </c>
      <c r="B170" s="138">
        <f>'Assets-Liab 5-6'!F39</f>
        <v>-10494</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6878</v>
      </c>
      <c r="D189" s="2" t="str">
        <f t="shared" si="1"/>
        <v>Error?</v>
      </c>
    </row>
    <row r="190" spans="1:4" x14ac:dyDescent="0.2">
      <c r="A190" s="5">
        <v>129</v>
      </c>
      <c r="B190" s="138">
        <f>'Assets-Liab 5-6'!G41</f>
        <v>8031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10700</v>
      </c>
      <c r="D273" s="2" t="str">
        <f t="shared" si="3"/>
        <v>Error?</v>
      </c>
    </row>
    <row r="274" spans="1:4" x14ac:dyDescent="0.2">
      <c r="A274" s="5">
        <v>213</v>
      </c>
      <c r="B274" s="138">
        <f>'Assets-Liab 5-6'!M17</f>
        <v>414703</v>
      </c>
      <c r="D274" s="2" t="str">
        <f t="shared" si="3"/>
        <v>Error?</v>
      </c>
    </row>
    <row r="275" spans="1:4" x14ac:dyDescent="0.2">
      <c r="A275" s="5">
        <v>214</v>
      </c>
      <c r="B275" s="138">
        <f>'Assets-Liab 5-6'!M18</f>
        <v>113010</v>
      </c>
      <c r="D275" s="2" t="str">
        <f t="shared" si="3"/>
        <v>Error?</v>
      </c>
    </row>
    <row r="276" spans="1:4" x14ac:dyDescent="0.2">
      <c r="A276" s="5">
        <v>215</v>
      </c>
      <c r="B276" s="138">
        <f>'Assets-Liab 5-6'!M19</f>
        <v>232263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770676</v>
      </c>
      <c r="C279" s="2" t="s">
        <v>573</v>
      </c>
      <c r="D279" s="2" t="str">
        <f t="shared" si="3"/>
        <v>Error?</v>
      </c>
    </row>
    <row r="280" spans="1:4" x14ac:dyDescent="0.2">
      <c r="A280" s="5">
        <v>219</v>
      </c>
      <c r="B280" s="138">
        <f>'Assets-Liab 5-6'!M40</f>
        <v>770676</v>
      </c>
      <c r="D280" s="2" t="str">
        <f t="shared" si="3"/>
        <v>Error?</v>
      </c>
    </row>
    <row r="281" spans="1:4" x14ac:dyDescent="0.2">
      <c r="A281" s="5">
        <v>220</v>
      </c>
      <c r="B281" s="138">
        <f>'Assets-Liab 5-6'!M41</f>
        <v>770676</v>
      </c>
      <c r="C281" s="2" t="s">
        <v>573</v>
      </c>
      <c r="D281" s="2" t="str">
        <f t="shared" si="3"/>
        <v>Error?</v>
      </c>
    </row>
    <row r="282" spans="1:4" x14ac:dyDescent="0.2">
      <c r="A282" s="5">
        <v>221</v>
      </c>
      <c r="B282" s="138">
        <f>'Assets-Liab 5-6'!N21</f>
        <v>12312</v>
      </c>
      <c r="D282" s="2" t="str">
        <f t="shared" si="3"/>
        <v>Error?</v>
      </c>
    </row>
    <row r="283" spans="1:4" x14ac:dyDescent="0.2">
      <c r="A283" s="5">
        <v>222</v>
      </c>
      <c r="B283" s="138">
        <f>'Assets-Liab 5-6'!N22</f>
        <v>176688</v>
      </c>
      <c r="D283" s="2" t="str">
        <f t="shared" si="3"/>
        <v>Error?</v>
      </c>
    </row>
    <row r="284" spans="1:4" x14ac:dyDescent="0.2">
      <c r="A284" s="5">
        <v>223</v>
      </c>
      <c r="B284" s="138">
        <f>'Assets-Liab 5-6'!N23</f>
        <v>189000</v>
      </c>
      <c r="C284" s="2" t="s">
        <v>573</v>
      </c>
      <c r="D284" s="2" t="str">
        <f t="shared" si="3"/>
        <v>Error?</v>
      </c>
    </row>
    <row r="285" spans="1:4" x14ac:dyDescent="0.2">
      <c r="A285" s="5">
        <v>224</v>
      </c>
      <c r="B285" s="138">
        <f>'Assets-Liab 5-6'!N36</f>
        <v>189000</v>
      </c>
      <c r="D285" s="2" t="str">
        <f t="shared" si="3"/>
        <v>Error?</v>
      </c>
    </row>
    <row r="286" spans="1:4" x14ac:dyDescent="0.2">
      <c r="A286" s="10">
        <v>225</v>
      </c>
      <c r="D286" s="2" t="str">
        <f t="shared" si="3"/>
        <v>OK</v>
      </c>
    </row>
    <row r="287" spans="1:4" x14ac:dyDescent="0.2">
      <c r="A287" s="5">
        <v>226</v>
      </c>
      <c r="B287" s="138">
        <f>'Assets-Liab 5-6'!N37</f>
        <v>189000</v>
      </c>
      <c r="C287" s="2" t="s">
        <v>573</v>
      </c>
      <c r="D287" s="2" t="str">
        <f t="shared" si="3"/>
        <v>Error?</v>
      </c>
    </row>
    <row r="288" spans="1:4" x14ac:dyDescent="0.2">
      <c r="A288" s="5">
        <v>227</v>
      </c>
      <c r="B288" s="138">
        <f>'Assets-Liab 5-6'!N41</f>
        <v>189000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78913</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78745</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212626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9100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267772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2954</v>
      </c>
      <c r="D732" s="2" t="str">
        <f t="shared" si="10"/>
        <v>Error?</v>
      </c>
    </row>
    <row r="733" spans="1:4" x14ac:dyDescent="0.2">
      <c r="A733" s="5">
        <v>672</v>
      </c>
      <c r="B733" s="138">
        <f>'Expenditures 15-22'!C50</f>
        <v>34724</v>
      </c>
      <c r="D733" s="2" t="str">
        <f t="shared" si="10"/>
        <v>Error?</v>
      </c>
    </row>
    <row r="734" spans="1:4" x14ac:dyDescent="0.2">
      <c r="A734" s="5">
        <v>673</v>
      </c>
      <c r="B734" s="138">
        <f>'Expenditures 15-22'!C53</f>
        <v>37678</v>
      </c>
      <c r="C734" s="2" t="s">
        <v>573</v>
      </c>
      <c r="D734" s="2" t="str">
        <f t="shared" si="10"/>
        <v>Error?</v>
      </c>
    </row>
    <row r="735" spans="1:4" x14ac:dyDescent="0.2">
      <c r="A735" s="5">
        <v>674</v>
      </c>
      <c r="B735" s="138">
        <f>'Expenditures 15-22'!C55</f>
        <v>40366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40366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21353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21353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99397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367169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29936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29936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1823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7619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7877</v>
      </c>
      <c r="C843" s="2" t="s">
        <v>573</v>
      </c>
      <c r="D843" s="2" t="str">
        <f t="shared" si="12"/>
        <v>Error?</v>
      </c>
    </row>
    <row r="844" spans="1:4" x14ac:dyDescent="0.2">
      <c r="A844" s="5">
        <v>783</v>
      </c>
      <c r="B844" s="138">
        <f>'Expenditures 15-22'!E44</f>
        <v>550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550</v>
      </c>
      <c r="C847" s="2" t="s">
        <v>573</v>
      </c>
      <c r="D847" s="2" t="str">
        <f t="shared" si="12"/>
        <v>Error?</v>
      </c>
    </row>
    <row r="848" spans="1:4" x14ac:dyDescent="0.2">
      <c r="A848" s="5">
        <v>787</v>
      </c>
      <c r="B848" s="138">
        <f>'Expenditures 15-22'!E49</f>
        <v>9204</v>
      </c>
      <c r="D848" s="2" t="str">
        <f t="shared" si="12"/>
        <v>Error?</v>
      </c>
    </row>
    <row r="849" spans="1:4" x14ac:dyDescent="0.2">
      <c r="A849" s="5">
        <v>788</v>
      </c>
      <c r="B849" s="138">
        <f>'Expenditures 15-22'!E50</f>
        <v>1246</v>
      </c>
      <c r="D849" s="2" t="str">
        <f t="shared" si="12"/>
        <v>Error?</v>
      </c>
    </row>
    <row r="850" spans="1:4" x14ac:dyDescent="0.2">
      <c r="A850" s="5">
        <v>789</v>
      </c>
      <c r="B850" s="138">
        <f>'Expenditures 15-22'!E53</f>
        <v>10450</v>
      </c>
      <c r="C850" s="2" t="s">
        <v>573</v>
      </c>
      <c r="D850" s="2" t="str">
        <f t="shared" si="12"/>
        <v>Error?</v>
      </c>
    </row>
    <row r="851" spans="1:4" x14ac:dyDescent="0.2">
      <c r="A851" s="5">
        <v>790</v>
      </c>
      <c r="B851" s="138">
        <f>'Expenditures 15-22'!E55</f>
        <v>6070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6070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193</v>
      </c>
      <c r="D867" s="2" t="str">
        <f t="shared" si="12"/>
        <v>Error?</v>
      </c>
    </row>
    <row r="868" spans="1:4" x14ac:dyDescent="0.2">
      <c r="A868" s="10">
        <v>807</v>
      </c>
      <c r="D868" s="2" t="str">
        <f t="shared" si="12"/>
        <v>OK</v>
      </c>
    </row>
    <row r="869" spans="1:4" x14ac:dyDescent="0.2">
      <c r="A869" s="5">
        <v>808</v>
      </c>
      <c r="B869" s="138">
        <f>'Expenditures 15-22'!E72</f>
        <v>193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25140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32709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20559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21041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154</v>
      </c>
      <c r="D906" s="2" t="str">
        <f t="shared" si="13"/>
        <v>Error?</v>
      </c>
    </row>
    <row r="907" spans="1:4" x14ac:dyDescent="0.2">
      <c r="A907" s="5">
        <v>846</v>
      </c>
      <c r="B907" s="138">
        <f>'Expenditures 15-22'!F50</f>
        <v>471</v>
      </c>
      <c r="D907" s="2" t="str">
        <f t="shared" si="13"/>
        <v>Error?</v>
      </c>
    </row>
    <row r="908" spans="1:4" x14ac:dyDescent="0.2">
      <c r="A908" s="5">
        <v>847</v>
      </c>
      <c r="B908" s="138">
        <f>'Expenditures 15-22'!F53</f>
        <v>625</v>
      </c>
      <c r="C908" s="2" t="s">
        <v>573</v>
      </c>
      <c r="D908" s="2" t="str">
        <f t="shared" si="13"/>
        <v>Error?</v>
      </c>
    </row>
    <row r="909" spans="1:4" x14ac:dyDescent="0.2">
      <c r="A909" s="5">
        <v>848</v>
      </c>
      <c r="B909" s="138">
        <f>'Expenditures 15-22'!F55</f>
        <v>1279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1279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1273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1273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3177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24218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9500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9500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9500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9500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464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3105</v>
      </c>
      <c r="D1016" s="2" t="str">
        <f t="shared" si="14"/>
        <v>Error?</v>
      </c>
    </row>
    <row r="1017" spans="1:4" x14ac:dyDescent="0.2">
      <c r="A1017" s="5">
        <v>956</v>
      </c>
      <c r="B1017" s="138">
        <f>'Expenditures 15-22'!H42</f>
        <v>3105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15265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18879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260023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11172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321081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258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7619</v>
      </c>
      <c r="C1113" s="2" t="s">
        <v>573</v>
      </c>
      <c r="D1113" s="2" t="str">
        <f t="shared" si="16"/>
        <v>Error?</v>
      </c>
    </row>
    <row r="1114" spans="1:4" x14ac:dyDescent="0.2">
      <c r="A1114" s="5">
        <v>1053</v>
      </c>
      <c r="B1114" s="138">
        <f>'Expenditures 15-22'!K41</f>
        <v>3105</v>
      </c>
      <c r="C1114" s="2" t="s">
        <v>573</v>
      </c>
      <c r="D1114" s="2" t="str">
        <f t="shared" si="16"/>
        <v>Error?</v>
      </c>
    </row>
    <row r="1115" spans="1:4" x14ac:dyDescent="0.2">
      <c r="A1115" s="5">
        <v>1054</v>
      </c>
      <c r="B1115" s="138">
        <f>'Expenditures 15-22'!K42</f>
        <v>10982</v>
      </c>
      <c r="C1115" s="2" t="s">
        <v>573</v>
      </c>
      <c r="D1115" s="2" t="str">
        <f t="shared" si="16"/>
        <v>Error?</v>
      </c>
    </row>
    <row r="1116" spans="1:4" x14ac:dyDescent="0.2">
      <c r="A1116" s="5">
        <v>1055</v>
      </c>
      <c r="B1116" s="138">
        <f>'Expenditures 15-22'!K44</f>
        <v>550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550</v>
      </c>
      <c r="C1119" s="2" t="s">
        <v>573</v>
      </c>
      <c r="D1119" s="2" t="str">
        <f t="shared" si="16"/>
        <v>Error?</v>
      </c>
    </row>
    <row r="1120" spans="1:4" x14ac:dyDescent="0.2">
      <c r="A1120" s="5">
        <v>1059</v>
      </c>
      <c r="B1120" s="138">
        <f>'Expenditures 15-22'!K49</f>
        <v>12312</v>
      </c>
      <c r="C1120" s="2" t="s">
        <v>573</v>
      </c>
      <c r="D1120" s="2" t="str">
        <f t="shared" si="16"/>
        <v>Error?</v>
      </c>
    </row>
    <row r="1121" spans="1:4" x14ac:dyDescent="0.2">
      <c r="A1121" s="5">
        <v>1060</v>
      </c>
      <c r="B1121" s="138">
        <f>'Expenditures 15-22'!K50</f>
        <v>36441</v>
      </c>
      <c r="C1121" s="2" t="s">
        <v>573</v>
      </c>
      <c r="D1121" s="2" t="str">
        <f t="shared" si="16"/>
        <v>Error?</v>
      </c>
    </row>
    <row r="1122" spans="1:4" x14ac:dyDescent="0.2">
      <c r="A1122" s="5">
        <v>1061</v>
      </c>
      <c r="B1122" s="138">
        <f>'Expenditures 15-22'!K53</f>
        <v>48753</v>
      </c>
      <c r="C1122" s="2" t="s">
        <v>573</v>
      </c>
      <c r="D1122" s="2" t="str">
        <f t="shared" si="16"/>
        <v>Error?</v>
      </c>
    </row>
    <row r="1123" spans="1:4" x14ac:dyDescent="0.2">
      <c r="A1123" s="5">
        <v>1062</v>
      </c>
      <c r="B1123" s="138">
        <f>'Expenditures 15-22'!K55</f>
        <v>47715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47715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32126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32126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193</v>
      </c>
      <c r="C1139" s="2" t="s">
        <v>573</v>
      </c>
      <c r="D1139" s="2" t="str">
        <f t="shared" si="16"/>
        <v>Error?</v>
      </c>
    </row>
    <row r="1140" spans="1:4" x14ac:dyDescent="0.2">
      <c r="A1140" s="10">
        <v>1079</v>
      </c>
      <c r="D1140" s="2" t="str">
        <f t="shared" si="16"/>
        <v>OK</v>
      </c>
    </row>
    <row r="1141" spans="1:4" x14ac:dyDescent="0.2">
      <c r="A1141" s="5">
        <v>1080</v>
      </c>
      <c r="B1141" s="138">
        <f>'Expenditures 15-22'!K72</f>
        <v>193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140319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21011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482411</v>
      </c>
      <c r="C1152" s="2" t="s">
        <v>573</v>
      </c>
      <c r="D1152" s="2" t="str">
        <f t="shared" si="17"/>
        <v>Error?</v>
      </c>
    </row>
    <row r="1153" spans="1:4" x14ac:dyDescent="0.2">
      <c r="A1153" s="5">
        <v>1092</v>
      </c>
      <c r="B1153" s="138">
        <f>'Expenditures 15-22'!K115</f>
        <v>-19122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11910</v>
      </c>
      <c r="D1221" s="2" t="str">
        <f t="shared" si="18"/>
        <v>Error?</v>
      </c>
    </row>
    <row r="1222" spans="1:4" x14ac:dyDescent="0.2">
      <c r="A1222" s="10">
        <v>1161</v>
      </c>
      <c r="D1222" s="2" t="str">
        <f t="shared" si="18"/>
        <v>OK</v>
      </c>
    </row>
    <row r="1223" spans="1:4" x14ac:dyDescent="0.2">
      <c r="A1223" s="5">
        <v>1162</v>
      </c>
      <c r="B1223" s="138">
        <f>'Expenditures 15-22'!C127</f>
        <v>11910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11910</v>
      </c>
      <c r="C1225" s="2" t="s">
        <v>573</v>
      </c>
      <c r="D1225" s="2" t="str">
        <f t="shared" si="18"/>
        <v>Error?</v>
      </c>
    </row>
    <row r="1226" spans="1:4" x14ac:dyDescent="0.2">
      <c r="A1226" s="5">
        <v>1165</v>
      </c>
      <c r="B1226" s="138">
        <f>'Expenditures 15-22'!C151</f>
        <v>11910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121</v>
      </c>
      <c r="D1229" s="2" t="str">
        <f t="shared" si="18"/>
        <v>Error?</v>
      </c>
    </row>
    <row r="1230" spans="1:4" x14ac:dyDescent="0.2">
      <c r="A1230" s="10">
        <v>1169</v>
      </c>
      <c r="D1230" s="2" t="str">
        <f t="shared" si="18"/>
        <v>OK</v>
      </c>
    </row>
    <row r="1231" spans="1:4" x14ac:dyDescent="0.2">
      <c r="A1231" s="5">
        <v>1170</v>
      </c>
      <c r="B1231" s="138">
        <f>'Expenditures 15-22'!D127</f>
        <v>121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121</v>
      </c>
      <c r="C1233" s="2" t="s">
        <v>573</v>
      </c>
      <c r="D1233" s="2" t="str">
        <f t="shared" si="18"/>
        <v>Error?</v>
      </c>
    </row>
    <row r="1234" spans="1:4" x14ac:dyDescent="0.2">
      <c r="A1234" s="5">
        <v>1173</v>
      </c>
      <c r="B1234" s="138">
        <f>'Expenditures 15-22'!D151</f>
        <v>121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10494</v>
      </c>
      <c r="D1237" s="2" t="str">
        <f t="shared" si="18"/>
        <v>Error?</v>
      </c>
    </row>
    <row r="1238" spans="1:4" x14ac:dyDescent="0.2">
      <c r="A1238" s="10">
        <v>1177</v>
      </c>
      <c r="D1238" s="2" t="str">
        <f t="shared" si="18"/>
        <v>OK</v>
      </c>
    </row>
    <row r="1239" spans="1:4" x14ac:dyDescent="0.2">
      <c r="A1239" s="5">
        <v>1178</v>
      </c>
      <c r="B1239" s="138">
        <f>'Expenditures 15-22'!E127</f>
        <v>10494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10494</v>
      </c>
      <c r="C1241" s="2" t="s">
        <v>573</v>
      </c>
      <c r="D1241" s="2" t="str">
        <f t="shared" si="18"/>
        <v>Error?</v>
      </c>
    </row>
    <row r="1242" spans="1:4" x14ac:dyDescent="0.2">
      <c r="A1242" s="5">
        <v>1181</v>
      </c>
      <c r="B1242" s="138">
        <f>'Expenditures 15-22'!E151</f>
        <v>10494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14385</v>
      </c>
      <c r="D1245" s="2" t="str">
        <f t="shared" si="18"/>
        <v>Error?</v>
      </c>
    </row>
    <row r="1246" spans="1:4" x14ac:dyDescent="0.2">
      <c r="A1246" s="10">
        <v>1185</v>
      </c>
      <c r="D1246" s="2" t="str">
        <f t="shared" si="18"/>
        <v>OK</v>
      </c>
    </row>
    <row r="1247" spans="1:4" x14ac:dyDescent="0.2">
      <c r="A1247" s="5">
        <v>1186</v>
      </c>
      <c r="B1247" s="138">
        <f>'Expenditures 15-22'!F127</f>
        <v>14385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14385</v>
      </c>
      <c r="C1249" s="2" t="s">
        <v>573</v>
      </c>
      <c r="D1249" s="2" t="str">
        <f t="shared" si="18"/>
        <v>Error?</v>
      </c>
    </row>
    <row r="1250" spans="1:4" x14ac:dyDescent="0.2">
      <c r="A1250" s="5">
        <v>1189</v>
      </c>
      <c r="B1250" s="138">
        <f>'Expenditures 15-22'!F151</f>
        <v>14385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7745</v>
      </c>
      <c r="C1258" s="2" t="s">
        <v>573</v>
      </c>
      <c r="D1258" s="2" t="str">
        <f t="shared" si="18"/>
        <v>Error?</v>
      </c>
    </row>
    <row r="1259" spans="1:4" x14ac:dyDescent="0.2">
      <c r="A1259" s="5">
        <v>1198</v>
      </c>
      <c r="B1259" s="138">
        <f>'Expenditures 15-22'!G151</f>
        <v>7745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44655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44655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44655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44655</v>
      </c>
      <c r="C1288" s="2" t="s">
        <v>573</v>
      </c>
      <c r="D1288" s="2" t="str">
        <f t="shared" si="19"/>
        <v>Error?</v>
      </c>
    </row>
    <row r="1289" spans="1:4" x14ac:dyDescent="0.2">
      <c r="A1289" s="5">
        <v>1228</v>
      </c>
      <c r="B1289" s="138">
        <f>'Expenditures 15-22'!K152</f>
        <v>1051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21265</v>
      </c>
      <c r="C1317" s="2" t="s">
        <v>573</v>
      </c>
      <c r="D1317" s="2" t="str">
        <f t="shared" si="19"/>
        <v>Error?</v>
      </c>
    </row>
    <row r="1318" spans="1:4" x14ac:dyDescent="0.2">
      <c r="A1318" s="5">
        <v>1257</v>
      </c>
      <c r="B1318" s="138">
        <f>'Expenditures 15-22'!H174</f>
        <v>21265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1265</v>
      </c>
      <c r="C1326" s="2" t="s">
        <v>573</v>
      </c>
      <c r="D1326" s="2" t="str">
        <f t="shared" si="19"/>
        <v>OK</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21265</v>
      </c>
      <c r="C1331" s="2" t="s">
        <v>573</v>
      </c>
      <c r="D1331" s="2" t="str">
        <f t="shared" si="19"/>
        <v>Error?</v>
      </c>
    </row>
    <row r="1332" spans="1:4" x14ac:dyDescent="0.2">
      <c r="A1332" s="5">
        <v>1271</v>
      </c>
      <c r="B1332" s="138">
        <f>'Expenditures 15-22'!K174</f>
        <v>21265</v>
      </c>
      <c r="C1332" s="2" t="s">
        <v>573</v>
      </c>
      <c r="D1332" s="2" t="str">
        <f t="shared" si="19"/>
        <v>Error?</v>
      </c>
    </row>
    <row r="1333" spans="1:4" x14ac:dyDescent="0.2">
      <c r="A1333" s="5">
        <v>1272</v>
      </c>
      <c r="B1333" s="138">
        <f>'Expenditures 15-22'!K175</f>
        <v>-129</v>
      </c>
      <c r="C1333" s="2" t="s">
        <v>573</v>
      </c>
      <c r="D1333" s="2" t="str">
        <f t="shared" si="19"/>
        <v>Error?</v>
      </c>
    </row>
    <row r="1334" spans="1:4" x14ac:dyDescent="0.2">
      <c r="A1334" s="10">
        <v>1273</v>
      </c>
      <c r="D1334" s="2" t="str">
        <f t="shared" si="19"/>
        <v>OK</v>
      </c>
    </row>
    <row r="1335" spans="1:4" x14ac:dyDescent="0.2">
      <c r="A1335" s="5">
        <v>1274</v>
      </c>
      <c r="B1335" s="138">
        <f>'Expenditures 15-22'!C182</f>
        <v>21893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21893</v>
      </c>
      <c r="C1339" s="2" t="s">
        <v>573</v>
      </c>
      <c r="D1339" s="2" t="str">
        <f t="shared" si="19"/>
        <v>Error?</v>
      </c>
    </row>
    <row r="1340" spans="1:4" x14ac:dyDescent="0.2">
      <c r="A1340" s="5">
        <v>1279</v>
      </c>
      <c r="B1340" s="138">
        <f>'Expenditures 15-22'!C210</f>
        <v>21893</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6852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6852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6852</v>
      </c>
      <c r="C1353" s="2" t="s">
        <v>573</v>
      </c>
      <c r="D1353" s="2" t="str">
        <f t="shared" si="20"/>
        <v>Error?</v>
      </c>
    </row>
    <row r="1354" spans="1:4" x14ac:dyDescent="0.2">
      <c r="A1354" s="5">
        <v>1293</v>
      </c>
      <c r="B1354" s="138">
        <f>'Expenditures 15-22'!F182</f>
        <v>4689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4689</v>
      </c>
      <c r="C1358" s="2" t="s">
        <v>573</v>
      </c>
      <c r="D1358" s="2" t="str">
        <f t="shared" si="20"/>
        <v>Error?</v>
      </c>
    </row>
    <row r="1359" spans="1:4" x14ac:dyDescent="0.2">
      <c r="A1359" s="5">
        <v>1298</v>
      </c>
      <c r="B1359" s="138">
        <f>'Expenditures 15-22'!F210</f>
        <v>4689</v>
      </c>
      <c r="C1359" s="2" t="s">
        <v>573</v>
      </c>
      <c r="D1359" s="2" t="str">
        <f t="shared" si="20"/>
        <v>Error?</v>
      </c>
    </row>
    <row r="1360" spans="1:4" x14ac:dyDescent="0.2">
      <c r="A1360" s="5">
        <v>1299</v>
      </c>
      <c r="B1360" s="138">
        <f>'Expenditures 15-22'!G182</f>
        <v>77372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77372</v>
      </c>
      <c r="C1364" s="2" t="s">
        <v>573</v>
      </c>
      <c r="D1364" s="2" t="str">
        <f t="shared" si="20"/>
        <v>Error?</v>
      </c>
    </row>
    <row r="1365" spans="1:4" x14ac:dyDescent="0.2">
      <c r="A1365" s="5">
        <v>1304</v>
      </c>
      <c r="B1365" s="138">
        <f>'Expenditures 15-22'!G210</f>
        <v>77372</v>
      </c>
      <c r="C1365" s="2" t="s">
        <v>573</v>
      </c>
      <c r="D1365" s="2" t="str">
        <f t="shared" si="20"/>
        <v>Error?</v>
      </c>
    </row>
    <row r="1366" spans="1:4" x14ac:dyDescent="0.2">
      <c r="A1366" s="5">
        <v>1305</v>
      </c>
      <c r="B1366" s="138">
        <f>'Expenditures 15-22'!H182</f>
        <v>891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891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4386</v>
      </c>
      <c r="C1375" s="2" t="s">
        <v>573</v>
      </c>
      <c r="D1375" s="2" t="str">
        <f t="shared" si="20"/>
        <v>Error?</v>
      </c>
    </row>
    <row r="1376" spans="1:4" x14ac:dyDescent="0.2">
      <c r="A1376" s="5">
        <v>1315</v>
      </c>
      <c r="B1376" s="138">
        <f>'Expenditures 15-22'!H210</f>
        <v>5277</v>
      </c>
      <c r="C1376" s="2" t="s">
        <v>573</v>
      </c>
      <c r="D1376" s="2" t="str">
        <f t="shared" si="20"/>
        <v>Error?</v>
      </c>
    </row>
    <row r="1377" spans="1:4" x14ac:dyDescent="0.2">
      <c r="A1377" s="5">
        <v>1316</v>
      </c>
      <c r="B1377" s="138">
        <f>'Expenditures 15-22'!K182</f>
        <v>111697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111697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4386</v>
      </c>
      <c r="C1387" s="2" t="s">
        <v>573</v>
      </c>
      <c r="D1387" s="2" t="str">
        <f t="shared" si="20"/>
        <v>Error?</v>
      </c>
    </row>
    <row r="1388" spans="1:4" x14ac:dyDescent="0.2">
      <c r="A1388" s="5">
        <v>1327</v>
      </c>
      <c r="B1388" s="138">
        <f>'Expenditures 15-22'!K210</f>
        <v>116083</v>
      </c>
      <c r="C1388" s="2" t="s">
        <v>573</v>
      </c>
      <c r="D1388" s="2" t="str">
        <f t="shared" si="20"/>
        <v>Error?</v>
      </c>
    </row>
    <row r="1389" spans="1:4" x14ac:dyDescent="0.2">
      <c r="A1389" s="5">
        <v>1328</v>
      </c>
      <c r="B1389" s="138">
        <f>'Expenditures 15-22'!K211</f>
        <v>-83044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473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6183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483</v>
      </c>
      <c r="D1422" s="2" t="str">
        <f t="shared" si="21"/>
        <v>Error?</v>
      </c>
    </row>
    <row r="1423" spans="1:4" x14ac:dyDescent="0.2">
      <c r="A1423" s="5">
        <v>1362</v>
      </c>
      <c r="B1423" s="138">
        <f>'Expenditures 15-22'!D246</f>
        <v>809</v>
      </c>
      <c r="D1423" s="2" t="str">
        <f t="shared" si="21"/>
        <v>Error?</v>
      </c>
    </row>
    <row r="1424" spans="1:4" x14ac:dyDescent="0.2">
      <c r="A1424" s="5">
        <v>1363</v>
      </c>
      <c r="B1424" s="138">
        <f>'Expenditures 15-22'!D257</f>
        <v>1292</v>
      </c>
      <c r="C1424" s="2" t="s">
        <v>573</v>
      </c>
      <c r="D1424" s="2" t="str">
        <f t="shared" si="21"/>
        <v>Error?</v>
      </c>
    </row>
    <row r="1425" spans="1:4" x14ac:dyDescent="0.2">
      <c r="A1425" s="5">
        <v>1364</v>
      </c>
      <c r="B1425" s="138">
        <f>'Expenditures 15-22'!D259</f>
        <v>2882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2882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911</v>
      </c>
      <c r="D1431" s="2" t="str">
        <f t="shared" si="21"/>
        <v>Error?</v>
      </c>
    </row>
    <row r="1432" spans="1:4" x14ac:dyDescent="0.2">
      <c r="A1432" s="5">
        <v>1371</v>
      </c>
      <c r="B1432" s="138">
        <f>'Expenditures 15-22'!D267</f>
        <v>3755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10170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14344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20527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473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6183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483</v>
      </c>
      <c r="C1486" s="2" t="s">
        <v>573</v>
      </c>
      <c r="D1486" s="2" t="str">
        <f t="shared" si="22"/>
        <v>Error?</v>
      </c>
    </row>
    <row r="1487" spans="1:4" x14ac:dyDescent="0.2">
      <c r="A1487" s="5">
        <v>1426</v>
      </c>
      <c r="B1487" s="138">
        <f>'Expenditures 15-22'!K246</f>
        <v>809</v>
      </c>
      <c r="C1487" s="2" t="s">
        <v>573</v>
      </c>
      <c r="D1487" s="2" t="str">
        <f t="shared" si="22"/>
        <v>Error?</v>
      </c>
    </row>
    <row r="1488" spans="1:4" x14ac:dyDescent="0.2">
      <c r="A1488" s="5">
        <v>1427</v>
      </c>
      <c r="B1488" s="138">
        <f>'Expenditures 15-22'!K257</f>
        <v>1292</v>
      </c>
      <c r="C1488" s="2" t="s">
        <v>573</v>
      </c>
      <c r="D1488" s="2" t="str">
        <f t="shared" si="22"/>
        <v>Error?</v>
      </c>
    </row>
    <row r="1489" spans="1:4" x14ac:dyDescent="0.2">
      <c r="A1489" s="5">
        <v>1428</v>
      </c>
      <c r="B1489" s="138">
        <f>'Expenditures 15-22'!K259</f>
        <v>2882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2882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5504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911</v>
      </c>
      <c r="C1495" s="2" t="s">
        <v>573</v>
      </c>
      <c r="D1495" s="2" t="str">
        <f t="shared" si="22"/>
        <v>Error?</v>
      </c>
    </row>
    <row r="1496" spans="1:4" x14ac:dyDescent="0.2">
      <c r="A1496" s="5">
        <v>1435</v>
      </c>
      <c r="B1496" s="138">
        <f>'Expenditures 15-22'!K267</f>
        <v>3755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10170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14344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20527</v>
      </c>
      <c r="C1517" s="2" t="s">
        <v>573</v>
      </c>
      <c r="D1517" s="2" t="str">
        <f t="shared" si="22"/>
        <v>Error?</v>
      </c>
    </row>
    <row r="1518" spans="1:4" x14ac:dyDescent="0.2">
      <c r="A1518" s="5">
        <v>1457</v>
      </c>
      <c r="B1518" s="138">
        <f>'Expenditures 15-22'!K296</f>
        <v>3550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89631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224422</v>
      </c>
      <c r="C1630" s="2" t="s">
        <v>573</v>
      </c>
      <c r="D1630" s="2" t="str">
        <f t="shared" si="24"/>
        <v>Error?</v>
      </c>
    </row>
    <row r="1631" spans="1:4" x14ac:dyDescent="0.2">
      <c r="A1631" s="5">
        <v>1570</v>
      </c>
      <c r="B1631" s="138">
        <f>'Acct Summary 7-8'!D79</f>
        <v>20051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21102</v>
      </c>
      <c r="C1644" s="2" t="s">
        <v>573</v>
      </c>
      <c r="D1644" s="2" t="str">
        <f t="shared" si="24"/>
        <v>Error?</v>
      </c>
    </row>
    <row r="1645" spans="1:4" x14ac:dyDescent="0.2">
      <c r="A1645" s="5">
        <v>1584</v>
      </c>
      <c r="B1645" s="138">
        <f>'Acct Summary 7-8'!E79</f>
        <v>1572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12312</v>
      </c>
      <c r="C1658" s="2" t="s">
        <v>573</v>
      </c>
      <c r="D1658" s="2" t="str">
        <f t="shared" si="24"/>
        <v>Error?</v>
      </c>
    </row>
    <row r="1659" spans="1:4" x14ac:dyDescent="0.2">
      <c r="A1659" s="5">
        <v>1598</v>
      </c>
      <c r="B1659" s="138">
        <f>'Acct Summary 7-8'!F79</f>
        <v>68164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-10494</v>
      </c>
      <c r="C1672" s="2" t="s">
        <v>573</v>
      </c>
      <c r="D1672" s="2" t="str">
        <f t="shared" si="25"/>
        <v>Error?</v>
      </c>
    </row>
    <row r="1673" spans="1:4" x14ac:dyDescent="0.2">
      <c r="A1673" s="5">
        <v>1612</v>
      </c>
      <c r="B1673" s="138">
        <f>'Acct Summary 7-8'!G79</f>
        <v>4481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8031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106194</v>
      </c>
      <c r="C1744" s="2" t="s">
        <v>573</v>
      </c>
      <c r="D1744" s="2" t="str">
        <f t="shared" si="26"/>
        <v>Error?</v>
      </c>
    </row>
    <row r="1745" spans="1:5" x14ac:dyDescent="0.2">
      <c r="A1745" s="5">
        <v>1684</v>
      </c>
      <c r="B1745" s="138">
        <f>'Tax Sched 23'!B5</f>
        <v>15525</v>
      </c>
      <c r="C1745" s="2" t="s">
        <v>573</v>
      </c>
      <c r="D1745" s="2" t="str">
        <f t="shared" si="26"/>
        <v>Error?</v>
      </c>
    </row>
    <row r="1746" spans="1:5" x14ac:dyDescent="0.2">
      <c r="A1746" s="5">
        <v>1685</v>
      </c>
      <c r="B1746" s="138">
        <f>'Tax Sched 23'!B6</f>
        <v>21107</v>
      </c>
      <c r="C1746" s="2" t="s">
        <v>573</v>
      </c>
      <c r="D1746" s="2" t="str">
        <f t="shared" si="26"/>
        <v>Error?</v>
      </c>
    </row>
    <row r="1747" spans="1:5" x14ac:dyDescent="0.2">
      <c r="A1747" s="5">
        <v>1686</v>
      </c>
      <c r="B1747" s="138">
        <f>'Tax Sched 23'!B7</f>
        <v>7452</v>
      </c>
      <c r="C1747" s="2" t="s">
        <v>573</v>
      </c>
      <c r="D1747" s="2" t="str">
        <f t="shared" si="26"/>
        <v>Error?</v>
      </c>
    </row>
    <row r="1748" spans="1:5" x14ac:dyDescent="0.2">
      <c r="A1748" s="5">
        <v>1687</v>
      </c>
      <c r="B1748" s="138">
        <f>'Tax Sched 23'!B8</f>
        <v>3095</v>
      </c>
      <c r="C1748" s="2" t="s">
        <v>573</v>
      </c>
      <c r="D1748" s="2" t="str">
        <f t="shared" si="26"/>
        <v>Error?</v>
      </c>
    </row>
    <row r="1749" spans="1:5" x14ac:dyDescent="0.2">
      <c r="A1749" s="5">
        <v>1688</v>
      </c>
      <c r="B1749" s="138">
        <f>'Tax Sched 23'!B10</f>
        <v>3105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31394</v>
      </c>
      <c r="C1752" s="2" t="s">
        <v>573</v>
      </c>
      <c r="D1752" s="2" t="str">
        <f t="shared" si="26"/>
        <v>Error?</v>
      </c>
    </row>
    <row r="1753" spans="1:5" x14ac:dyDescent="0.2">
      <c r="A1753" s="5">
        <v>1692</v>
      </c>
      <c r="B1753" s="138">
        <f>'Tax Sched 23'!B12</f>
        <v>3105</v>
      </c>
      <c r="C1753" s="2" t="s">
        <v>573</v>
      </c>
      <c r="D1753" s="2" t="str">
        <f t="shared" si="26"/>
        <v>Error?</v>
      </c>
    </row>
    <row r="1754" spans="1:5" x14ac:dyDescent="0.2">
      <c r="A1754" s="5">
        <v>1693</v>
      </c>
      <c r="B1754" s="138">
        <f>'Tax Sched 23'!B14</f>
        <v>1242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215963</v>
      </c>
      <c r="C1759" s="2" t="s">
        <v>573</v>
      </c>
      <c r="D1759" s="2" t="str">
        <f t="shared" si="26"/>
        <v>Error?</v>
      </c>
    </row>
    <row r="1760" spans="1:5" x14ac:dyDescent="0.2">
      <c r="A1760" s="5">
        <v>1699</v>
      </c>
      <c r="B1760" s="138">
        <f>'Tax Sched 23'!D4</f>
        <v>106194</v>
      </c>
      <c r="C1760" s="2" t="s">
        <v>573</v>
      </c>
      <c r="D1760" s="2" t="str">
        <f t="shared" si="26"/>
        <v>Error?</v>
      </c>
    </row>
    <row r="1761" spans="1:5" x14ac:dyDescent="0.2">
      <c r="A1761" s="5">
        <v>1700</v>
      </c>
      <c r="B1761" s="138">
        <f>'Tax Sched 23'!D5</f>
        <v>15525</v>
      </c>
      <c r="C1761" s="2" t="s">
        <v>573</v>
      </c>
      <c r="D1761" s="2" t="str">
        <f t="shared" si="26"/>
        <v>Error?</v>
      </c>
    </row>
    <row r="1762" spans="1:5" s="8" customFormat="1" x14ac:dyDescent="0.2">
      <c r="A1762" s="5">
        <v>1701</v>
      </c>
      <c r="B1762" s="138">
        <f>'Tax Sched 23'!D6</f>
        <v>21107</v>
      </c>
      <c r="C1762" s="2" t="s">
        <v>573</v>
      </c>
      <c r="D1762" s="2" t="str">
        <f t="shared" si="26"/>
        <v>Error?</v>
      </c>
      <c r="E1762" s="9"/>
    </row>
    <row r="1763" spans="1:5" x14ac:dyDescent="0.2">
      <c r="A1763" s="5">
        <v>1702</v>
      </c>
      <c r="B1763" s="138">
        <f>'Tax Sched 23'!D7</f>
        <v>7452</v>
      </c>
      <c r="C1763" s="2" t="s">
        <v>573</v>
      </c>
      <c r="D1763" s="2" t="str">
        <f t="shared" si="26"/>
        <v>Error?</v>
      </c>
    </row>
    <row r="1764" spans="1:5" x14ac:dyDescent="0.2">
      <c r="A1764" s="5">
        <v>1703</v>
      </c>
      <c r="B1764" s="138">
        <f>'Tax Sched 23'!D8</f>
        <v>3095</v>
      </c>
      <c r="C1764" s="2" t="s">
        <v>573</v>
      </c>
      <c r="D1764" s="2" t="str">
        <f t="shared" si="26"/>
        <v>Error?</v>
      </c>
    </row>
    <row r="1765" spans="1:5" x14ac:dyDescent="0.2">
      <c r="A1765" s="5">
        <v>1704</v>
      </c>
      <c r="B1765" s="138">
        <f>'Tax Sched 23'!D10</f>
        <v>3105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31394</v>
      </c>
      <c r="C1768" s="2" t="s">
        <v>573</v>
      </c>
      <c r="D1768" s="2" t="str">
        <f t="shared" si="26"/>
        <v>Error?</v>
      </c>
    </row>
    <row r="1769" spans="1:5" x14ac:dyDescent="0.2">
      <c r="A1769" s="5">
        <v>1708</v>
      </c>
      <c r="B1769" s="138">
        <f>'Tax Sched 23'!D12</f>
        <v>3105</v>
      </c>
      <c r="C1769" s="2" t="s">
        <v>573</v>
      </c>
      <c r="D1769" s="2" t="str">
        <f t="shared" si="26"/>
        <v>Error?</v>
      </c>
    </row>
    <row r="1770" spans="1:5" x14ac:dyDescent="0.2">
      <c r="A1770" s="5">
        <v>1709</v>
      </c>
      <c r="B1770" s="138">
        <f>'Tax Sched 23'!D14</f>
        <v>1242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215963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123043</v>
      </c>
      <c r="C1792" s="2" t="s">
        <v>573</v>
      </c>
      <c r="D1792" s="2" t="str">
        <f t="shared" si="27"/>
        <v>Error?</v>
      </c>
    </row>
    <row r="1793" spans="1:4" x14ac:dyDescent="0.2">
      <c r="A1793" s="5">
        <v>1732</v>
      </c>
      <c r="B1793" s="138">
        <f>'Tax Sched 23'!F5</f>
        <v>17989</v>
      </c>
      <c r="C1793" s="2" t="s">
        <v>573</v>
      </c>
      <c r="D1793" s="2" t="str">
        <f t="shared" si="27"/>
        <v>Error?</v>
      </c>
    </row>
    <row r="1794" spans="1:4" x14ac:dyDescent="0.2">
      <c r="A1794" s="5">
        <v>1733</v>
      </c>
      <c r="B1794" s="138">
        <f>'Tax Sched 23'!F6</f>
        <v>20425</v>
      </c>
      <c r="C1794" s="2" t="s">
        <v>573</v>
      </c>
      <c r="D1794" s="2" t="str">
        <f t="shared" si="27"/>
        <v>Error?</v>
      </c>
    </row>
    <row r="1795" spans="1:4" x14ac:dyDescent="0.2">
      <c r="A1795" s="5">
        <v>1734</v>
      </c>
      <c r="B1795" s="138">
        <f>'Tax Sched 23'!F7</f>
        <v>8635</v>
      </c>
      <c r="C1795" s="2" t="s">
        <v>573</v>
      </c>
      <c r="D1795" s="2" t="str">
        <f t="shared" si="27"/>
        <v>Error?</v>
      </c>
    </row>
    <row r="1796" spans="1:4" x14ac:dyDescent="0.2">
      <c r="A1796" s="5">
        <v>1735</v>
      </c>
      <c r="B1796" s="138">
        <f>'Tax Sched 23'!F8</f>
        <v>8512</v>
      </c>
      <c r="C1796" s="2" t="s">
        <v>573</v>
      </c>
      <c r="D1796" s="2" t="str">
        <f t="shared" si="27"/>
        <v>Error?</v>
      </c>
    </row>
    <row r="1797" spans="1:4" x14ac:dyDescent="0.2">
      <c r="A1797" s="5">
        <v>1736</v>
      </c>
      <c r="B1797" s="138">
        <f>'Tax Sched 23'!F10</f>
        <v>3598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44233</v>
      </c>
      <c r="C1800" s="2" t="s">
        <v>573</v>
      </c>
      <c r="D1800" s="2" t="str">
        <f t="shared" si="27"/>
        <v>Error?</v>
      </c>
    </row>
    <row r="1801" spans="1:4" x14ac:dyDescent="0.2">
      <c r="A1801" s="5">
        <v>1740</v>
      </c>
      <c r="B1801" s="138">
        <f>'Tax Sched 23'!F12</f>
        <v>3598</v>
      </c>
      <c r="C1801" s="2" t="s">
        <v>573</v>
      </c>
      <c r="D1801" s="2" t="str">
        <f t="shared" si="27"/>
        <v>Error?</v>
      </c>
    </row>
    <row r="1802" spans="1:4" x14ac:dyDescent="0.2">
      <c r="A1802" s="5">
        <v>1741</v>
      </c>
      <c r="B1802" s="138">
        <f>'Tax Sched 23'!F14</f>
        <v>1439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247820</v>
      </c>
      <c r="C1807" s="2" t="s">
        <v>573</v>
      </c>
      <c r="D1807" s="2" t="str">
        <f t="shared" si="27"/>
        <v>Error?</v>
      </c>
    </row>
    <row r="1808" spans="1:4" x14ac:dyDescent="0.2">
      <c r="A1808" s="5">
        <v>1747</v>
      </c>
      <c r="B1808" s="138">
        <f>'Tax Sched 23'!E4</f>
        <v>123043</v>
      </c>
      <c r="D1808" s="2" t="str">
        <f t="shared" si="27"/>
        <v>Error?</v>
      </c>
    </row>
    <row r="1809" spans="1:4" x14ac:dyDescent="0.2">
      <c r="A1809" s="5">
        <v>1748</v>
      </c>
      <c r="B1809" s="138">
        <f>'Tax Sched 23'!E5</f>
        <v>17989</v>
      </c>
      <c r="D1809" s="2" t="str">
        <f t="shared" si="27"/>
        <v>Error?</v>
      </c>
    </row>
    <row r="1810" spans="1:4" x14ac:dyDescent="0.2">
      <c r="A1810" s="5">
        <v>1749</v>
      </c>
      <c r="B1810" s="138">
        <f>'Tax Sched 23'!E6</f>
        <v>20425</v>
      </c>
      <c r="D1810" s="2" t="str">
        <f t="shared" si="27"/>
        <v>Error?</v>
      </c>
    </row>
    <row r="1811" spans="1:4" x14ac:dyDescent="0.2">
      <c r="A1811" s="5">
        <v>1750</v>
      </c>
      <c r="B1811" s="138">
        <f>'Tax Sched 23'!E7</f>
        <v>8635</v>
      </c>
      <c r="D1811" s="2" t="str">
        <f t="shared" si="27"/>
        <v>Error?</v>
      </c>
    </row>
    <row r="1812" spans="1:4" x14ac:dyDescent="0.2">
      <c r="A1812" s="5">
        <v>1751</v>
      </c>
      <c r="B1812" s="138">
        <f>'Tax Sched 23'!E8</f>
        <v>8512</v>
      </c>
      <c r="D1812" s="2" t="str">
        <f t="shared" si="27"/>
        <v>Error?</v>
      </c>
    </row>
    <row r="1813" spans="1:4" x14ac:dyDescent="0.2">
      <c r="A1813" s="5">
        <v>1752</v>
      </c>
      <c r="B1813" s="138">
        <f>'Tax Sched 23'!E10</f>
        <v>3598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44233</v>
      </c>
      <c r="D1816" s="2" t="str">
        <f t="shared" si="27"/>
        <v>Error?</v>
      </c>
    </row>
    <row r="1817" spans="1:4" x14ac:dyDescent="0.2">
      <c r="A1817" s="5">
        <v>1756</v>
      </c>
      <c r="B1817" s="138">
        <f>'Tax Sched 23'!E12</f>
        <v>3598</v>
      </c>
      <c r="D1817" s="2" t="str">
        <f t="shared" si="27"/>
        <v>Error?</v>
      </c>
    </row>
    <row r="1818" spans="1:4" x14ac:dyDescent="0.2">
      <c r="A1818" s="5">
        <v>1757</v>
      </c>
      <c r="B1818" s="138">
        <f>'Tax Sched 23'!E14</f>
        <v>1439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247820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40000</v>
      </c>
      <c r="C1939" s="2" t="s">
        <v>573</v>
      </c>
      <c r="D1939" s="2" t="str">
        <f t="shared" si="29"/>
        <v>Error?</v>
      </c>
    </row>
    <row r="1940" spans="1:5" x14ac:dyDescent="0.2">
      <c r="A1940" s="5">
        <v>1879</v>
      </c>
      <c r="B1940" s="138">
        <f>'Short-Term Long-Term Debt 24'!F49</f>
        <v>169000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1242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10700</v>
      </c>
      <c r="D2008" s="2" t="str">
        <f t="shared" si="30"/>
        <v>Error?</v>
      </c>
    </row>
    <row r="2009" spans="1:4" x14ac:dyDescent="0.2">
      <c r="A2009" s="5">
        <v>1948</v>
      </c>
      <c r="B2009" s="138">
        <f>'Cap Outlay Deprec 26'!C8</f>
        <v>414703</v>
      </c>
      <c r="D2009" s="2" t="str">
        <f t="shared" si="30"/>
        <v>Error?</v>
      </c>
    </row>
    <row r="2010" spans="1:4" x14ac:dyDescent="0.2">
      <c r="A2010" s="5">
        <v>1949</v>
      </c>
      <c r="B2010" s="138">
        <f>'Cap Outlay Deprec 26'!C10</f>
        <v>97815</v>
      </c>
      <c r="D2010" s="2" t="str">
        <f t="shared" si="30"/>
        <v>Error?</v>
      </c>
    </row>
    <row r="2011" spans="1:4" x14ac:dyDescent="0.2">
      <c r="A2011" s="5">
        <v>1950</v>
      </c>
      <c r="B2011" s="138">
        <f>'Cap Outlay Deprec 26'!C12</f>
        <v>58989</v>
      </c>
      <c r="D2011" s="2" t="str">
        <f t="shared" si="30"/>
        <v>Error?</v>
      </c>
    </row>
    <row r="2012" spans="1:4" x14ac:dyDescent="0.2">
      <c r="A2012" s="5">
        <v>1951</v>
      </c>
      <c r="B2012" s="138">
        <f>'Cap Outlay Deprec 26'!C13</f>
        <v>86402</v>
      </c>
      <c r="D2012" s="2" t="str">
        <f t="shared" si="30"/>
        <v>Error?</v>
      </c>
    </row>
    <row r="2013" spans="1:4" x14ac:dyDescent="0.2">
      <c r="A2013" s="5">
        <v>1952</v>
      </c>
      <c r="B2013" s="138">
        <f>'Cap Outlay Deprec 26'!C16</f>
        <v>668609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15195</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86872</v>
      </c>
      <c r="D2018" s="2" t="str">
        <f t="shared" si="30"/>
        <v>Error?</v>
      </c>
    </row>
    <row r="2019" spans="1:4" x14ac:dyDescent="0.2">
      <c r="A2019" s="5">
        <v>1958</v>
      </c>
      <c r="B2019" s="138">
        <f>'Cap Outlay Deprec 26'!D16</f>
        <v>102067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10700</v>
      </c>
      <c r="C2026" s="2" t="s">
        <v>573</v>
      </c>
      <c r="D2026" s="2" t="str">
        <f t="shared" si="30"/>
        <v>Error?</v>
      </c>
    </row>
    <row r="2027" spans="1:4" x14ac:dyDescent="0.2">
      <c r="A2027" s="5">
        <v>1966</v>
      </c>
      <c r="B2027" s="138">
        <f>'Cap Outlay Deprec 26'!F8</f>
        <v>414703</v>
      </c>
      <c r="C2027" s="2" t="s">
        <v>573</v>
      </c>
      <c r="D2027" s="2" t="str">
        <f t="shared" si="30"/>
        <v>Error?</v>
      </c>
    </row>
    <row r="2028" spans="1:4" x14ac:dyDescent="0.2">
      <c r="A2028" s="5">
        <v>1967</v>
      </c>
      <c r="B2028" s="138">
        <f>'Cap Outlay Deprec 26'!F10</f>
        <v>113010</v>
      </c>
      <c r="C2028" s="2" t="s">
        <v>573</v>
      </c>
      <c r="D2028" s="2" t="str">
        <f t="shared" si="30"/>
        <v>Error?</v>
      </c>
    </row>
    <row r="2029" spans="1:4" x14ac:dyDescent="0.2">
      <c r="A2029" s="5">
        <v>1968</v>
      </c>
      <c r="B2029" s="138">
        <f>'Cap Outlay Deprec 26'!F12</f>
        <v>58989</v>
      </c>
      <c r="C2029" s="2" t="s">
        <v>573</v>
      </c>
      <c r="D2029" s="2" t="str">
        <f t="shared" si="30"/>
        <v>Error?</v>
      </c>
    </row>
    <row r="2030" spans="1:4" x14ac:dyDescent="0.2">
      <c r="A2030" s="5">
        <v>1969</v>
      </c>
      <c r="B2030" s="138">
        <f>'Cap Outlay Deprec 26'!F13</f>
        <v>173274</v>
      </c>
      <c r="C2030" s="2" t="s">
        <v>573</v>
      </c>
      <c r="D2030" s="2" t="str">
        <f t="shared" si="30"/>
        <v>Error?</v>
      </c>
    </row>
    <row r="2031" spans="1:4" x14ac:dyDescent="0.2">
      <c r="A2031" s="5">
        <v>1970</v>
      </c>
      <c r="B2031" s="138">
        <f>'Cap Outlay Deprec 26'!F16</f>
        <v>770676</v>
      </c>
      <c r="C2031" s="2" t="s">
        <v>573</v>
      </c>
      <c r="D2031" s="2" t="str">
        <f t="shared" si="30"/>
        <v>Error?</v>
      </c>
    </row>
    <row r="2032" spans="1:4" x14ac:dyDescent="0.2">
      <c r="A2032" s="10">
        <v>1971</v>
      </c>
      <c r="D2032" s="2" t="str">
        <f t="shared" si="30"/>
        <v>OK</v>
      </c>
    </row>
    <row r="2033" spans="1:4" x14ac:dyDescent="0.2">
      <c r="A2033" s="5">
        <v>1972</v>
      </c>
      <c r="B2033" s="138">
        <f>'Cap Outlay Deprec 26'!H8</f>
        <v>257066</v>
      </c>
      <c r="D2033" s="2" t="str">
        <f t="shared" si="30"/>
        <v>Error?</v>
      </c>
    </row>
    <row r="2034" spans="1:4" x14ac:dyDescent="0.2">
      <c r="A2034" s="5">
        <v>1973</v>
      </c>
      <c r="B2034" s="138">
        <f>'Cap Outlay Deprec 26'!H10</f>
        <v>38969</v>
      </c>
      <c r="D2034" s="2" t="str">
        <f t="shared" si="30"/>
        <v>Error?</v>
      </c>
    </row>
    <row r="2035" spans="1:4" x14ac:dyDescent="0.2">
      <c r="A2035" s="5">
        <v>1974</v>
      </c>
      <c r="B2035" s="138">
        <f>'Cap Outlay Deprec 26'!H12</f>
        <v>58989</v>
      </c>
      <c r="D2035" s="2" t="str">
        <f t="shared" si="30"/>
        <v>Error?</v>
      </c>
    </row>
    <row r="2036" spans="1:4" x14ac:dyDescent="0.2">
      <c r="A2036" s="5">
        <v>1975</v>
      </c>
      <c r="B2036" s="138">
        <f>'Cap Outlay Deprec 26'!H13</f>
        <v>68524</v>
      </c>
      <c r="D2036" s="2" t="str">
        <f t="shared" si="30"/>
        <v>Error?</v>
      </c>
    </row>
    <row r="2037" spans="1:4" x14ac:dyDescent="0.2">
      <c r="A2037" s="5">
        <v>1976</v>
      </c>
      <c r="B2037" s="138">
        <f>'Cap Outlay Deprec 26'!H16</f>
        <v>423548</v>
      </c>
      <c r="C2037" s="2" t="s">
        <v>573</v>
      </c>
      <c r="D2037" s="2" t="str">
        <f t="shared" si="30"/>
        <v>Error?</v>
      </c>
    </row>
    <row r="2038" spans="1:4" x14ac:dyDescent="0.2">
      <c r="A2038" s="10">
        <v>1977</v>
      </c>
      <c r="D2038" s="2" t="str">
        <f t="shared" si="30"/>
        <v>OK</v>
      </c>
    </row>
    <row r="2039" spans="1:4" x14ac:dyDescent="0.2">
      <c r="A2039" s="5">
        <v>1978</v>
      </c>
      <c r="B2039" s="138">
        <f>'Cap Outlay Deprec 26'!I8</f>
        <v>8294</v>
      </c>
      <c r="D2039" s="2" t="str">
        <f t="shared" si="30"/>
        <v>Error?</v>
      </c>
    </row>
    <row r="2040" spans="1:4" x14ac:dyDescent="0.2">
      <c r="A2040" s="5">
        <v>1979</v>
      </c>
      <c r="B2040" s="138">
        <f>'Cap Outlay Deprec 26'!I10</f>
        <v>5651</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26359</v>
      </c>
      <c r="D2042" s="2" t="str">
        <f t="shared" si="30"/>
        <v>Error?</v>
      </c>
    </row>
    <row r="2043" spans="1:4" x14ac:dyDescent="0.2">
      <c r="A2043" s="5">
        <v>1982</v>
      </c>
      <c r="B2043" s="138">
        <f>'Cap Outlay Deprec 26'!I16</f>
        <v>40304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265360</v>
      </c>
      <c r="C2051" s="2" t="s">
        <v>573</v>
      </c>
      <c r="D2051" s="2" t="str">
        <f t="shared" si="31"/>
        <v>Error?</v>
      </c>
    </row>
    <row r="2052" spans="1:4" x14ac:dyDescent="0.2">
      <c r="A2052" s="5">
        <v>1991</v>
      </c>
      <c r="B2052" s="138">
        <f>'Cap Outlay Deprec 26'!K10</f>
        <v>44620</v>
      </c>
      <c r="C2052" s="2" t="s">
        <v>573</v>
      </c>
      <c r="D2052" s="2" t="str">
        <f t="shared" si="31"/>
        <v>Error?</v>
      </c>
    </row>
    <row r="2053" spans="1:4" x14ac:dyDescent="0.2">
      <c r="A2053" s="5">
        <v>1992</v>
      </c>
      <c r="B2053" s="138">
        <f>'Cap Outlay Deprec 26'!K12</f>
        <v>58989</v>
      </c>
      <c r="C2053" s="2" t="s">
        <v>573</v>
      </c>
      <c r="D2053" s="2" t="str">
        <f t="shared" si="31"/>
        <v>Error?</v>
      </c>
    </row>
    <row r="2054" spans="1:4" x14ac:dyDescent="0.2">
      <c r="A2054" s="5">
        <v>1993</v>
      </c>
      <c r="B2054" s="138">
        <f>'Cap Outlay Deprec 26'!K13</f>
        <v>94883</v>
      </c>
      <c r="C2054" s="2" t="s">
        <v>573</v>
      </c>
      <c r="D2054" s="2" t="str">
        <f t="shared" si="31"/>
        <v>Error?</v>
      </c>
    </row>
    <row r="2055" spans="1:4" x14ac:dyDescent="0.2">
      <c r="A2055" s="5">
        <v>1994</v>
      </c>
      <c r="B2055" s="138">
        <f>'Cap Outlay Deprec 26'!K16</f>
        <v>463852</v>
      </c>
      <c r="C2055" s="2" t="s">
        <v>573</v>
      </c>
      <c r="D2055" s="2" t="str">
        <f t="shared" si="31"/>
        <v>Error?</v>
      </c>
    </row>
    <row r="2056" spans="1:4" x14ac:dyDescent="0.2">
      <c r="A2056" s="5">
        <v>1995</v>
      </c>
      <c r="B2056" s="138">
        <f>'Cap Outlay Deprec 26'!L5</f>
        <v>10700</v>
      </c>
      <c r="C2056" s="2" t="s">
        <v>573</v>
      </c>
      <c r="D2056" s="2" t="str">
        <f t="shared" si="31"/>
        <v>Error?</v>
      </c>
    </row>
    <row r="2057" spans="1:4" x14ac:dyDescent="0.2">
      <c r="A2057" s="5">
        <v>1996</v>
      </c>
      <c r="B2057" s="138">
        <f>'Cap Outlay Deprec 26'!L8</f>
        <v>149343</v>
      </c>
      <c r="C2057" s="2" t="s">
        <v>573</v>
      </c>
      <c r="D2057" s="2" t="str">
        <f t="shared" si="31"/>
        <v>Error?</v>
      </c>
    </row>
    <row r="2058" spans="1:4" x14ac:dyDescent="0.2">
      <c r="A2058" s="5">
        <v>1997</v>
      </c>
      <c r="B2058" s="138">
        <f>'Cap Outlay Deprec 26'!L10</f>
        <v>68390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78391</v>
      </c>
      <c r="C2060" s="2" t="s">
        <v>573</v>
      </c>
      <c r="D2060" s="2" t="str">
        <f t="shared" si="31"/>
        <v>Error?</v>
      </c>
    </row>
    <row r="2061" spans="1:4" x14ac:dyDescent="0.2">
      <c r="A2061" s="5">
        <v>2000</v>
      </c>
      <c r="B2061" s="138">
        <f>'Cap Outlay Deprec 26'!L16</f>
        <v>306824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15265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21011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78913</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1153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149156</v>
      </c>
      <c r="C2551" s="2" t="s">
        <v>573</v>
      </c>
      <c r="D2551" s="2" t="str">
        <f t="shared" si="38"/>
        <v>Error?</v>
      </c>
    </row>
    <row r="2552" spans="1:4" x14ac:dyDescent="0.2">
      <c r="A2552" s="10">
        <v>2491</v>
      </c>
      <c r="D2552" s="2" t="str">
        <f t="shared" si="38"/>
        <v>OK</v>
      </c>
    </row>
    <row r="2553" spans="1:4" x14ac:dyDescent="0.2">
      <c r="A2553" s="5">
        <v>2492</v>
      </c>
      <c r="B2553" s="138">
        <f>'Acct Summary 7-8'!C6</f>
        <v>276397</v>
      </c>
      <c r="C2553" s="2" t="s">
        <v>573</v>
      </c>
      <c r="D2553" s="2" t="str">
        <f t="shared" si="38"/>
        <v>Error?</v>
      </c>
    </row>
    <row r="2554" spans="1:4" x14ac:dyDescent="0.2">
      <c r="A2554" s="5">
        <v>2493</v>
      </c>
      <c r="B2554" s="138">
        <f>'Acct Summary 7-8'!C7</f>
        <v>37736</v>
      </c>
      <c r="C2554" s="2" t="s">
        <v>573</v>
      </c>
      <c r="D2554" s="2" t="str">
        <f t="shared" si="38"/>
        <v>Error?</v>
      </c>
    </row>
    <row r="2555" spans="1:4" x14ac:dyDescent="0.2">
      <c r="A2555" s="5">
        <v>2494</v>
      </c>
      <c r="B2555" s="138">
        <f>'Acct Summary 7-8'!C8</f>
        <v>463289</v>
      </c>
      <c r="C2555" s="2" t="s">
        <v>573</v>
      </c>
      <c r="D2555" s="2" t="str">
        <f t="shared" si="38"/>
        <v>Error?</v>
      </c>
    </row>
    <row r="2556" spans="1:4" x14ac:dyDescent="0.2">
      <c r="A2556" s="5">
        <v>2495</v>
      </c>
      <c r="B2556" s="138">
        <f>'Acct Summary 7-8'!C12</f>
        <v>321081</v>
      </c>
      <c r="C2556" s="2" t="s">
        <v>573</v>
      </c>
      <c r="D2556" s="2" t="str">
        <f t="shared" si="38"/>
        <v>Error?</v>
      </c>
    </row>
    <row r="2557" spans="1:4" x14ac:dyDescent="0.2">
      <c r="A2557" s="5">
        <v>2496</v>
      </c>
      <c r="B2557" s="138">
        <f>'Acct Summary 7-8'!C13</f>
        <v>140319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21011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482411</v>
      </c>
      <c r="C2561" s="2" t="s">
        <v>573</v>
      </c>
      <c r="D2561" s="2" t="str">
        <f t="shared" si="39"/>
        <v>Error?</v>
      </c>
    </row>
    <row r="2562" spans="1:4" x14ac:dyDescent="0.2">
      <c r="A2562" s="5">
        <v>2501</v>
      </c>
      <c r="B2562" s="138">
        <f>'Acct Summary 7-8'!C20</f>
        <v>-19122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27206</v>
      </c>
      <c r="C2564" s="2" t="s">
        <v>573</v>
      </c>
      <c r="D2564" s="2" t="str">
        <f t="shared" si="39"/>
        <v>Error?</v>
      </c>
    </row>
    <row r="2565" spans="1:4" x14ac:dyDescent="0.2">
      <c r="A2565" s="10">
        <v>2504</v>
      </c>
      <c r="D2565" s="2" t="str">
        <f t="shared" si="39"/>
        <v>OK</v>
      </c>
    </row>
    <row r="2566" spans="1:4" x14ac:dyDescent="0.2">
      <c r="A2566" s="5">
        <v>2505</v>
      </c>
      <c r="B2566" s="138">
        <f>'Acct Summary 7-8'!D6</f>
        <v>18500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45706</v>
      </c>
      <c r="C2568" s="2" t="s">
        <v>573</v>
      </c>
      <c r="D2568" s="2" t="str">
        <f t="shared" si="39"/>
        <v>Error?</v>
      </c>
    </row>
    <row r="2569" spans="1:4" x14ac:dyDescent="0.2">
      <c r="A2569" s="5">
        <v>2508</v>
      </c>
      <c r="B2569" s="138">
        <f>'Acct Summary 7-8'!D13</f>
        <v>44655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44655</v>
      </c>
      <c r="C2573" s="2" t="s">
        <v>573</v>
      </c>
      <c r="D2573" s="2" t="str">
        <f t="shared" si="39"/>
        <v>Error?</v>
      </c>
    </row>
    <row r="2574" spans="1:4" x14ac:dyDescent="0.2">
      <c r="A2574" s="5">
        <v>2513</v>
      </c>
      <c r="B2574" s="138">
        <f>'Acct Summary 7-8'!D20</f>
        <v>1051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7551</v>
      </c>
      <c r="C2591" s="2" t="s">
        <v>573</v>
      </c>
      <c r="D2591" s="2" t="str">
        <f t="shared" si="39"/>
        <v>Error?</v>
      </c>
    </row>
    <row r="2592" spans="1:4" x14ac:dyDescent="0.2">
      <c r="A2592" s="10">
        <v>2531</v>
      </c>
      <c r="D2592" s="2" t="str">
        <f t="shared" si="39"/>
        <v>OK</v>
      </c>
    </row>
    <row r="2593" spans="1:4" x14ac:dyDescent="0.2">
      <c r="A2593" s="5">
        <v>2532</v>
      </c>
      <c r="B2593" s="138">
        <f>'Acct Summary 7-8'!F6</f>
        <v>25488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33039</v>
      </c>
      <c r="C2595" s="2" t="s">
        <v>573</v>
      </c>
      <c r="D2595" s="2" t="str">
        <f t="shared" si="39"/>
        <v>Error?</v>
      </c>
    </row>
    <row r="2596" spans="1:4" x14ac:dyDescent="0.2">
      <c r="A2596" s="5">
        <v>2535</v>
      </c>
      <c r="B2596" s="138">
        <f>'Acct Summary 7-8'!F13</f>
        <v>111697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4386</v>
      </c>
      <c r="C2599" s="2" t="s">
        <v>573</v>
      </c>
      <c r="D2599" s="2" t="str">
        <f t="shared" si="39"/>
        <v>Error?</v>
      </c>
    </row>
    <row r="2600" spans="1:4" x14ac:dyDescent="0.2">
      <c r="A2600" s="5">
        <v>2539</v>
      </c>
      <c r="B2600" s="138">
        <f>'Acct Summary 7-8'!F17</f>
        <v>116083</v>
      </c>
      <c r="C2600" s="2" t="s">
        <v>573</v>
      </c>
      <c r="D2600" s="2" t="str">
        <f t="shared" si="39"/>
        <v>Error?</v>
      </c>
    </row>
    <row r="2601" spans="1:4" x14ac:dyDescent="0.2">
      <c r="A2601" s="5">
        <v>2540</v>
      </c>
      <c r="B2601" s="138">
        <f>'Acct Summary 7-8'!F20</f>
        <v>-83044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24077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24077</v>
      </c>
      <c r="C2606" s="2" t="s">
        <v>573</v>
      </c>
      <c r="D2606" s="2" t="str">
        <f t="shared" si="39"/>
        <v>Error?</v>
      </c>
    </row>
    <row r="2607" spans="1:4" x14ac:dyDescent="0.2">
      <c r="A2607" s="5">
        <v>2546</v>
      </c>
      <c r="B2607" s="138">
        <f>'Acct Summary 7-8'!G12</f>
        <v>6183</v>
      </c>
      <c r="C2607" s="2" t="s">
        <v>573</v>
      </c>
      <c r="D2607" s="2" t="str">
        <f t="shared" si="39"/>
        <v>Error?</v>
      </c>
    </row>
    <row r="2608" spans="1:4" x14ac:dyDescent="0.2">
      <c r="A2608" s="5">
        <v>2547</v>
      </c>
      <c r="B2608" s="138">
        <f>'Acct Summary 7-8'!G13</f>
        <v>14344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20527</v>
      </c>
      <c r="C2612" s="2" t="s">
        <v>573</v>
      </c>
      <c r="D2612" s="2" t="str">
        <f t="shared" si="39"/>
        <v>Error?</v>
      </c>
    </row>
    <row r="2613" spans="1:4" x14ac:dyDescent="0.2">
      <c r="A2613" s="5">
        <v>2552</v>
      </c>
      <c r="B2613" s="138">
        <f>'Acct Summary 7-8'!G20</f>
        <v>3550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21136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21136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21265</v>
      </c>
      <c r="C2634" s="2" t="s">
        <v>573</v>
      </c>
      <c r="D2634" s="2" t="str">
        <f t="shared" si="40"/>
        <v>Error?</v>
      </c>
    </row>
    <row r="2635" spans="1:4" x14ac:dyDescent="0.2">
      <c r="A2635" s="5">
        <v>2574</v>
      </c>
      <c r="B2635" s="138">
        <f>'Acct Summary 7-8'!E17</f>
        <v>21265</v>
      </c>
      <c r="C2635" s="2" t="s">
        <v>573</v>
      </c>
      <c r="D2635" s="2" t="str">
        <f t="shared" si="40"/>
        <v>Error?</v>
      </c>
    </row>
    <row r="2636" spans="1:4" x14ac:dyDescent="0.2">
      <c r="A2636" s="5">
        <v>2575</v>
      </c>
      <c r="B2636" s="138">
        <f>'Acct Summary 7-8'!E20</f>
        <v>-129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5746</v>
      </c>
      <c r="C2789" s="2" t="s">
        <v>573</v>
      </c>
      <c r="D2789" s="2" t="str">
        <f t="shared" si="42"/>
        <v>Error?</v>
      </c>
    </row>
    <row r="2790" spans="1:4" x14ac:dyDescent="0.2">
      <c r="A2790" s="5">
        <v>2729</v>
      </c>
      <c r="B2790" s="138">
        <f>'Expenditures 15-22'!E102</f>
        <v>5746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v>
      </c>
      <c r="D2912" s="2" t="str">
        <f t="shared" si="44"/>
        <v>Error?</v>
      </c>
    </row>
    <row r="2913" spans="1:4" x14ac:dyDescent="0.2">
      <c r="A2913" s="5">
        <v>2852</v>
      </c>
      <c r="B2913" s="138">
        <f>'Assets-Liab 5-6'!I41</f>
        <v>13</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5746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15265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21011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10869</v>
      </c>
      <c r="D3082" s="2" t="str">
        <f t="shared" si="47"/>
        <v>Error?</v>
      </c>
    </row>
    <row r="3083" spans="1:4" x14ac:dyDescent="0.2">
      <c r="A3083" s="5">
        <v>3022</v>
      </c>
      <c r="B3083" s="138">
        <f>'Acct Summary 7-8'!F33</f>
        <v>79386</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3197</v>
      </c>
      <c r="C3225" s="2" t="s">
        <v>573</v>
      </c>
      <c r="D3225" s="2" t="str">
        <f t="shared" si="49"/>
        <v>Error?</v>
      </c>
    </row>
    <row r="3226" spans="1:4" x14ac:dyDescent="0.2">
      <c r="A3226" s="5">
        <v>3165</v>
      </c>
      <c r="B3226" s="138">
        <f>'Acct Summary 7-8'!I8</f>
        <v>3197</v>
      </c>
      <c r="C3226" s="2" t="s">
        <v>573</v>
      </c>
      <c r="D3226" s="2" t="str">
        <f t="shared" si="49"/>
        <v>Error?</v>
      </c>
    </row>
    <row r="3227" spans="1:4" x14ac:dyDescent="0.2">
      <c r="A3227" s="5">
        <v>3166</v>
      </c>
      <c r="B3227" s="138">
        <f>'Acct Summary 7-8'!I20</f>
        <v>3197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153913</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153913</v>
      </c>
      <c r="C3232" s="2" t="s">
        <v>573</v>
      </c>
      <c r="D3232" s="2" t="str">
        <f t="shared" si="49"/>
        <v>Error?</v>
      </c>
    </row>
    <row r="3233" spans="1:4" x14ac:dyDescent="0.2">
      <c r="A3233" s="5">
        <v>3172</v>
      </c>
      <c r="B3233" s="138">
        <f>'Acct Summary 7-8'!C78</f>
        <v>134791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1051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79386</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75000</v>
      </c>
      <c r="C3254" s="2" t="s">
        <v>573</v>
      </c>
      <c r="D3254" s="2" t="str">
        <f t="shared" si="49"/>
        <v>Error?</v>
      </c>
    </row>
    <row r="3255" spans="1:4" x14ac:dyDescent="0.2">
      <c r="A3255" s="5">
        <v>3194</v>
      </c>
      <c r="B3255" s="138">
        <f>'Acct Summary 7-8'!F77</f>
        <v>4386</v>
      </c>
      <c r="C3255" s="2" t="s">
        <v>573</v>
      </c>
      <c r="D3255" s="2" t="str">
        <f t="shared" si="49"/>
        <v>Error?</v>
      </c>
    </row>
    <row r="3256" spans="1:4" x14ac:dyDescent="0.2">
      <c r="A3256" s="5">
        <v>3195</v>
      </c>
      <c r="B3256" s="138">
        <f>'Acct Summary 7-8'!F78</f>
        <v>-78658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3550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10869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10869</v>
      </c>
      <c r="C3277" s="2" t="s">
        <v>573</v>
      </c>
      <c r="D3277" s="2" t="str">
        <f t="shared" si="50"/>
        <v>Error?</v>
      </c>
    </row>
    <row r="3278" spans="1:4" x14ac:dyDescent="0.2">
      <c r="A3278" s="5">
        <v>3217</v>
      </c>
      <c r="B3278" s="138">
        <f>'Acct Summary 7-8'!E78</f>
        <v>10740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78745</v>
      </c>
      <c r="C3317" s="2" t="s">
        <v>573</v>
      </c>
      <c r="D3317" s="2" t="str">
        <f t="shared" si="50"/>
        <v>Error?</v>
      </c>
    </row>
    <row r="3318" spans="1:4" x14ac:dyDescent="0.2">
      <c r="A3318" s="5">
        <v>3257</v>
      </c>
      <c r="B3318" s="138">
        <f>'Acct Summary 7-8'!I76</f>
        <v>81929</v>
      </c>
      <c r="C3318" s="2" t="s">
        <v>573</v>
      </c>
      <c r="D3318" s="2" t="str">
        <f t="shared" si="50"/>
        <v>Error?</v>
      </c>
    </row>
    <row r="3319" spans="1:4" x14ac:dyDescent="0.2">
      <c r="A3319" s="5">
        <v>3258</v>
      </c>
      <c r="B3319" s="138">
        <f>'Acct Summary 7-8'!I77</f>
        <v>-3184</v>
      </c>
      <c r="C3319" s="2" t="s">
        <v>573</v>
      </c>
      <c r="D3319" s="2" t="str">
        <f t="shared" si="50"/>
        <v>Error?</v>
      </c>
    </row>
    <row r="3320" spans="1:4" x14ac:dyDescent="0.2">
      <c r="A3320" s="5">
        <v>3259</v>
      </c>
      <c r="B3320" s="138">
        <f>'Acct Summary 7-8'!I78</f>
        <v>13</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46046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3786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49886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3595</v>
      </c>
      <c r="D3387" s="2" t="str">
        <f t="shared" si="51"/>
        <v>Error?</v>
      </c>
    </row>
    <row r="3388" spans="1:4" x14ac:dyDescent="0.2">
      <c r="A3388" s="5">
        <v>3327</v>
      </c>
      <c r="B3388" s="138">
        <f>'Expenditures 15-22'!D217</f>
        <v>2115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3595</v>
      </c>
      <c r="C3390" s="2" t="s">
        <v>573</v>
      </c>
      <c r="D3390" s="2" t="str">
        <f t="shared" si="51"/>
        <v>Error?</v>
      </c>
    </row>
    <row r="3391" spans="1:4" x14ac:dyDescent="0.2">
      <c r="A3391" s="5">
        <v>3330</v>
      </c>
      <c r="B3391" s="138">
        <f>'Expenditures 15-22'!K217</f>
        <v>2115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224422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21102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12312</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20639</v>
      </c>
      <c r="C3446" s="2" t="s">
        <v>573</v>
      </c>
      <c r="D3446" s="2" t="str">
        <f t="shared" si="52"/>
        <v>Error?</v>
      </c>
    </row>
    <row r="3447" spans="1:4" x14ac:dyDescent="0.2">
      <c r="A3447" s="5">
        <v>3386</v>
      </c>
      <c r="B3447" s="138">
        <f>'Tax Sched 23'!D16</f>
        <v>20639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12750</v>
      </c>
      <c r="C3449" s="2" t="s">
        <v>573</v>
      </c>
      <c r="D3449" s="2" t="str">
        <f t="shared" si="52"/>
        <v>Error?</v>
      </c>
    </row>
    <row r="3450" spans="1:4" x14ac:dyDescent="0.2">
      <c r="A3450" s="5">
        <v>3389</v>
      </c>
      <c r="B3450" s="138">
        <f>'Tax Sched 23'!E16</f>
        <v>12750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763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763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763</v>
      </c>
      <c r="D3567" s="2" t="str">
        <f t="shared" si="54"/>
        <v>Error?</v>
      </c>
    </row>
    <row r="3568" spans="1:4" x14ac:dyDescent="0.2">
      <c r="A3568" s="5">
        <v>3507</v>
      </c>
      <c r="B3568" s="138">
        <f>'Assets-Liab 5-6'!K41</f>
        <v>763</v>
      </c>
      <c r="C3568" s="2" t="s">
        <v>573</v>
      </c>
      <c r="D3568" s="2" t="str">
        <f t="shared" si="54"/>
        <v>Error?</v>
      </c>
    </row>
    <row r="3569" spans="1:4" x14ac:dyDescent="0.2">
      <c r="A3569" s="5">
        <v>3508</v>
      </c>
      <c r="B3569" s="138">
        <f>'Acct Summary 7-8'!K4</f>
        <v>3122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3122</v>
      </c>
      <c r="C3571" s="2" t="s">
        <v>573</v>
      </c>
      <c r="D3571" s="2" t="str">
        <f t="shared" si="54"/>
        <v>Error?</v>
      </c>
    </row>
    <row r="3572" spans="1:4" x14ac:dyDescent="0.2">
      <c r="A3572" s="5">
        <v>3511</v>
      </c>
      <c r="B3572" s="138">
        <f>'Acct Summary 7-8'!K13</f>
        <v>7450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7450</v>
      </c>
      <c r="C3575" s="2" t="s">
        <v>573</v>
      </c>
      <c r="D3575" s="2" t="str">
        <f t="shared" si="54"/>
        <v>Error?</v>
      </c>
    </row>
    <row r="3576" spans="1:4" x14ac:dyDescent="0.2">
      <c r="A3576" s="5">
        <v>3515</v>
      </c>
      <c r="B3576" s="138">
        <f>'Acct Summary 7-8'!K20</f>
        <v>-4328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-4328</v>
      </c>
      <c r="C3588" s="2" t="s">
        <v>573</v>
      </c>
      <c r="D3588" s="2" t="str">
        <f t="shared" si="55"/>
        <v>Error?</v>
      </c>
    </row>
    <row r="3589" spans="1:4" x14ac:dyDescent="0.2">
      <c r="A3589" s="5">
        <v>3528</v>
      </c>
      <c r="B3589" s="138">
        <f>'Acct Summary 7-8'!K79</f>
        <v>5091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763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7450</v>
      </c>
      <c r="D3646" s="2" t="str">
        <f t="shared" si="55"/>
        <v>Error?</v>
      </c>
    </row>
    <row r="3647" spans="1:4" x14ac:dyDescent="0.2">
      <c r="A3647" s="5">
        <v>3586</v>
      </c>
      <c r="B3647" s="138">
        <f>'Expenditures 15-22'!G350</f>
        <v>7450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7450</v>
      </c>
      <c r="C3649" s="2" t="s">
        <v>573</v>
      </c>
      <c r="D3649" s="2" t="str">
        <f t="shared" si="56"/>
        <v>Error?</v>
      </c>
    </row>
    <row r="3650" spans="1:4" x14ac:dyDescent="0.2">
      <c r="A3650" s="5">
        <v>3589</v>
      </c>
      <c r="B3650" s="138">
        <f>'Expenditures 15-22'!G367</f>
        <v>7450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7450</v>
      </c>
      <c r="C3669" s="2" t="s">
        <v>573</v>
      </c>
      <c r="D3669" s="2" t="str">
        <f t="shared" si="56"/>
        <v>Error?</v>
      </c>
    </row>
    <row r="3670" spans="1:4" x14ac:dyDescent="0.2">
      <c r="A3670" s="5">
        <v>3609</v>
      </c>
      <c r="B3670" s="138">
        <f>'Expenditures 15-22'!K350</f>
        <v>7450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7450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7450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-4328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3105</v>
      </c>
      <c r="C3725" s="2" t="s">
        <v>573</v>
      </c>
      <c r="D3725" s="2" t="str">
        <f t="shared" si="57"/>
        <v>Error?</v>
      </c>
    </row>
    <row r="3726" spans="1:4" x14ac:dyDescent="0.2">
      <c r="A3726" s="5">
        <v>3665</v>
      </c>
      <c r="B3726" s="138">
        <f>'Tax Sched 23'!D13</f>
        <v>3105</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3598</v>
      </c>
      <c r="C3728" s="2" t="s">
        <v>573</v>
      </c>
      <c r="D3728" s="2" t="str">
        <f t="shared" si="57"/>
        <v>Error?</v>
      </c>
    </row>
    <row r="3729" spans="1:4" x14ac:dyDescent="0.2">
      <c r="A3729" s="5">
        <v>3668</v>
      </c>
      <c r="B3729" s="138">
        <f>'Tax Sched 23'!E13</f>
        <v>3598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193191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656480</v>
      </c>
      <c r="C4122" s="2" t="s">
        <v>573</v>
      </c>
      <c r="D4122" s="2" t="str">
        <f t="shared" si="63"/>
        <v>Error?</v>
      </c>
    </row>
    <row r="4123" spans="1:4" x14ac:dyDescent="0.2">
      <c r="A4123" s="5">
        <v>4062</v>
      </c>
      <c r="B4123" s="138">
        <f>'Acct Summary 7-8'!D10</f>
        <v>45706</v>
      </c>
      <c r="C4123" s="2" t="s">
        <v>573</v>
      </c>
      <c r="D4123" s="2" t="str">
        <f t="shared" si="63"/>
        <v>Error?</v>
      </c>
    </row>
    <row r="4124" spans="1:4" x14ac:dyDescent="0.2">
      <c r="A4124" s="5">
        <v>4063</v>
      </c>
      <c r="B4124" s="138">
        <f>'Acct Summary 7-8'!E10</f>
        <v>21136</v>
      </c>
      <c r="C4124" s="2" t="s">
        <v>573</v>
      </c>
      <c r="D4124" s="2" t="str">
        <f t="shared" si="63"/>
        <v>Error?</v>
      </c>
    </row>
    <row r="4125" spans="1:4" x14ac:dyDescent="0.2">
      <c r="A4125" s="5">
        <v>4064</v>
      </c>
      <c r="B4125" s="138">
        <f>'Acct Summary 7-8'!F10</f>
        <v>33039</v>
      </c>
      <c r="C4125" s="2" t="s">
        <v>573</v>
      </c>
      <c r="D4125" s="2" t="str">
        <f t="shared" si="63"/>
        <v>Error?</v>
      </c>
    </row>
    <row r="4126" spans="1:4" x14ac:dyDescent="0.2">
      <c r="A4126" s="5">
        <v>4065</v>
      </c>
      <c r="B4126" s="138">
        <f>'Acct Summary 7-8'!G10</f>
        <v>24077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3197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3122</v>
      </c>
      <c r="C4130" s="2" t="s">
        <v>573</v>
      </c>
      <c r="D4130" s="2" t="str">
        <f t="shared" si="63"/>
        <v>Error?</v>
      </c>
    </row>
    <row r="4131" spans="1:4" x14ac:dyDescent="0.2">
      <c r="A4131" s="5">
        <v>4070</v>
      </c>
      <c r="B4131" s="138">
        <f>'Acct Summary 7-8'!C18</f>
        <v>193191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675602</v>
      </c>
      <c r="C4136" s="2" t="s">
        <v>573</v>
      </c>
      <c r="D4136" s="2" t="str">
        <f t="shared" si="63"/>
        <v>Error?</v>
      </c>
    </row>
    <row r="4137" spans="1:4" x14ac:dyDescent="0.2">
      <c r="A4137" s="5">
        <v>4076</v>
      </c>
      <c r="B4137" s="138">
        <f>'Acct Summary 7-8'!D19</f>
        <v>44655</v>
      </c>
      <c r="C4137" s="2" t="s">
        <v>573</v>
      </c>
      <c r="D4137" s="2" t="str">
        <f t="shared" si="63"/>
        <v>Error?</v>
      </c>
    </row>
    <row r="4138" spans="1:4" x14ac:dyDescent="0.2">
      <c r="A4138" s="5">
        <v>4077</v>
      </c>
      <c r="B4138" s="138">
        <f>'Acct Summary 7-8'!E19</f>
        <v>21265</v>
      </c>
      <c r="C4138" s="2" t="s">
        <v>573</v>
      </c>
      <c r="D4138" s="2" t="str">
        <f t="shared" si="63"/>
        <v>Error?</v>
      </c>
    </row>
    <row r="4139" spans="1:4" x14ac:dyDescent="0.2">
      <c r="A4139" s="5">
        <v>4078</v>
      </c>
      <c r="B4139" s="138">
        <f>'Acct Summary 7-8'!F19</f>
        <v>116083</v>
      </c>
      <c r="C4139" s="2" t="s">
        <v>573</v>
      </c>
      <c r="D4139" s="2" t="str">
        <f t="shared" si="63"/>
        <v>Error?</v>
      </c>
    </row>
    <row r="4140" spans="1:4" x14ac:dyDescent="0.2">
      <c r="A4140" s="5">
        <v>4079</v>
      </c>
      <c r="B4140" s="138">
        <f>'Acct Summary 7-8'!G19</f>
        <v>20527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7450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189000</v>
      </c>
      <c r="C4171" s="2" t="s">
        <v>573</v>
      </c>
      <c r="D4171" s="2" t="str">
        <f t="shared" si="64"/>
        <v>Error?</v>
      </c>
    </row>
    <row r="4172" spans="1:4" x14ac:dyDescent="0.2">
      <c r="A4172" s="5">
        <v>4111</v>
      </c>
      <c r="B4172" s="138">
        <f>'Short-Term Long-Term Debt 24'!J49</f>
        <v>176688</v>
      </c>
      <c r="C4172" s="2" t="s">
        <v>573</v>
      </c>
      <c r="D4172" s="2" t="str">
        <f t="shared" si="64"/>
        <v>Error?</v>
      </c>
    </row>
    <row r="4173" spans="1:4" x14ac:dyDescent="0.2">
      <c r="A4173" s="5">
        <v>4112</v>
      </c>
      <c r="B4173" s="138">
        <f>'Short-Term Long-Term Debt 24'!H49</f>
        <v>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1710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2080</v>
      </c>
      <c r="C4268" s="2" t="s">
        <v>573</v>
      </c>
      <c r="D4268" s="2" t="str">
        <f t="shared" si="65"/>
        <v>Error?</v>
      </c>
    </row>
    <row r="4269" spans="1:5" x14ac:dyDescent="0.2">
      <c r="A4269" s="12">
        <v>4208</v>
      </c>
      <c r="B4269" s="138">
        <f>'FP Info 3'!J16</f>
        <v>235043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3089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6359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6359</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2585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7195476</v>
      </c>
      <c r="D4995" s="2" t="str">
        <f t="shared" si="77"/>
        <v>Error?</v>
      </c>
    </row>
    <row r="4996" spans="1:4" x14ac:dyDescent="0.2">
      <c r="A4996" s="12">
        <v>4935</v>
      </c>
      <c r="B4996" s="138">
        <f>'FP Info 3'!H31</f>
        <v>496487.84400000004</v>
      </c>
      <c r="D4996" s="2" t="str">
        <f t="shared" si="77"/>
        <v>Error?</v>
      </c>
    </row>
    <row r="4997" spans="1:4" x14ac:dyDescent="0.2">
      <c r="A4997" s="12">
        <v>4936</v>
      </c>
      <c r="B4997" s="138">
        <f>'FP Info 3'!H37</f>
        <v>189000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75000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75000</v>
      </c>
      <c r="D5024" s="2" t="str">
        <f t="shared" si="77"/>
        <v>Error?</v>
      </c>
    </row>
    <row r="5025" spans="1:4" x14ac:dyDescent="0.2">
      <c r="A5025" s="10">
        <v>4964</v>
      </c>
      <c r="C5025" s="2" t="s">
        <v>573</v>
      </c>
      <c r="D5025" s="2" t="str">
        <f t="shared" si="77"/>
        <v>OK</v>
      </c>
    </row>
    <row r="5026" spans="1:4" x14ac:dyDescent="0.2">
      <c r="A5026" s="5">
        <v>4965</v>
      </c>
      <c r="B5026" s="138">
        <f>'Revenues 9-14'!C6</f>
        <v>3105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106194</v>
      </c>
      <c r="D5061" s="2" t="str">
        <f t="shared" si="78"/>
        <v>Error?</v>
      </c>
    </row>
    <row r="5062" spans="1:4" x14ac:dyDescent="0.2">
      <c r="A5062" s="10">
        <v>5001</v>
      </c>
      <c r="D5062" s="2" t="str">
        <f t="shared" si="78"/>
        <v>OK</v>
      </c>
    </row>
    <row r="5063" spans="1:4" x14ac:dyDescent="0.2">
      <c r="A5063" s="5">
        <v>5002</v>
      </c>
      <c r="B5063" s="138">
        <f>'Revenues 9-14'!C7</f>
        <v>1242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110541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1186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556</v>
      </c>
      <c r="D5101" s="2" t="str">
        <f t="shared" si="78"/>
        <v>Error?</v>
      </c>
    </row>
    <row r="5102" spans="1:4" x14ac:dyDescent="0.2">
      <c r="A5102" s="5">
        <v>5041</v>
      </c>
      <c r="B5102" s="138">
        <f>'Revenues 9-14'!C82</f>
        <v>1742</v>
      </c>
      <c r="C5102" s="2" t="s">
        <v>573</v>
      </c>
      <c r="D5102" s="2" t="str">
        <f t="shared" si="78"/>
        <v>Error?</v>
      </c>
    </row>
    <row r="5103" spans="1:4" x14ac:dyDescent="0.2">
      <c r="A5103" s="5">
        <v>5042</v>
      </c>
      <c r="B5103" s="138">
        <f>'Revenues 9-14'!C84</f>
        <v>4385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18841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155</v>
      </c>
      <c r="D5119" s="2" t="str">
        <f t="shared" ref="D5119:D5182" si="79">IF(ISBLANK(B5119),"OK",IF(A5119-B5119=0,"OK","Error?"))</f>
        <v>Error?</v>
      </c>
    </row>
    <row r="5120" spans="1:4" x14ac:dyDescent="0.2">
      <c r="A5120" s="5">
        <v>5059</v>
      </c>
      <c r="B5120" s="138">
        <f>'Revenues 9-14'!C108</f>
        <v>32332</v>
      </c>
      <c r="C5120" s="2" t="s">
        <v>573</v>
      </c>
      <c r="D5120" s="2" t="str">
        <f t="shared" si="79"/>
        <v>Error?</v>
      </c>
    </row>
    <row r="5121" spans="1:4" x14ac:dyDescent="0.2">
      <c r="A5121" s="5">
        <v>5060</v>
      </c>
      <c r="B5121" s="138">
        <f>'Revenues 9-14'!C109</f>
        <v>149156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276397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276397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276397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25703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2585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25703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37736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37736</v>
      </c>
      <c r="C5326" s="2" t="s">
        <v>573</v>
      </c>
      <c r="D5326" s="2" t="str">
        <f t="shared" si="82"/>
        <v>Error?</v>
      </c>
    </row>
    <row r="5327" spans="1:5" x14ac:dyDescent="0.2">
      <c r="A5327" s="5">
        <v>5266</v>
      </c>
      <c r="B5327" s="138">
        <f>'Revenues 9-14'!C268</f>
        <v>463289</v>
      </c>
      <c r="C5327" s="2" t="s">
        <v>573</v>
      </c>
      <c r="D5327" s="2" t="str">
        <f t="shared" si="82"/>
        <v>Error?</v>
      </c>
    </row>
    <row r="5328" spans="1:5" x14ac:dyDescent="0.2">
      <c r="A5328" s="5">
        <v>5267</v>
      </c>
      <c r="B5328" s="138">
        <f>'Revenues 9-14'!D5</f>
        <v>15525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15525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3937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3937</v>
      </c>
      <c r="C5339" s="2" t="s">
        <v>573</v>
      </c>
      <c r="D5339" s="2" t="str">
        <f t="shared" si="82"/>
        <v>Error?</v>
      </c>
    </row>
    <row r="5340" spans="1:4" x14ac:dyDescent="0.2">
      <c r="A5340" s="5">
        <v>5279</v>
      </c>
      <c r="B5340" s="138">
        <f>'Revenues 9-14'!D65</f>
        <v>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7698</v>
      </c>
      <c r="D5354" s="2" t="str">
        <f t="shared" si="82"/>
        <v>Error?</v>
      </c>
    </row>
    <row r="5355" spans="1:4" x14ac:dyDescent="0.2">
      <c r="A5355" s="5">
        <v>5294</v>
      </c>
      <c r="B5355" s="138">
        <f>'Revenues 9-14'!D108</f>
        <v>7698</v>
      </c>
      <c r="C5355" s="2" t="s">
        <v>573</v>
      </c>
      <c r="D5355" s="2" t="str">
        <f t="shared" si="82"/>
        <v>Error?</v>
      </c>
    </row>
    <row r="5356" spans="1:4" x14ac:dyDescent="0.2">
      <c r="A5356" s="5">
        <v>5295</v>
      </c>
      <c r="B5356" s="138">
        <f>'Revenues 9-14'!D109</f>
        <v>27206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18500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18500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18500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45706</v>
      </c>
      <c r="C5508" s="2" t="s">
        <v>573</v>
      </c>
      <c r="D5508" s="2" t="str">
        <f t="shared" si="85"/>
        <v>Error?</v>
      </c>
    </row>
    <row r="5509" spans="1:4" x14ac:dyDescent="0.2">
      <c r="A5509" s="5">
        <v>5448</v>
      </c>
      <c r="B5509" s="138">
        <f>'Revenues 9-14'!E5</f>
        <v>21107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21107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21136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21136</v>
      </c>
      <c r="C5552" s="2" t="s">
        <v>573</v>
      </c>
      <c r="D5552" s="2" t="str">
        <f t="shared" si="85"/>
        <v>Error?</v>
      </c>
    </row>
    <row r="5553" spans="1:4" x14ac:dyDescent="0.2">
      <c r="A5553" s="5">
        <v>5492</v>
      </c>
      <c r="B5553" s="138">
        <f>'Revenues 9-14'!F5</f>
        <v>7452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7452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7551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24633</v>
      </c>
      <c r="D5615" s="2" t="str">
        <f t="shared" si="86"/>
        <v>Error?</v>
      </c>
    </row>
    <row r="5616" spans="1:4" x14ac:dyDescent="0.2">
      <c r="A5616" s="10">
        <v>5555</v>
      </c>
      <c r="D5616" s="2" t="str">
        <f t="shared" si="86"/>
        <v>OK</v>
      </c>
    </row>
    <row r="5617" spans="1:5" x14ac:dyDescent="0.2">
      <c r="A5617" s="5">
        <v>5556</v>
      </c>
      <c r="B5617" s="138">
        <f>'Revenues 9-14'!F153</f>
        <v>855</v>
      </c>
      <c r="D5617" s="2" t="str">
        <f t="shared" si="86"/>
        <v>Error?</v>
      </c>
    </row>
    <row r="5618" spans="1:5" x14ac:dyDescent="0.2">
      <c r="A5618" s="5">
        <v>5557</v>
      </c>
      <c r="B5618" s="138">
        <f>'Revenues 9-14'!F155</f>
        <v>25488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25488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25488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33039</v>
      </c>
      <c r="C5720" s="2" t="s">
        <v>573</v>
      </c>
      <c r="D5720" s="2" t="str">
        <f t="shared" si="88"/>
        <v>Error?</v>
      </c>
    </row>
    <row r="5721" spans="1:4" x14ac:dyDescent="0.2">
      <c r="A5721" s="5">
        <v>5660</v>
      </c>
      <c r="B5721" s="138">
        <f>'Revenues 9-14'!G5</f>
        <v>3095</v>
      </c>
      <c r="D5721" s="2" t="str">
        <f t="shared" si="88"/>
        <v>Error?</v>
      </c>
    </row>
    <row r="5722" spans="1:4" x14ac:dyDescent="0.2">
      <c r="A5722" s="5">
        <v>5661</v>
      </c>
      <c r="B5722" s="138">
        <f>'Revenues 9-14'!G7</f>
        <v>0</v>
      </c>
      <c r="D5722" s="2" t="str">
        <f t="shared" si="88"/>
        <v>Error?</v>
      </c>
    </row>
    <row r="5723" spans="1:4" x14ac:dyDescent="0.2">
      <c r="A5723" s="5">
        <v>5662</v>
      </c>
      <c r="B5723" s="138">
        <f>'Revenues 9-14'!G8</f>
        <v>20639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23734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308</v>
      </c>
      <c r="C5730" s="2" t="s">
        <v>573</v>
      </c>
      <c r="D5730" s="2" t="str">
        <f t="shared" si="88"/>
        <v>Error?</v>
      </c>
    </row>
    <row r="5731" spans="1:4" x14ac:dyDescent="0.2">
      <c r="A5731" s="5">
        <v>5670</v>
      </c>
      <c r="B5731" s="138">
        <f>'Revenues 9-14'!G65</f>
        <v>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24077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3105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3105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3197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3105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3105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3122</v>
      </c>
      <c r="C6023" s="2" t="s">
        <v>573</v>
      </c>
      <c r="D6023" s="2" t="str">
        <f t="shared" si="93"/>
        <v>Error?</v>
      </c>
    </row>
    <row r="6024" spans="1:5" x14ac:dyDescent="0.2">
      <c r="A6024" s="5">
        <v>5963</v>
      </c>
      <c r="B6024" s="138">
        <f>'Revenues 9-14'!G109</f>
        <v>24077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3197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3122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54.46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10494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v>
      </c>
      <c r="D6215" s="2" t="str">
        <f t="shared" si="96"/>
        <v>Error?</v>
      </c>
      <c r="E6215" s="2" t="s">
        <v>190</v>
      </c>
    </row>
    <row r="6216" spans="1:5" x14ac:dyDescent="0.2">
      <c r="A6216">
        <v>6155</v>
      </c>
      <c r="B6216" s="138">
        <f>'Assets-Liab 5-6'!J41</f>
        <v>6</v>
      </c>
      <c r="D6216" s="2" t="str">
        <f t="shared" si="96"/>
        <v>Error?</v>
      </c>
      <c r="E6216" s="2" t="s">
        <v>190</v>
      </c>
    </row>
    <row r="6217" spans="1:5" x14ac:dyDescent="0.2">
      <c r="A6217">
        <v>6156</v>
      </c>
      <c r="B6217" s="138">
        <f>'Assets-Liab 5-6'!J4</f>
        <v>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31438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31438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31438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31453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31453</v>
      </c>
      <c r="D6229" s="2" t="str">
        <f t="shared" si="96"/>
        <v>Error?</v>
      </c>
      <c r="E6229" s="2" t="s">
        <v>190</v>
      </c>
    </row>
    <row r="6230" spans="1:5" x14ac:dyDescent="0.2">
      <c r="A6230">
        <v>6169</v>
      </c>
      <c r="B6230" s="138">
        <f>'Acct Summary 7-8'!J20</f>
        <v>-15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3016</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v>
      </c>
      <c r="D6263" s="2" t="str">
        <f t="shared" si="96"/>
        <v>Error?</v>
      </c>
      <c r="E6263" s="2" t="s">
        <v>190</v>
      </c>
    </row>
    <row r="6264" spans="1:5" x14ac:dyDescent="0.2">
      <c r="A6264">
        <v>6203</v>
      </c>
      <c r="B6264" s="138">
        <f>'Acct Summary 7-8'!J79</f>
        <v>21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v>
      </c>
      <c r="D6266" s="2" t="str">
        <f t="shared" si="96"/>
        <v>Error?</v>
      </c>
      <c r="E6266" s="2" t="s">
        <v>190</v>
      </c>
    </row>
    <row r="6267" spans="1:5" x14ac:dyDescent="0.2">
      <c r="A6267">
        <v>6206</v>
      </c>
      <c r="B6267" s="138">
        <f>'Acct Summary 7-8'!C82</f>
        <v>134791</v>
      </c>
      <c r="D6267" s="2" t="str">
        <f t="shared" si="96"/>
        <v>Error?</v>
      </c>
      <c r="E6267" s="2" t="s">
        <v>190</v>
      </c>
    </row>
    <row r="6268" spans="1:5" x14ac:dyDescent="0.2">
      <c r="A6268">
        <v>6207</v>
      </c>
      <c r="B6268" s="138">
        <f>'Acct Summary 7-8'!D82</f>
        <v>1051</v>
      </c>
      <c r="D6268" s="2" t="str">
        <f t="shared" si="96"/>
        <v>Error?</v>
      </c>
      <c r="E6268" s="2" t="s">
        <v>190</v>
      </c>
    </row>
    <row r="6269" spans="1:5" x14ac:dyDescent="0.2">
      <c r="A6269">
        <v>6208</v>
      </c>
      <c r="B6269" s="138">
        <f>'Acct Summary 7-8'!E82</f>
        <v>10740</v>
      </c>
      <c r="D6269" s="2" t="str">
        <f t="shared" si="96"/>
        <v>Error?</v>
      </c>
      <c r="E6269" s="2" t="s">
        <v>190</v>
      </c>
    </row>
    <row r="6270" spans="1:5" x14ac:dyDescent="0.2">
      <c r="A6270">
        <v>6209</v>
      </c>
      <c r="B6270" s="138">
        <f>'Acct Summary 7-8'!F82</f>
        <v>-78658</v>
      </c>
      <c r="D6270" s="2" t="str">
        <f t="shared" si="96"/>
        <v>Error?</v>
      </c>
      <c r="E6270" s="2" t="s">
        <v>190</v>
      </c>
    </row>
    <row r="6271" spans="1:5" x14ac:dyDescent="0.2">
      <c r="A6271">
        <v>6210</v>
      </c>
      <c r="B6271" s="138">
        <f>'Acct Summary 7-8'!G82</f>
        <v>3550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v>
      </c>
      <c r="D6273" s="2" t="str">
        <f t="shared" si="97"/>
        <v>Error?</v>
      </c>
      <c r="E6273" s="2" t="s">
        <v>190</v>
      </c>
    </row>
    <row r="6274" spans="1:5" x14ac:dyDescent="0.2">
      <c r="A6274">
        <v>6213</v>
      </c>
      <c r="B6274" s="138">
        <f>'Acct Summary 7-8'!J82</f>
        <v>-15</v>
      </c>
      <c r="D6274" s="2" t="str">
        <f t="shared" si="97"/>
        <v>Error?</v>
      </c>
      <c r="E6274" s="2" t="s">
        <v>190</v>
      </c>
    </row>
    <row r="6275" spans="1:5" x14ac:dyDescent="0.2">
      <c r="A6275">
        <v>6214</v>
      </c>
      <c r="B6275" s="138">
        <f>'Acct Summary 7-8'!K82</f>
        <v>-4328</v>
      </c>
      <c r="D6275" s="2" t="str">
        <f t="shared" si="97"/>
        <v>Error?</v>
      </c>
      <c r="E6275" s="2" t="s">
        <v>190</v>
      </c>
    </row>
    <row r="6276" spans="1:5" x14ac:dyDescent="0.2">
      <c r="A6276">
        <v>6215</v>
      </c>
      <c r="B6276" s="138">
        <f>'Acct Summary 7-8'!C83</f>
        <v>0.60061402179821943</v>
      </c>
      <c r="D6276" s="2" t="str">
        <f t="shared" si="97"/>
        <v>Error?</v>
      </c>
      <c r="E6276" s="2" t="s">
        <v>190</v>
      </c>
    </row>
    <row r="6277" spans="1:5" x14ac:dyDescent="0.2">
      <c r="A6277">
        <v>6216</v>
      </c>
      <c r="B6277" s="138">
        <f>'Acct Summary 7-8'!D83</f>
        <v>4.9805705620320349E-2</v>
      </c>
      <c r="D6277" s="2" t="str">
        <f t="shared" si="97"/>
        <v>Error?</v>
      </c>
      <c r="E6277" s="2" t="s">
        <v>190</v>
      </c>
    </row>
    <row r="6278" spans="1:5" x14ac:dyDescent="0.2">
      <c r="A6278">
        <v>6217</v>
      </c>
      <c r="B6278" s="138">
        <f>'Acct Summary 7-8'!E83</f>
        <v>0.87231968810916183</v>
      </c>
      <c r="D6278" s="2" t="str">
        <f t="shared" si="97"/>
        <v>Error?</v>
      </c>
      <c r="E6278" s="2" t="s">
        <v>190</v>
      </c>
    </row>
    <row r="6279" spans="1:5" x14ac:dyDescent="0.2">
      <c r="A6279">
        <v>6218</v>
      </c>
      <c r="B6279" s="138">
        <f>'Acct Summary 7-8'!F83</f>
        <v>7.4955212502382311</v>
      </c>
      <c r="D6279" s="2" t="str">
        <f t="shared" si="97"/>
        <v>Error?</v>
      </c>
      <c r="E6279" s="2" t="s">
        <v>190</v>
      </c>
    </row>
    <row r="6280" spans="1:5" x14ac:dyDescent="0.2">
      <c r="A6280">
        <v>6219</v>
      </c>
      <c r="B6280" s="138">
        <f>'Acct Summary 7-8'!G83</f>
        <v>0.44203710621342296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v>
      </c>
      <c r="D6282" s="2" t="str">
        <f t="shared" si="97"/>
        <v>Error?</v>
      </c>
      <c r="E6282" s="2" t="s">
        <v>190</v>
      </c>
    </row>
    <row r="6283" spans="1:5" x14ac:dyDescent="0.2">
      <c r="A6283">
        <v>6222</v>
      </c>
      <c r="B6283" s="138">
        <f>'Acct Summary 7-8'!J83</f>
        <v>-2.5</v>
      </c>
      <c r="D6283" s="2" t="str">
        <f t="shared" si="97"/>
        <v>Error?</v>
      </c>
      <c r="E6283" s="2" t="s">
        <v>190</v>
      </c>
    </row>
    <row r="6284" spans="1:5" x14ac:dyDescent="0.2">
      <c r="A6284">
        <v>6223</v>
      </c>
      <c r="B6284" s="138">
        <f>'Acct Summary 7-8'!K83</f>
        <v>-5.6723460026212322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31394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31394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12720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31438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31453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31438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4386</v>
      </c>
      <c r="D7069" s="2" t="str">
        <f t="shared" si="109"/>
        <v>Error?</v>
      </c>
    </row>
    <row r="7070" spans="1:4" x14ac:dyDescent="0.2">
      <c r="A7070">
        <v>7009</v>
      </c>
      <c r="B7070" s="138">
        <f>'Expenditures 15-22'!K207</f>
        <v>4386</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2489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2489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12046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12046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15802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1116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16918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15802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15651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31453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15802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15651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31453</v>
      </c>
      <c r="D7224" s="2" t="str">
        <f t="shared" si="111"/>
        <v>Error?</v>
      </c>
    </row>
    <row r="7225" spans="1:4" x14ac:dyDescent="0.2">
      <c r="A7225">
        <v>7164</v>
      </c>
      <c r="B7225" s="138">
        <f>'Expenditures 15-22'!K343</f>
        <v>-15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40304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1242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3367</v>
      </c>
      <c r="D7797" s="2" t="str">
        <f t="shared" si="127"/>
        <v>Error?</v>
      </c>
      <c r="E7797" s="4" t="s">
        <v>1903</v>
      </c>
    </row>
    <row r="7798" spans="1:5" x14ac:dyDescent="0.2">
      <c r="A7798">
        <v>7737</v>
      </c>
      <c r="B7798" s="138">
        <f>'Contracts Paid in CY 29'!F141</f>
        <v>3367</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1988</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Dalzell SD 98</v>
      </c>
      <c r="B7" s="2404"/>
      <c r="C7" s="2404"/>
      <c r="D7" s="2405"/>
      <c r="E7" s="2406">
        <f>COVER!A13</f>
        <v>28006098002</v>
      </c>
      <c r="F7" s="2407"/>
      <c r="G7" s="2413" t="str">
        <f>COVER!T23</f>
        <v>066-004501</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 xml:space="preserve">HOPKINS &amp; ASSOCIATES, CPAS </v>
      </c>
      <c r="H9" s="2419"/>
      <c r="I9" s="2419"/>
      <c r="J9" s="2419"/>
      <c r="K9" s="2419"/>
      <c r="L9" s="2420"/>
    </row>
    <row r="10" spans="1:29" ht="13.5" customHeight="1" x14ac:dyDescent="0.2">
      <c r="A10" s="2393" t="str">
        <f>COVER!A38</f>
        <v>BRUCE BAUER</v>
      </c>
      <c r="B10" s="2394"/>
      <c r="C10" s="2394"/>
      <c r="D10" s="2394"/>
      <c r="E10" s="2394"/>
      <c r="F10" s="2395"/>
      <c r="G10" s="2387" t="str">
        <f>COVER!T17</f>
        <v>314 S MCCOY STREET</v>
      </c>
      <c r="H10" s="2388"/>
      <c r="I10" s="2388"/>
      <c r="J10" s="2388"/>
      <c r="K10" s="2388"/>
      <c r="L10" s="2389"/>
    </row>
    <row r="11" spans="1:29" ht="13.5" customHeight="1" x14ac:dyDescent="0.2">
      <c r="A11" s="1184" t="s">
        <v>1519</v>
      </c>
      <c r="B11" s="1185"/>
      <c r="C11" s="1186"/>
      <c r="D11" s="1191"/>
      <c r="E11" s="1186"/>
      <c r="F11" s="1190"/>
      <c r="G11" s="2387" t="str">
        <f>COVER!T19</f>
        <v>GRANVILLE</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t="str">
        <f>COVER!T25</f>
        <v>JOEL@HOPKINSOFFICE.COM</v>
      </c>
      <c r="J13" s="2400"/>
      <c r="K13" s="2400"/>
      <c r="L13" s="2401"/>
    </row>
    <row r="14" spans="1:29" ht="13.5" customHeight="1" x14ac:dyDescent="0.2">
      <c r="A14" s="2387" t="str">
        <f>COVER!A19</f>
        <v>307 CHESTNUT</v>
      </c>
      <c r="B14" s="2388"/>
      <c r="C14" s="2388"/>
      <c r="D14" s="2388"/>
      <c r="E14" s="2388"/>
      <c r="F14" s="2389"/>
      <c r="G14" s="1195" t="s">
        <v>1185</v>
      </c>
      <c r="H14" s="1193"/>
      <c r="I14" s="1193"/>
      <c r="J14" s="1193"/>
      <c r="K14" s="1193"/>
      <c r="L14" s="1194"/>
    </row>
    <row r="15" spans="1:29" ht="13.5" customHeight="1" x14ac:dyDescent="0.2">
      <c r="A15" s="2387" t="str">
        <f>COVER!A21</f>
        <v xml:space="preserve">DALZELL  </v>
      </c>
      <c r="B15" s="2388"/>
      <c r="C15" s="2388"/>
      <c r="D15" s="2388"/>
      <c r="E15" s="2388"/>
      <c r="F15" s="2389"/>
      <c r="G15" s="2384" t="str">
        <f>COVER!T15</f>
        <v xml:space="preserve">JOEL HOPKINS </v>
      </c>
      <c r="H15" s="2385"/>
      <c r="I15" s="2385"/>
      <c r="J15" s="2385"/>
      <c r="K15" s="2385"/>
      <c r="L15" s="2386"/>
    </row>
    <row r="16" spans="1:29" ht="12.2" customHeight="1" x14ac:dyDescent="0.2">
      <c r="A16" s="2409">
        <f>COVER!A25</f>
        <v>61320</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815-339-6630</v>
      </c>
      <c r="H18" s="2404"/>
      <c r="I18" s="2404"/>
      <c r="J18" s="2404"/>
      <c r="K18" s="2403" t="str">
        <f>COVER!X21</f>
        <v>815-339-6643</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Dalzell SD 98</v>
      </c>
      <c r="B1" s="2402"/>
      <c r="C1" s="2402"/>
      <c r="D1" s="2402"/>
    </row>
    <row r="2" spans="1:11" s="1212" customFormat="1" ht="12.75" x14ac:dyDescent="0.2">
      <c r="A2" s="2426">
        <f>'Single Audit Cover'!E7</f>
        <v>28006098002</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Dalzell SD 98</v>
      </c>
      <c r="B1" s="2429"/>
      <c r="C1" s="2429"/>
      <c r="D1" s="2429"/>
      <c r="E1" s="2429"/>
    </row>
    <row r="2" spans="1:5" x14ac:dyDescent="0.2">
      <c r="A2" s="2430">
        <f>'Single Audit Cover'!E7</f>
        <v>28006098002</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37736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0</v>
      </c>
    </row>
    <row r="19" spans="1:4" ht="13.5" thickBot="1" x14ac:dyDescent="0.25">
      <c r="A19" s="1262" t="s">
        <v>1235</v>
      </c>
      <c r="D19" s="1263">
        <f>SUM(D10:D17)</f>
        <v>37736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37736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37736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Dalzell SD 98</v>
      </c>
      <c r="C1" s="2433"/>
      <c r="D1" s="2433"/>
      <c r="E1" s="2433"/>
      <c r="F1" s="2433"/>
      <c r="G1" s="2433"/>
      <c r="H1" s="2433"/>
      <c r="I1" s="2433"/>
      <c r="J1" s="2433"/>
      <c r="K1" s="2433"/>
      <c r="L1" s="2433"/>
      <c r="M1" s="2433"/>
    </row>
    <row r="2" spans="2:14" ht="15" x14ac:dyDescent="0.2">
      <c r="B2" s="2434">
        <f>'Single Audit Cover'!E7</f>
        <v>28006098002</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Dalzell SD 98</v>
      </c>
      <c r="B1" s="2446"/>
      <c r="C1" s="2446"/>
      <c r="D1" s="2446"/>
      <c r="E1" s="2446"/>
      <c r="F1" s="2446"/>
    </row>
    <row r="2" spans="1:7" ht="13.5" customHeight="1" x14ac:dyDescent="0.2">
      <c r="A2" s="2434">
        <f>'Single Audit Cover'!E7</f>
        <v>28006098002</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0">
        <f>+C33+C34</f>
        <v>0</v>
      </c>
      <c r="F34" s="244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Dalzell SD 98</v>
      </c>
      <c r="C1" s="2461"/>
      <c r="D1" s="2461"/>
      <c r="E1" s="2461"/>
      <c r="F1" s="2461"/>
      <c r="G1" s="2461"/>
      <c r="H1" s="2461"/>
      <c r="I1" s="2461"/>
      <c r="J1" s="1406"/>
    </row>
    <row r="2" spans="2:10" s="317" customFormat="1" ht="12.75" customHeight="1" x14ac:dyDescent="0.2">
      <c r="B2" s="2462">
        <f>'Single Audit Cover'!E7</f>
        <v>28006098002</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2073</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Dalzell SD 98</v>
      </c>
      <c r="C1" s="2460"/>
      <c r="D1" s="2460"/>
      <c r="E1" s="2460"/>
      <c r="F1" s="2460"/>
      <c r="G1" s="2460"/>
      <c r="H1" s="2460"/>
      <c r="I1" s="2460"/>
      <c r="J1" s="2460"/>
      <c r="K1" s="2460"/>
      <c r="L1" s="1371"/>
      <c r="M1" s="1371"/>
    </row>
    <row r="2" spans="1:13" ht="12" customHeight="1" x14ac:dyDescent="0.2">
      <c r="B2" s="2462">
        <f>'Single Audit Cover'!E7</f>
        <v>28006098002</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Dalzell SD 98</v>
      </c>
      <c r="C1" s="2483"/>
      <c r="D1" s="2483"/>
      <c r="E1" s="2483"/>
      <c r="F1" s="2483"/>
      <c r="G1" s="2483"/>
      <c r="H1" s="2483"/>
      <c r="I1" s="2483"/>
      <c r="J1" s="2483"/>
      <c r="K1" s="2483"/>
      <c r="L1" s="1449"/>
    </row>
    <row r="2" spans="1:12" ht="12.75" customHeight="1" x14ac:dyDescent="0.2">
      <c r="B2" s="2484">
        <f>'Single Audit Cover'!E7</f>
        <v>28006098002</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Dalzell SD 98</v>
      </c>
      <c r="C1" s="2460"/>
      <c r="D1" s="2460"/>
      <c r="E1" s="1469"/>
    </row>
    <row r="2" spans="2:5" s="1279" customFormat="1" ht="12.75" customHeight="1" x14ac:dyDescent="0.2">
      <c r="B2" s="2462">
        <f>'Single Audit Cover'!E7</f>
        <v>28006098002</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purl.org/dc/terms/"/>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2019-09-23T21:12:43Z</cp:lastPrinted>
  <dcterms:created xsi:type="dcterms:W3CDTF">2003-10-29T19:06:34Z</dcterms:created>
  <dcterms:modified xsi:type="dcterms:W3CDTF">2019-11-06T18:03:03Z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