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4A26084-8738-4C6B-A0A0-C20391BB3ECA}" xr6:coauthVersionLast="36" xr6:coauthVersionMax="36" xr10:uidLastSave="{00000000-0000-0000-0000-000000000000}"/>
  <bookViews>
    <workbookView xWindow="28680" yWindow="-120" windowWidth="29040" windowHeight="15840" tabRatio="83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6" i="29" l="1"/>
  <c r="G39" i="3" l="1"/>
  <c r="C16" i="5" l="1"/>
  <c r="G4" i="3"/>
  <c r="C39" i="3"/>
  <c r="C4" i="3"/>
  <c r="C9" i="4" l="1"/>
  <c r="E6" i="7" l="1"/>
  <c r="M19" i="3" l="1"/>
  <c r="I12" i="11" l="1"/>
  <c r="E45" i="29"/>
  <c r="D12" i="11"/>
  <c r="J32" i="8" l="1"/>
  <c r="E13" i="7"/>
  <c r="E12" i="7"/>
  <c r="E16" i="7"/>
  <c r="E11" i="7"/>
  <c r="E14" i="7"/>
  <c r="E10" i="7"/>
  <c r="E7" i="7"/>
  <c r="E8" i="7"/>
  <c r="E5" i="7"/>
  <c r="E4" i="7"/>
  <c r="F124" i="29" l="1"/>
  <c r="C69"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B2805" i="106" s="1"/>
  <c r="D2805" i="106" s="1"/>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28" i="108"/>
  <c r="F31" i="108"/>
  <c r="F36" i="108"/>
  <c r="G28" i="108"/>
  <c r="E30" i="108"/>
  <c r="G30"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B2633" i="106"/>
  <c r="D2633" i="106" s="1"/>
  <c r="D7" i="118"/>
  <c r="D8" i="118"/>
  <c r="D9" i="118"/>
  <c r="H14" i="118"/>
  <c r="H19" i="118"/>
  <c r="H24" i="118"/>
  <c r="H28" i="118"/>
  <c r="D22" i="37"/>
  <c r="J22" i="37"/>
  <c r="D24" i="37"/>
  <c r="B4270" i="106" s="1"/>
  <c r="D4270" i="106" s="1"/>
  <c r="L5" i="11"/>
  <c r="B2056" i="106" s="1"/>
  <c r="D2056" i="106" s="1"/>
  <c r="D6103" i="106" l="1"/>
  <c r="K184" i="29"/>
  <c r="F13" i="4" s="1"/>
  <c r="B2596" i="106" s="1"/>
  <c r="D2596" i="106" s="1"/>
  <c r="G210" i="29"/>
  <c r="B1365" i="106" s="1"/>
  <c r="D1365" i="106" s="1"/>
  <c r="G15" i="145"/>
  <c r="F50" i="34"/>
  <c r="F46" i="34"/>
  <c r="D69" i="36"/>
  <c r="B1274" i="106"/>
  <c r="D1274" i="106" s="1"/>
  <c r="B7235" i="106"/>
  <c r="D7235" i="106" s="1"/>
  <c r="H342" i="29"/>
  <c r="J210" i="29"/>
  <c r="B7072" i="106" s="1"/>
  <c r="D7072" i="106" s="1"/>
  <c r="L15" i="11"/>
  <c r="B3459" i="106" s="1"/>
  <c r="D3459" i="106" s="1"/>
  <c r="D54" i="36"/>
  <c r="L13" i="11"/>
  <c r="B2060" i="106" s="1"/>
  <c r="D2060" i="106" s="1"/>
  <c r="B3647" i="106"/>
  <c r="D3647" i="106" s="1"/>
  <c r="C129" i="29"/>
  <c r="D11" i="37"/>
  <c r="F14" i="4"/>
  <c r="B2597" i="106" s="1"/>
  <c r="D2597" i="106" s="1"/>
  <c r="D31" i="36"/>
  <c r="K41" i="3"/>
  <c r="B3568" i="106" s="1"/>
  <c r="D3568" i="106" s="1"/>
  <c r="L22" i="37"/>
  <c r="H33" i="118"/>
  <c r="D14" i="4"/>
  <c r="B2570" i="106" s="1"/>
  <c r="D2570" i="106" s="1"/>
  <c r="L367" i="29"/>
  <c r="F19" i="7"/>
  <c r="B1807" i="106" s="1"/>
  <c r="D1807" i="106" s="1"/>
  <c r="F65" i="34"/>
  <c r="G39" i="108"/>
  <c r="G29" i="108"/>
  <c r="D7245" i="106"/>
  <c r="B7047" i="106"/>
  <c r="D7047" i="106" s="1"/>
  <c r="C352" i="29"/>
  <c r="B3621" i="106" s="1"/>
  <c r="D3621" i="106" s="1"/>
  <c r="B1308" i="106"/>
  <c r="D1308" i="106" s="1"/>
  <c r="E174" i="29"/>
  <c r="B1309" i="106" s="1"/>
  <c r="D1309" i="106" s="1"/>
  <c r="B1126" i="106"/>
  <c r="D1126" i="106" s="1"/>
  <c r="D17" i="7"/>
  <c r="B4104" i="106" s="1"/>
  <c r="D4104" i="106" s="1"/>
  <c r="D37" i="108"/>
  <c r="F37" i="108"/>
  <c r="E28" i="108"/>
  <c r="D26" i="108"/>
  <c r="D41" i="108" s="1"/>
  <c r="E43" i="108" s="1"/>
  <c r="B4087" i="106"/>
  <c r="D4087" i="106" s="1"/>
  <c r="D9" i="7"/>
  <c r="B1767" i="106" s="1"/>
  <c r="D1767" i="106" s="1"/>
  <c r="H29" i="118"/>
  <c r="K28" i="118" s="1"/>
  <c r="O27" i="118" s="1"/>
  <c r="O29" i="118" s="1"/>
  <c r="N22" i="3"/>
  <c r="B283" i="106" s="1"/>
  <c r="D283" i="106" s="1"/>
  <c r="L342" i="29"/>
  <c r="F49" i="34"/>
  <c r="E29" i="108"/>
  <c r="F26" i="108"/>
  <c r="F41" i="108" s="1"/>
  <c r="G43" i="108" s="1"/>
  <c r="B3254" i="106"/>
  <c r="D3254" i="106" s="1"/>
  <c r="I24" i="12"/>
  <c r="B3649" i="106"/>
  <c r="D3649" i="106" s="1"/>
  <c r="G367" i="29"/>
  <c r="B3650" i="106" s="1"/>
  <c r="D3650" i="106" s="1"/>
  <c r="D5" i="4"/>
  <c r="B3406" i="106" s="1"/>
  <c r="D3406" i="106" s="1"/>
  <c r="L312" i="29"/>
  <c r="I342" i="29"/>
  <c r="B7222" i="106" s="1"/>
  <c r="D7222" i="106" s="1"/>
  <c r="K350" i="29"/>
  <c r="F21" i="8"/>
  <c r="K24" i="12"/>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G170" i="5" l="1"/>
  <c r="D44" i="36"/>
  <c r="L114" i="29"/>
  <c r="L16" i="11"/>
  <c r="B2061" i="106" s="1"/>
  <c r="D2061" i="106" s="1"/>
  <c r="B5527" i="106"/>
  <c r="D5527" i="106" s="1"/>
  <c r="C114" i="29"/>
  <c r="B757" i="106" s="1"/>
  <c r="D757" i="106" s="1"/>
  <c r="I26" i="12"/>
  <c r="B7741" i="106" s="1"/>
  <c r="D7741" i="106" s="1"/>
  <c r="B1996" i="106"/>
  <c r="D1996" i="106" s="1"/>
  <c r="D7253" i="106"/>
  <c r="F174" i="34"/>
  <c r="K342" i="29"/>
  <c r="F13" i="34"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5778" i="106"/>
  <c r="D5778" i="106" s="1"/>
  <c r="G6" i="4"/>
  <c r="B2604" i="106" s="1"/>
  <c r="D260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17" i="4" l="1"/>
  <c r="J20"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<sst xmlns="http://schemas.openxmlformats.org/spreadsheetml/2006/main" count="5078" uniqueCount="2098">
  <si>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</si>
  <si>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</si>
  <si>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</si>
  <si>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</si>
  <si>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</si>
  <si>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</si>
  <si>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</si>
  <si>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</si>
  <si>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</si>
  <si>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</si>
  <si>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</si>
  <si>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</si>
  <si>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</si>
  <si>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</si>
  <si>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</si>
  <si>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</si>
  <si>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</si>
  <si>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</si>
  <si>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</si>
  <si>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</si>
  <si>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</si>
  <si>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</si>
  <si>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</si>
  <si>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</si>
  <si>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</si>
  <si>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</si>
  <si>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</si>
  <si>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</si>
  <si>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</si>
  <si>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</si>
  <si>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</si>
  <si>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</si>
  <si>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</si>
  <si>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</si>
  <si>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</si>
  <si>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</si>
  <si>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</si>
  <si>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</si>
  <si>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</si>
  <si>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</si>
  <si>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</si>
  <si>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</si>
  <si>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</si>
  <si>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</si>
  <si>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</si>
  <si>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</si>
  <si>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</si>
  <si>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</si>
  <si>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</si>
  <si>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</si>
  <si>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</si>
  <si>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</si>
  <si>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</si>
  <si>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</si>
  <si>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</si>
  <si>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</si>
  <si>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</si>
  <si>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</si>
  <si>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</si>
  <si>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</si>
  <si>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</si>
  <si>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</si>
  <si>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</si>
  <si>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</si>
  <si>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</si>
  <si>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</si>
  <si>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</si>
  <si>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</si>
  <si>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</si>
  <si>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</si>
  <si>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</si>
  <si>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</si>
  <si>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</si>
  <si>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</si>
  <si>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</si>
  <si>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</si>
  <si>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</si>
  <si>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</si>
  <si>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</si>
  <si>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</si>
  <si>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</si>
  <si>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</si>
  <si>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</si>
  <si>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</si>
  <si>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</si>
  <si>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</si>
  <si>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</si>
  <si>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</si>
  <si>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</si>
  <si>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</si>
  <si>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</si>
  <si>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</si>
  <si>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</si>
  <si>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</si>
  <si>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</si>
  <si>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</si>
  <si>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</si>
  <si>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</si>
  <si>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</si>
  <si>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</si>
  <si>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</si>
  <si>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</si>
  <si>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</si>
  <si>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</si>
  <si>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</si>
  <si>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</si>
  <si>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</si>
  <si>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</si>
  <si>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</si>
  <si>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</si>
  <si>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</si>
  <si>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</si>
  <si>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</si>
  <si>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</si>
  <si>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</si>
  <si>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</si>
  <si>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</si>
  <si>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</si>
  <si>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</si>
  <si>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</si>
  <si>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</si>
  <si>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</si>
  <si>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</si>
  <si>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</si>
  <si>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</si>
  <si>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</si>
  <si>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</si>
  <si>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</si>
  <si>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</si>
  <si>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</si>
  <si>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</si>
  <si>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</si>
  <si>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</si>
  <si>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</si>
  <si>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</si>
  <si>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</si>
  <si>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</si>
  <si>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</si>
  <si>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</si>
  <si>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</si>
  <si>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</si>
  <si>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</si>
  <si>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</si>
  <si>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</si>
  <si>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</si>
  <si>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</si>
  <si>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</si>
  <si>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</si>
  <si>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</si>
  <si>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</si>
  <si>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</si>
  <si>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</si>
  <si>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</si>
  <si>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</si>
  <si>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</si>
  <si>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</si>
  <si>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</si>
  <si>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</si>
  <si>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</si>
  <si>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</si>
  <si>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</si>
  <si>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</si>
  <si>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</si>
  <si>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</si>
  <si>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</si>
  <si>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</si>
  <si>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</si>
  <si>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</si>
  <si>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</si>
  <si>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</si>
  <si>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</si>
  <si>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</si>
  <si>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</si>
  <si>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</si>
  <si>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</si>
  <si>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</si>
  <si>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</si>
  <si>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</si>
  <si>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</si>
  <si>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</si>
  <si>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</si>
  <si>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</si>
  <si>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</si>
  <si>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</si>
  <si>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</si>
  <si>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</si>
  <si>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</si>
  <si>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</si>
  <si>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</si>
  <si>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</si>
  <si>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</si>
  <si>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</si>
  <si>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</si>
  <si>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</si>
  <si>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</si>
  <si>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</si>
  <si>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</si>
  <si>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</si>
  <si>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</si>
  <si>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</si>
  <si>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</si>
  <si>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</si>
  <si>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</si>
  <si>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</si>
  <si>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</si>
  <si>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</si>
  <si>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</si>
  <si>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</si>
  <si>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</si>
  <si>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</si>
  <si>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</si>
  <si>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</si>
  <si>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</si>
  <si>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</si>
  <si>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</si>
  <si>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</si>
  <si>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</si>
  <si>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</si>
  <si>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</si>
  <si>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</si>
  <si>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</si>
  <si>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</si>
  <si>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</si>
  <si>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</si>
  <si>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</si>
  <si>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</si>
  <si>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</si>
  <si>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</si>
  <si>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</si>
  <si>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</si>
  <si>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</si>
  <si>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</si>
  <si>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</si>
  <si>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</si>
  <si>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</si>
  <si>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</si>
  <si>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</si>
  <si>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</si>
  <si>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</si>
  <si>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</si>
  <si>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</si>
  <si>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</si>
  <si>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</si>
  <si>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</si>
  <si>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</si>
  <si>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</si>
  <si>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</si>
  <si>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</si>
  <si>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</si>
  <si>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</si>
  <si>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</si>
  <si>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</si>
  <si>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</si>
  <si>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</si>
  <si>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</si>
  <si>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</si>
  <si>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</si>
  <si>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</si>
  <si>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</si>
  <si>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</si>
  <si>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</si>
  <si>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</si>
  <si>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</si>
  <si>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</si>
  <si>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</si>
  <si>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</si>
  <si>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</si>
  <si>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</si>
  <si>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</si>
  <si>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</si>
  <si>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</si>
  <si>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</si>
  <si>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</si>
  <si>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</si>
  <si>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</si>
  <si>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</si>
  <si>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</si>
  <si>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</si>
  <si>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</si>
  <si>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</si>
  <si>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</si>
  <si>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</si>
  <si>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</si>
  <si>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</si>
  <si>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</si>
  <si>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</si>
  <si>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</si>
  <si>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</si>
  <si>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</si>
  <si>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</si>
  <si>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</si>
  <si>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</si>
  <si>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</si>
  <si>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</si>
  <si>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</si>
  <si>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</si>
  <si>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</si>
  <si>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</si>
  <si>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</si>
  <si>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</si>
  <si>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</si>
  <si>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</si>
  <si>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</si>
  <si>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</si>
  <si>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</si>
  <si>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</si>
  <si>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</si>
  <si>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</si>
  <si>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</si>
  <si>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</si>
  <si>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</si>
  <si>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</si>
  <si>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</si>
  <si>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</si>
  <si>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</si>
  <si>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</si>
  <si>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</si>
  <si>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</si>
  <si>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</si>
  <si>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</si>
  <si>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</si>
  <si>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</si>
  <si>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</si>
  <si>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</si>
  <si>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</si>
  <si>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</si>
  <si>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</si>
  <si>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</si>
  <si>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</si>
  <si>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</si>
  <si>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</si>
  <si>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</si>
  <si>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</si>
  <si>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</si>
  <si>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</si>
  <si>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</si>
  <si>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</si>
  <si>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</si>
  <si>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</si>
  <si>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</si>
  <si>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</si>
  <si>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</si>
  <si>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</si>
  <si>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</si>
  <si>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</si>
  <si>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</si>
  <si>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</si>
  <si>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</si>
  <si>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</si>
  <si>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</si>
  <si>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</si>
  <si>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</si>
  <si>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</si>
  <si>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</si>
  <si>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</si>
  <si>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</si>
  <si>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</si>
  <si>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</si>
  <si>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</si>
  <si>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</si>
  <si>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</si>
  <si>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</si>
  <si>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</si>
  <si>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</si>
  <si>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</si>
  <si>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</si>
  <si>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</si>
  <si>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</si>
  <si>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</si>
  <si>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</si>
  <si>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</si>
  <si>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</si>
  <si>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</si>
  <si>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</si>
  <si>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</si>
  <si>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</si>
  <si>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</si>
  <si>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</si>
  <si>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</si>
  <si>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</si>
  <si>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</si>
  <si>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</si>
  <si>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</si>
  <si>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</si>
  <si>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</si>
  <si>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</si>
  <si>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</si>
  <si>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</si>
  <si>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</si>
  <si>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</si>
  <si>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</si>
  <si>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</si>
  <si>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</si>
  <si>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</si>
  <si>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</si>
  <si>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</si>
  <si>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</si>
  <si>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</si>
  <si>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</si>
  <si>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</si>
  <si>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</si>
  <si>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</si>
  <si>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</si>
  <si>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</si>
  <si>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</si>
  <si>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</si>
  <si>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</si>
  <si>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</si>
  <si>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</si>
  <si>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</si>
  <si>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</si>
  <si>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</si>
  <si>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</si>
  <si>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</si>
  <si>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</si>
  <si>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</si>
  <si>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</si>
  <si>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</si>
  <si>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</si>
  <si>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</si>
  <si>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</si>
  <si>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</si>
  <si>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</si>
  <si>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</si>
  <si>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</si>
  <si>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</si>
  <si>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</si>
  <si>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</si>
  <si>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</si>
  <si>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</si>
  <si>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</si>
  <si>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</si>
  <si>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</si>
  <si>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</si>
  <si>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</si>
  <si>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</si>
  <si>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</si>
  <si>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</si>
  <si>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</si>
  <si>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</si>
  <si>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</si>
  <si>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</si>
  <si>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</si>
  <si>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</si>
  <si>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</si>
  <si>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</si>
  <si>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</si>
  <si>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</si>
  <si>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</si>
  <si>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</si>
  <si>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</si>
  <si>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</si>
  <si>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</si>
  <si>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</si>
  <si>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</si>
  <si>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</si>
  <si>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</si>
  <si>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</si>
  <si>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</si>
  <si>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</si>
  <si>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</si>
  <si>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</si>
  <si>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</si>
  <si>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</si>
  <si>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</si>
  <si>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</si>
  <si>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</si>
  <si>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</si>
  <si>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</si>
  <si>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</si>
  <si>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</si>
  <si>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</si>
  <si>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</si>
  <si>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</si>
  <si>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</si>
  <si>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</si>
  <si>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</si>
  <si>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</si>
  <si>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</si>
  <si>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</si>
  <si>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</si>
  <si>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</si>
  <si>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</si>
  <si>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</si>
  <si>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</si>
  <si>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</si>
  <si>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</si>
  <si>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</si>
  <si>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</si>
  <si>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</si>
  <si>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</si>
  <si>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</si>
  <si>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</si>
  <si>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</si>
  <si>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</si>
  <si>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</si>
  <si>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</si>
  <si>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</si>
  <si>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</si>
  <si>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</si>
  <si>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</si>
  <si>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</si>
  <si>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</si>
  <si>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</si>
  <si>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</si>
  <si>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</si>
  <si>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</si>
  <si>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</si>
  <si>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</si>
  <si>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</si>
  <si>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</si>
  <si>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</si>
  <si>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</si>
  <si>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</si>
  <si>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</si>
  <si>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</si>
  <si>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</si>
  <si>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</si>
  <si>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</si>
  <si>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</si>
  <si>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</si>
  <si>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</si>
  <si>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</si>
  <si>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</si>
  <si>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</si>
  <si>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</si>
  <si>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</si>
  <si>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</si>
  <si>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</si>
  <si>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</si>
  <si>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</si>
  <si>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</si>
  <si>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</si>
  <si>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</si>
  <si>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</si>
  <si>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</si>
  <si>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</si>
  <si>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</si>
  <si>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</si>
  <si>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</si>
  <si>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</si>
  <si>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</si>
  <si>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</si>
  <si>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</si>
  <si>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</si>
  <si>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</si>
  <si>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</si>
  <si>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</si>
  <si>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</si>
  <si>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</si>
  <si>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</si>
  <si>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</si>
  <si>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</si>
  <si>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</si>
  <si>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</si>
  <si>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</si>
  <si>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</si>
  <si>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</si>
  <si>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</si>
  <si>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</si>
  <si>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</si>
  <si>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</si>
  <si>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</si>
  <si>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</si>
  <si>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</si>
  <si>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</si>
  <si>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</si>
  <si>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</si>
  <si>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</si>
  <si>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</si>
  <si>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</si>
  <si>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</si>
  <si>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</si>
  <si>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</si>
  <si>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</si>
  <si>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</si>
  <si>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</si>
  <si>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</si>
  <si>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</si>
  <si>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</si>
  <si>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</si>
  <si>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</si>
  <si>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</si>
  <si>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</si>
  <si>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</si>
  <si>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</si>
  <si>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</si>
  <si>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</si>
  <si>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</si>
  <si>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</si>
  <si>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</si>
  <si>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</si>
  <si>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</si>
  <si>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</si>
  <si>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</si>
  <si>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</si>
  <si>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</si>
  <si>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</si>
  <si>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</si>
  <si>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</si>
  <si>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</si>
  <si>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</si>
  <si>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</si>
  <si>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</si>
  <si>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</si>
  <si>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</si>
  <si>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</si>
  <si>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</si>
  <si>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</si>
  <si>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</si>
  <si>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</si>
  <si>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</si>
  <si>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</si>
  <si>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</si>
  <si>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</si>
  <si>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</si>
  <si>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</si>
  <si>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</si>
  <si>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</si>
  <si>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</si>
  <si>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</si>
  <si>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</si>
  <si>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</si>
  <si>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</si>
  <si>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</si>
  <si>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</si>
  <si>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</si>
  <si>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</si>
  <si>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</si>
  <si>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</si>
  <si>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</si>
  <si>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</si>
  <si>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</si>
  <si>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</si>
  <si>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</si>
  <si>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</si>
  <si>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</si>
  <si>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</si>
  <si>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</si>
  <si>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</si>
  <si>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</si>
  <si>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</si>
  <si>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</si>
  <si>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</si>
  <si>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</si>
  <si>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</si>
  <si>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</si>
  <si>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</si>
  <si>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</si>
  <si>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</si>
  <si>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</si>
  <si>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</si>
  <si>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</si>
  <si>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</si>
  <si>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</si>
  <si>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</si>
  <si>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</si>
  <si>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</si>
  <si>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</si>
  <si>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</si>
  <si>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</si>
  <si>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</si>
  <si>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</si>
  <si>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</si>
  <si>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</si>
  <si>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</si>
  <si>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</si>
  <si>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</si>
  <si>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</si>
  <si>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</si>
  <si>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</si>
  <si>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</si>
  <si>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</si>
  <si>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</si>
  <si>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</si>
  <si>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</si>
  <si>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</si>
  <si>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</si>
  <si>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</si>
  <si>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</si>
  <si>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</si>
  <si>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</si>
  <si>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</si>
  <si>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</si>
  <si>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</si>
  <si>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</si>
  <si>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</si>
  <si>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</si>
  <si>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</si>
  <si>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</si>
  <si>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</si>
  <si>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</si>
  <si>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</si>
  <si>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</si>
  <si>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</si>
  <si>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</si>
  <si>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</si>
  <si>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</si>
  <si>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</si>
  <si>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</si>
  <si>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</si>
  <si>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</si>
  <si>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</si>
  <si>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</si>
  <si>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</si>
  <si>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</si>
  <si>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</si>
  <si>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</si>
  <si>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</si>
  <si>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</si>
  <si>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</si>
  <si>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</si>
  <si>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</si>
  <si>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</si>
  <si>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</si>
  <si>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</si>
  <si>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</si>
  <si>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</si>
  <si>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</si>
  <si>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</si>
  <si>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</si>
  <si>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</si>
  <si>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</si>
  <si>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</si>
  <si>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</si>
  <si>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</si>
  <si>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</si>
  <si>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</si>
  <si>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</si>
  <si>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</si>
  <si>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</si>
  <si>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</si>
  <si>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</si>
  <si>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</si>
  <si>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</si>
  <si>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</si>
  <si>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</si>
  <si>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</si>
  <si>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</si>
  <si>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</si>
  <si>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</si>
  <si>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</si>
  <si>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</si>
  <si>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</si>
  <si>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</si>
  <si>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</si>
  <si>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</si>
  <si>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</si>
  <si>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</si>
  <si>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</si>
  <si>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</si>
  <si>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</si>
  <si>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</si>
  <si>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</si>
  <si>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</si>
  <si>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</si>
  <si>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</si>
  <si>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</si>
  <si>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</si>
  <si>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</si>
  <si>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</si>
  <si>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</si>
  <si>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</si>
  <si>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</si>
  <si>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</si>
  <si>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</si>
  <si>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</si>
  <si>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</si>
  <si>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</si>
  <si>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</si>
  <si>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</si>
  <si>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</si>
  <si>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</si>
  <si>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</si>
  <si>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</si>
  <si>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</si>
  <si>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</si>
  <si>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</si>
  <si>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</si>
  <si>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</si>
  <si>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</si>
  <si>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</si>
  <si>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</si>
  <si>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</si>
  <si>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</si>
  <si>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</si>
  <si>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</si>
  <si>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</si>
  <si>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</si>
  <si>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</si>
  <si>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</si>
  <si>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</si>
  <si>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</si>
  <si>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</si>
  <si>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</si>
  <si>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</si>
  <si>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</si>
  <si>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</si>
  <si>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</si>
  <si>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</si>
  <si>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</si>
  <si>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</si>
  <si>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</si>
  <si>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</si>
  <si>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</si>
  <si>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</si>
  <si>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</si>
  <si>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</si>
  <si>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</si>
  <si>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</si>
  <si>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</si>
  <si>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</si>
  <si>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</si>
  <si>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</si>
  <si>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</si>
  <si>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</si>
  <si>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</si>
  <si>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</si>
  <si>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</si>
  <si>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</si>
  <si>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</si>
  <si>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</si>
  <si>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</si>
  <si>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</si>
  <si>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</si>
  <si>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</si>
  <si>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</si>
  <si>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</si>
  <si>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</si>
  <si>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</si>
  <si>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</si>
  <si>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</si>
  <si>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</si>
  <si>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</si>
  <si>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</si>
  <si>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</si>
  <si>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</si>
  <si>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</si>
  <si>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</si>
  <si>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</si>
  <si>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</si>
  <si>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</si>
  <si>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</si>
  <si>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</si>
  <si>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</si>
  <si>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</si>
  <si>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</si>
  <si>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</si>
  <si>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</si>
  <si>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</si>
  <si>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</si>
  <si>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</si>
  <si>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</si>
  <si>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</si>
  <si>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</si>
  <si>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</si>
  <si>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</si>
  <si>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</si>
  <si>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</si>
  <si>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</si>
  <si>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</si>
  <si>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</si>
  <si>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</si>
  <si>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</si>
  <si>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</si>
  <si>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</si>
  <si>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</si>
  <si>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</si>
  <si>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</si>
  <si>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</si>
  <si>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</si>
  <si>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</si>
  <si>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</si>
  <si>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</si>
  <si>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</si>
  <si>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</si>
  <si>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</si>
  <si>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</si>
  <si>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</si>
  <si>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</si>
  <si>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</si>
  <si>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</si>
  <si>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</si>
  <si>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</si>
  <si>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</si>
  <si>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</si>
  <si>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</si>
  <si>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</si>
  <si>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</si>
  <si>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</si>
  <si>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</si>
  <si>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</si>
  <si>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</si>
  <si>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</si>
  <si>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</si>
  <si>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</si>
  <si>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</si>
  <si>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</si>
  <si>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</si>
  <si>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</si>
  <si>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</si>
  <si>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</si>
  <si>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</si>
  <si>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</si>
  <si>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</si>
  <si>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</si>
  <si>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</si>
  <si>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</si>
  <si>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</si>
  <si>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</si>
  <si>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</si>
  <si>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</si>
  <si>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</si>
  <si>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</si>
  <si>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</si>
  <si>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</si>
  <si>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</si>
  <si>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</si>
  <si>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</si>
  <si>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</si>
  <si>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</si>
  <si>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</si>
  <si>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</si>
  <si>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</si>
  <si>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</si>
  <si>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</si>
  <si>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</si>
  <si>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</si>
  <si>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</si>
  <si>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</si>
  <si>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</si>
  <si>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</si>
  <si>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</si>
  <si>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</si>
  <si>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</si>
  <si>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</si>
  <si>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</si>
  <si>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</si>
  <si>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</si>
  <si>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</si>
  <si>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</si>
  <si>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</si>
  <si>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</si>
  <si>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</si>
  <si>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</si>
  <si>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</si>
  <si>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</si>
  <si>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</si>
  <si>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</si>
  <si>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</si>
  <si>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</si>
  <si>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</si>
  <si>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</si>
  <si>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</si>
  <si>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</si>
  <si>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</si>
  <si>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</si>
  <si>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</si>
  <si>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</si>
  <si>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</si>
  <si>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</si>
  <si>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</si>
  <si>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</si>
  <si>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</si>
  <si>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</si>
  <si>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</si>
  <si>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</si>
  <si>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</si>
  <si>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</si>
  <si>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</si>
  <si>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</si>
  <si>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</si>
  <si>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</si>
  <si>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</si>
  <si>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</si>
  <si>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</si>
  <si>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</si>
  <si>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</si>
  <si>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</si>
  <si>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</si>
  <si>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</si>
  <si>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</si>
  <si>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</si>
  <si>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</si>
  <si>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</si>
  <si>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</si>
  <si>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</si>
  <si>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</si>
  <si>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</si>
  <si>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</si>
  <si>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</si>
  <si>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</si>
  <si>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</si>
  <si>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</si>
  <si>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</si>
  <si>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</si>
  <si>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</si>
  <si>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</si>
  <si>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</si>
  <si>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</si>
  <si>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</si>
  <si>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</si>
  <si>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</si>
  <si>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</si>
  <si>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</si>
  <si>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</si>
  <si>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</si>
  <si>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</si>
  <si>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</si>
  <si>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</si>
  <si>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</si>
  <si>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</si>
  <si>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</si>
  <si>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</si>
  <si>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</si>
  <si>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</si>
  <si>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</si>
  <si>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</si>
  <si>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</si>
  <si>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</si>
  <si>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</si>
  <si>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</si>
  <si>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</si>
  <si>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</si>
  <si>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</si>
  <si>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</si>
  <si>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</si>
  <si>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</si>
  <si>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</si>
  <si>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</si>
  <si>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</si>
  <si>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</si>
  <si>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</si>
  <si>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</si>
  <si>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</si>
  <si>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</si>
  <si>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</si>
  <si>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</si>
  <si>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</si>
  <si>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</si>
  <si>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</si>
  <si>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</si>
  <si>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</si>
  <si>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</si>
  <si>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</si>
  <si>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</si>
  <si>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</si>
  <si>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</si>
  <si>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</si>
  <si>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</si>
  <si>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</si>
  <si>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</si>
  <si>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</si>
  <si>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</si>
  <si>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</si>
  <si>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</si>
  <si>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</si>
  <si>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</si>
  <si>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</si>
  <si>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</si>
  <si>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</si>
  <si>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</si>
  <si>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</si>
  <si>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</si>
  <si>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</si>
  <si>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</si>
  <si>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</si>
  <si>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</si>
  <si>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</si>
  <si>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</si>
  <si>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</si>
  <si>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</si>
  <si>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</si>
  <si>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</si>
  <si>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</si>
  <si>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</si>
  <si>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</si>
  <si>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</si>
  <si>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</si>
  <si>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</si>
  <si>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</si>
  <si>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</si>
  <si>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</si>
  <si>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</si>
  <si>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</si>
  <si>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</si>
  <si>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</si>
  <si>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</si>
  <si>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</si>
  <si>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</si>
  <si>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</si>
  <si>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</si>
  <si>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</si>
  <si>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</si>
  <si>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</si>
  <si>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</si>
  <si>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</si>
  <si>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</si>
  <si>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</si>
  <si>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</si>
  <si>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</si>
  <si>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</si>
  <si>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</si>
  <si>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</si>
  <si>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</si>
  <si>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</si>
  <si>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</si>
  <si>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</si>
  <si>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</si>
  <si>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</si>
  <si>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</si>
  <si>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</si>
  <si>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</si>
  <si>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</si>
  <si>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</si>
  <si>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</si>
  <si>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</si>
  <si>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</si>
  <si>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</si>
  <si>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</si>
  <si>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</si>
  <si>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</si>
  <si>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</si>
  <si>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</si>
  <si>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</si>
  <si>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</si>
  <si>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</si>
  <si>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</si>
  <si>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</si>
  <si>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</si>
  <si>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</si>
  <si>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</si>
  <si>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</si>
  <si>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</si>
  <si>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</si>
  <si>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</si>
  <si>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</si>
  <si>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</si>
  <si>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</si>
  <si>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</si>
  <si>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</si>
  <si>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</si>
  <si>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</si>
  <si>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</si>
  <si>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</si>
  <si>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</si>
  <si>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</si>
  <si>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</si>
  <si>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</si>
  <si>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</si>
  <si>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</si>
  <si>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</si>
  <si>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</si>
  <si>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</si>
  <si>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</si>
  <si>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</si>
  <si>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</si>
  <si>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</si>
  <si>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</si>
  <si>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</si>
  <si>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</si>
  <si>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</si>
  <si>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</si>
  <si>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</si>
  <si>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</si>
  <si>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</si>
  <si>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</si>
  <si>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</si>
  <si>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</si>
  <si>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</si>
  <si>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</si>
  <si>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</si>
  <si>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</si>
  <si>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</si>
  <si>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</si>
  <si>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</si>
  <si>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</si>
  <si>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</si>
  <si>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</si>
  <si>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</si>
  <si>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</si>
  <si>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</si>
  <si>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</si>
  <si>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</si>
  <si>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</si>
  <si>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</si>
  <si>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</si>
  <si>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</si>
  <si>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</si>
  <si>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</si>
  <si>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</si>
  <si>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</si>
  <si>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</si>
  <si>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</si>
  <si>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</si>
  <si>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</si>
  <si>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</si>
  <si>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</si>
  <si>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</si>
  <si>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</si>
  <si>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</si>
  <si>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</si>
  <si>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</si>
  <si>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</si>
  <si>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</si>
  <si>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</si>
  <si>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</si>
  <si>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</si>
  <si>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</si>
  <si>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</si>
  <si>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</si>
  <si>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</si>
  <si>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</si>
  <si>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</si>
  <si>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</si>
  <si>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</si>
  <si>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</si>
  <si>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</si>
  <si>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</si>
  <si>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</si>
  <si>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</si>
  <si>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</si>
  <si>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</si>
  <si>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</si>
  <si>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</si>
  <si>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</si>
  <si>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</si>
  <si>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</si>
  <si>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</si>
  <si>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</si>
  <si>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</si>
  <si>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</si>
  <si>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</si>
  <si>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</si>
  <si>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</si>
  <si>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</si>
  <si>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</si>
  <si>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</si>
  <si>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</si>
  <si>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</si>
  <si>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</si>
  <si>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</si>
  <si>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</si>
  <si>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</si>
  <si>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</si>
  <si>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</si>
  <si>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</si>
  <si>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</si>
  <si>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</si>
  <si>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</si>
  <si>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</si>
  <si>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</si>
  <si>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</si>
  <si>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</si>
  <si>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</si>
  <si>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</si>
  <si>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</si>
  <si>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</si>
  <si>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</si>
  <si>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</si>
  <si>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</si>
  <si>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</si>
  <si>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</si>
  <si>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</si>
  <si>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</si>
  <si>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</si>
  <si>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</si>
  <si>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</si>
  <si>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</si>
  <si>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</si>
  <si>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</si>
  <si>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</si>
  <si>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</si>
  <si>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</si>
  <si>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</si>
  <si>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</si>
  <si>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</si>
  <si>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</si>
  <si>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</si>
  <si>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</si>
  <si>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</si>
  <si>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</si>
  <si>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</si>
  <si>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</si>
  <si>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</si>
  <si>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</si>
  <si>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</si>
  <si>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</si>
  <si>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</si>
  <si>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</si>
  <si>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</si>
  <si>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</si>
  <si>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</si>
  <si>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</si>
  <si>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</si>
  <si>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</si>
  <si>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</si>
  <si>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</si>
  <si>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</si>
  <si>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</si>
  <si>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</si>
  <si>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</si>
  <si>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</si>
  <si>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</si>
  <si>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</si>
  <si>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</si>
  <si>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</si>
  <si>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</si>
  <si>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</si>
  <si>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</si>
  <si>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</si>
  <si>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</si>
  <si>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</si>
  <si>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</si>
  <si>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</si>
  <si>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</si>
  <si>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</si>
  <si>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</si>
  <si>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</si>
  <si>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</si>
  <si>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</si>
  <si>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</si>
  <si>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</si>
  <si>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</si>
  <si>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</si>
  <si>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</si>
  <si>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</si>
  <si>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</si>
  <si>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</si>
  <si>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</si>
  <si>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</si>
  <si>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</si>
  <si>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</si>
  <si>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</si>
  <si>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</si>
  <si>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</si>
  <si>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</si>
  <si>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</si>
  <si>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</si>
  <si>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</si>
  <si>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</si>
  <si>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</si>
  <si>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</si>
  <si>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</si>
  <si>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</si>
  <si>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</si>
  <si>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</si>
  <si>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</si>
  <si>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</si>
  <si>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</si>
  <si>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</si>
  <si>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</si>
  <si>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</si>
  <si>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</si>
  <si>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</si>
  <si>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</si>
  <si>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</si>
  <si>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</si>
  <si>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</si>
  <si>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</si>
  <si>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</si>
  <si>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</si>
  <si>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</si>
  <si>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</si>
  <si>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</si>
  <si>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</si>
  <si>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</si>
  <si>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</si>
  <si>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</si>
  <si>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</si>
  <si>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</si>
  <si>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</si>
  <si>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</si>
  <si>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</si>
  <si>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</si>
  <si>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</si>
  <si>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</si>
  <si>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</si>
  <si>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</si>
  <si>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</si>
  <si>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</si>
  <si>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</si>
  <si>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</si>
  <si>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</si>
  <si>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</si>
  <si>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</si>
  <si>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</si>
  <si>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</si>
  <si>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</si>
  <si>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</si>
  <si>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</si>
  <si>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</si>
  <si>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</si>
  <si>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</si>
  <si>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</si>
  <si>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</si>
  <si>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</si>
  <si>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</si>
  <si>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</si>
  <si>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</si>
  <si>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</si>
  <si>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</si>
  <si>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</si>
  <si>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</si>
  <si>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</si>
  <si>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</si>
  <si>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</si>
  <si>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</si>
  <si>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</si>
  <si>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</si>
  <si>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</si>
  <si>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</si>
  <si>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</si>
  <si>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</si>
  <si>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</si>
  <si>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</si>
  <si>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</si>
  <si>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</si>
  <si>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</si>
  <si>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</si>
  <si>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</si>
  <si>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</si>
  <si>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</si>
  <si>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</si>
  <si>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</si>
  <si>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</si>
  <si>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</si>
  <si>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</si>
  <si>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</si>
  <si>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</si>
  <si>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</si>
  <si>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</si>
  <si>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</si>
  <si>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</si>
  <si>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</si>
  <si>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</si>
  <si>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</si>
  <si>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</si>
  <si>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</si>
  <si>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</si>
  <si>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</si>
  <si>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</si>
  <si>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</si>
  <si>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</si>
  <si>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</si>
  <si>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</si>
  <si>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</si>
  <si>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</si>
  <si>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</si>
  <si>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</si>
  <si>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</si>
  <si>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</si>
  <si>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</si>
  <si>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</si>
  <si>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</si>
  <si>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</si>
  <si>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</si>
  <si>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</si>
  <si>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</si>
  <si>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</si>
  <si>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</si>
  <si>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</si>
  <si>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</si>
  <si>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</si>
  <si>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</si>
  <si>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</si>
  <si>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</si>
  <si>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</si>
  <si>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</si>
  <si>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</si>
  <si>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</si>
  <si>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</si>
  <si>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</si>
  <si>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</si>
  <si>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</si>
  <si>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</si>
  <si>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</si>
  <si>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</si>
  <si>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</si>
  <si>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</si>
  <si>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</si>
  <si>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</si>
  <si>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</si>
  <si>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</si>
  <si>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</si>
  <si>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</si>
  <si>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</si>
  <si>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</si>
  <si>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</si>
  <si>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</si>
  <si>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</si>
  <si>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</si>
  <si>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</si>
  <si>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</si>
  <si>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</si>
  <si>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</si>
  <si>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</si>
  <si>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</si>
  <si>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</si>
  <si>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</si>
  <si>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</si>
  <si>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</si>
  <si>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</si>
  <si>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</si>
  <si>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</si>
  <si>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</si>
  <si>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</si>
  <si>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</si>
  <si>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</si>
  <si>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</si>
  <si>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</si>
  <si>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</si>
  <si>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</si>
  <si>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</si>
  <si>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</si>
  <si>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</si>
  <si>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</si>
  <si>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</si>
  <si>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</si>
  <si>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</si>
  <si>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</si>
  <si>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</si>
  <si>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</si>
  <si>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</si>
  <si>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</si>
  <si>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</si>
  <si>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</si>
  <si>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</si>
  <si>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</si>
  <si>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</si>
  <si>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</si>
  <si>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</si>
  <si>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</si>
  <si>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</si>
  <si>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</si>
  <si>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</si>
  <si>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</si>
  <si>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</si>
  <si>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</si>
  <si>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</si>
  <si>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</si>
  <si>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</si>
  <si>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</si>
  <si>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</si>
  <si>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</si>
  <si>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</si>
  <si>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</si>
  <si>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</si>
  <si>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</si>
  <si>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</si>
  <si>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</si>
  <si>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</si>
  <si>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</si>
  <si>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</si>
  <si>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</si>
  <si>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</si>
  <si>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</si>
  <si>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</si>
  <si>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</si>
  <si>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</si>
  <si>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</si>
  <si>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</si>
  <si>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</si>
  <si>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</si>
  <si>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</si>
  <si>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</si>
  <si>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</si>
  <si>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</si>
  <si>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</si>
  <si>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</si>
  <si>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</si>
  <si>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</si>
  <si>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</si>
  <si>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</si>
  <si>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</si>
  <si>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</si>
  <si>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</si>
  <si>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</si>
  <si>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</si>
  <si>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</si>
  <si>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</si>
  <si>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</si>
  <si>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</si>
  <si>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</si>
  <si>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</si>
  <si>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</si>
  <si>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</si>
  <si>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</si>
  <si>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</si>
  <si>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</si>
  <si>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</si>
  <si>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</si>
  <si>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</si>
  <si>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</si>
  <si>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</si>
  <si>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</si>
  <si>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</si>
  <si>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</si>
  <si>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</si>
  <si>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</si>
  <si>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</si>
  <si>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</si>
  <si>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</si>
  <si>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</si>
  <si>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</si>
  <si>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</si>
  <si>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</si>
  <si>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</si>
  <si>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</si>
  <si>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</si>
  <si>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</si>
  <si>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</si>
  <si>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</si>
  <si>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</si>
  <si>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</si>
  <si>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</si>
  <si>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</si>
  <si>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</si>
  <si>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</si>
  <si>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</si>
  <si>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</si>
  <si>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</si>
  <si>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</si>
  <si>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</si>
  <si>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</si>
  <si>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</si>
  <si>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</si>
  <si>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</si>
  <si>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</si>
  <si>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</si>
  <si>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</si>
  <si>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</si>
  <si>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</si>
  <si>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</si>
  <si>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</si>
  <si>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</si>
  <si>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</si>
  <si>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</si>
  <si>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</si>
  <si>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</si>
  <si>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</si>
  <si>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</si>
  <si>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</si>
  <si>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</si>
  <si>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</si>
  <si>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</si>
  <si>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</si>
  <si>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</si>
  <si>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</si>
  <si>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</si>
  <si>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</si>
  <si>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</si>
  <si>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</si>
  <si>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</si>
  <si>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</si>
  <si>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</si>
  <si>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</si>
  <si>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</si>
  <si>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</si>
  <si>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</si>
  <si>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</si>
  <si>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</si>
  <si>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</si>
  <si>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</si>
  <si>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</si>
  <si>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</si>
  <si>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</si>
  <si>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</si>
  <si>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</si>
  <si>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</si>
  <si>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</si>
  <si>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</si>
  <si>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</si>
  <si>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</si>
  <si>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</si>
  <si>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</si>
  <si>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</si>
  <si>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</si>
  <si>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</si>
  <si>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</si>
  <si>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</si>
  <si>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</si>
  <si>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</si>
  <si>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</si>
  <si>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</si>
  <si>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</si>
  <si>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</si>
  <si>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</si>
  <si>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</si>
  <si>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</si>
  <si>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</si>
  <si>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</si>
  <si>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</si>
  <si>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</si>
  <si>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</si>
  <si>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</si>
  <si>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</si>
  <si>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</si>
  <si>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</si>
  <si>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</si>
  <si>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</si>
  <si>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</si>
  <si>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</si>
  <si>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</si>
  <si>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</si>
  <si>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</si>
  <si>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</si>
  <si>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</si>
  <si>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</si>
  <si>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</si>
  <si>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</si>
  <si>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</si>
  <si>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</si>
  <si>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</si>
  <si>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</si>
  <si>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</si>
  <si>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</si>
  <si>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</si>
  <si>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</si>
  <si>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</si>
  <si>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</si>
  <si>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</si>
  <si>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</si>
  <si>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</si>
  <si>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</si>
  <si>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</si>
  <si>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</si>
  <si>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</si>
  <si>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</si>
  <si>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</si>
  <si>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</si>
  <si>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</si>
  <si>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</si>
  <si>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</si>
  <si>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</si>
  <si>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</si>
  <si>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</si>
  <si>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</si>
  <si>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</si>
  <si>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</si>
  <si>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</si>
  <si>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</si>
  <si>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</si>
  <si>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</si>
  <si>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</si>
  <si>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</si>
  <si>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</si>
  <si>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</si>
  <si>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</si>
  <si>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</si>
  <si>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</si>
  <si>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</si>
  <si>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</si>
  <si>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</si>
  <si>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</si>
  <si>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</si>
  <si>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</si>
  <si>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</si>
  <si>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</si>
  <si>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</si>
  <si>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</si>
  <si>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</si>
  <si>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</si>
  <si>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</si>
  <si>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</si>
  <si>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</si>
  <si>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</si>
  <si>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</si>
  <si>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</si>
  <si>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</si>
  <si>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</si>
  <si>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</si>
  <si>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</si>
  <si>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</si>
  <si>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</si>
  <si>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</si>
  <si>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</si>
  <si>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</si>
  <si>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</si>
  <si>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</si>
  <si>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</si>
  <si>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</si>
  <si>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</si>
  <si>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</si>
  <si>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</si>
  <si>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</si>
  <si>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</si>
  <si>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</si>
  <si>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</si>
  <si>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</si>
  <si>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</si>
  <si>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</si>
  <si>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</si>
  <si>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</si>
  <si>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</si>
  <si>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</si>
  <si>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</si>
  <si>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</si>
  <si>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</si>
  <si>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</si>
  <si>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</si>
  <si>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</si>
  <si>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</si>
  <si>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</si>
  <si>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</si>
  <si>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</si>
  <si>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</si>
  <si>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</si>
  <si>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</si>
  <si>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</si>
  <si>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</si>
  <si>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</si>
  <si>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</si>
  <si>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</si>
  <si>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</si>
  <si>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</si>
  <si>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</si>
  <si>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</si>
  <si>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</si>
  <si>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</si>
  <si>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</si>
  <si>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</si>
  <si>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</si>
  <si>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</si>
  <si>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</si>
  <si>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</si>
  <si>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</si>
  <si>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</si>
  <si>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</si>
  <si>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</si>
  <si>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</si>
  <si>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</si>
  <si>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</si>
  <si>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</si>
  <si>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</si>
  <si>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</si>
  <si>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</si>
  <si>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</si>
  <si>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</si>
  <si>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</si>
  <si>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</si>
  <si>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</si>
  <si>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</si>
  <si>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</si>
  <si>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</si>
  <si>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</si>
  <si>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</si>
  <si>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</si>
  <si>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</si>
  <si>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</si>
  <si>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</si>
  <si>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</si>
  <si>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</si>
  <si>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</si>
  <si>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</si>
  <si>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</si>
  <si>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</si>
  <si>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</si>
  <si>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</si>
  <si>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</si>
  <si>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</si>
  <si>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</si>
  <si>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</si>
  <si>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</si>
  <si>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</si>
  <si>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</si>
  <si>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</si>
  <si>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</si>
  <si>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</si>
  <si>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</si>
  <si>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</si>
  <si>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</si>
  <si>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</si>
  <si>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</si>
  <si>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</si>
  <si>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</si>
  <si>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</si>
  <si>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</si>
  <si>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</si>
  <si>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</si>
  <si>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</si>
  <si>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</si>
  <si>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</si>
  <si>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</si>
  <si>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</si>
  <si>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</si>
  <si>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</si>
  <si>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</si>
  <si>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</si>
  <si>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</si>
  <si>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</si>
  <si>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</si>
  <si>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</si>
  <si>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</si>
  <si>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</si>
  <si>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</si>
  <si>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</si>
  <si>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</si>
  <si>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</si>
  <si>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</si>
  <si>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</si>
  <si>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</si>
  <si>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</si>
  <si>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</si>
  <si>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</si>
  <si>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</si>
  <si>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</si>
  <si>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</si>
  <si>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</si>
  <si>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</si>
  <si>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</si>
  <si>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</si>
  <si>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</si>
  <si>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</si>
  <si>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</si>
  <si>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</si>
  <si>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</si>
  <si>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</si>
  <si>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</si>
  <si>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</si>
  <si>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</si>
  <si>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</si>
  <si>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</si>
  <si>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</si>
  <si>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</si>
  <si>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</si>
  <si>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</si>
  <si>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</si>
  <si>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</si>
  <si>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</si>
  <si>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</si>
  <si>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</si>
  <si>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</si>
  <si>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</si>
  <si>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</si>
  <si>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</si>
  <si>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</si>
  <si>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</si>
  <si>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</si>
  <si>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</si>
  <si>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</si>
  <si>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</si>
  <si>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</si>
  <si>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</si>
  <si>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</si>
  <si>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</si>
  <si>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</si>
  <si>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</si>
  <si>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</si>
  <si>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</si>
  <si>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</si>
  <si>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</si>
  <si>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</si>
  <si>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</si>
  <si>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</si>
  <si>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</si>
  <si>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</si>
  <si>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</si>
  <si>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</si>
  <si>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</si>
  <si>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</si>
  <si>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</si>
  <si>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</si>
  <si>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</si>
  <si>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</si>
  <si>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</si>
  <si>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</si>
  <si>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</si>
  <si>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</si>
  <si>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</si>
  <si>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</si>
  <si>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</si>
  <si>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</si>
  <si>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</si>
  <si>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</si>
  <si>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</si>
  <si>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</si>
  <si>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</si>
  <si>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</si>
  <si>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</si>
  <si>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</si>
  <si>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</si>
  <si>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</si>
  <si>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</si>
  <si>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</si>
  <si>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</si>
  <si>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</si>
  <si>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</si>
  <si>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</si>
  <si>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</si>
  <si>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</si>
  <si>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</si>
  <si>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</si>
  <si>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</si>
  <si>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</si>
  <si>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</si>
  <si>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</si>
  <si>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</si>
  <si>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</si>
  <si>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</si>
  <si>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</si>
  <si>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</si>
  <si>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</si>
  <si>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</si>
  <si>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</si>
  <si>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</si>
  <si>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</si>
  <si>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</si>
  <si>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</si>
  <si>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</si>
  <si>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</si>
  <si>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</si>
  <si>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</si>
  <si>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</si>
  <si>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</si>
  <si>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</si>
  <si>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</si>
  <si>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</si>
  <si>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</si>
  <si>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</si>
  <si>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</si>
  <si>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</si>
  <si>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</si>
  <si>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</si>
  <si>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</si>
  <si>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</si>
  <si>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</si>
  <si>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</si>
  <si>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</si>
  <si>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</si>
  <si>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</si>
  <si>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</si>
  <si>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</si>
  <si>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</si>
  <si>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</si>
  <si>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</si>
  <si>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</si>
  <si>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</si>
  <si>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</si>
  <si>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</si>
  <si>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</si>
  <si>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</si>
  <si>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</si>
  <si>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</si>
  <si>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</si>
  <si>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</si>
  <si>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</si>
  <si>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</si>
  <si>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</si>
  <si>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</si>
  <si>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</si>
  <si>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</si>
  <si>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</si>
  <si>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</si>
  <si>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</si>
  <si>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</si>
  <si>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</si>
  <si>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</si>
  <si>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</si>
  <si>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</si>
  <si>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</si>
  <si>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</si>
  <si>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</si>
  <si>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</si>
  <si>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Bureau</t>
  </si>
  <si>
    <t>Ladd CCSD 94</t>
  </si>
  <si>
    <t>322 East Clevland St.</t>
  </si>
  <si>
    <t xml:space="preserve">Ladd  </t>
  </si>
  <si>
    <t>mzeko@laddccsd94.cm</t>
  </si>
  <si>
    <t>Michelle Zeko</t>
  </si>
  <si>
    <t>mzeko@laddccsd94.com</t>
  </si>
  <si>
    <t>815-894-2363</t>
  </si>
  <si>
    <t>815-894-2364</t>
  </si>
  <si>
    <t>Hopkins &amp; Associates, CPAs</t>
  </si>
  <si>
    <t>Kim Bird</t>
  </si>
  <si>
    <t>314 S McCoy St</t>
  </si>
  <si>
    <t>Granville</t>
  </si>
  <si>
    <t>IL</t>
  </si>
  <si>
    <t>815-339-6630</t>
  </si>
  <si>
    <t>815-339-6643</t>
  </si>
  <si>
    <t>066-004501</t>
  </si>
  <si>
    <t>kim@hopkinsoffice.com</t>
  </si>
  <si>
    <t>2001 Building Bonds</t>
  </si>
  <si>
    <t>Taxable Funding Bonds</t>
  </si>
  <si>
    <t>Working Cash Bonds</t>
  </si>
  <si>
    <t>O&amp;M- Plant Maintenance-Purchased Services</t>
  </si>
  <si>
    <t>Waste Management, Inc.</t>
  </si>
  <si>
    <t>Starline Construction LLC</t>
  </si>
  <si>
    <t>AT&amp;T</t>
  </si>
  <si>
    <t>Frontier</t>
  </si>
  <si>
    <t>IV Cellular</t>
  </si>
  <si>
    <t>music teacher with Malden</t>
  </si>
  <si>
    <t>BMP Special Ed Co-op</t>
  </si>
  <si>
    <t>Princeton Elementary</t>
  </si>
  <si>
    <t>10-1999, 40-1999 - Miscellaneous</t>
  </si>
  <si>
    <t>Total Federal Expenditures for 7/1/18-6/30/19</t>
  </si>
  <si>
    <t>20-2540-300</t>
  </si>
  <si>
    <t>20-1999 $20,950 - Insurance Claim for boiler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</si>
</sst>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2" t="s">
        <v>405</v>
      </c>
      <c r="J1" s="1983"/>
      <c r="K1" s="1983"/>
      <c r="L1" s="1983"/>
      <c r="M1" s="1983"/>
      <c r="N1" s="1983"/>
      <c r="O1" s="1983"/>
      <c r="P1" s="1983"/>
      <c r="Q1" s="1983"/>
      <c r="R1" s="1983"/>
      <c r="S1" s="1983"/>
    </row>
    <row r="2" spans="1:28" ht="12" customHeight="1" x14ac:dyDescent="0.2">
      <c r="A2" s="47" t="s">
        <v>1992</v>
      </c>
      <c r="D2" s="48"/>
      <c r="I2" s="1984" t="s">
        <v>979</v>
      </c>
      <c r="J2" s="1983"/>
      <c r="K2" s="1983"/>
      <c r="L2" s="1983"/>
      <c r="M2" s="1983"/>
      <c r="N2" s="1983"/>
      <c r="O2" s="1983"/>
      <c r="P2" s="1983"/>
      <c r="Q2" s="1983"/>
      <c r="R2" s="1983"/>
      <c r="S2" s="1983"/>
    </row>
    <row r="3" spans="1:28" ht="12" customHeight="1" x14ac:dyDescent="0.2">
      <c r="A3" s="155" t="s">
        <v>1944</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2063</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2063</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28006094004</v>
      </c>
      <c r="B13" s="2018"/>
      <c r="C13" s="2018"/>
      <c r="D13" s="2018"/>
      <c r="E13" s="2018"/>
      <c r="F13" s="2018"/>
      <c r="G13" s="2018"/>
      <c r="H13" s="2019"/>
      <c r="I13" s="31"/>
      <c r="J13" s="30"/>
      <c r="K13" s="28"/>
      <c r="L13" s="30"/>
      <c r="M13" s="30"/>
      <c r="N13" s="30"/>
      <c r="O13" s="30"/>
      <c r="P13" s="30"/>
      <c r="Q13" s="30"/>
      <c r="R13" s="30"/>
      <c r="S13" s="30"/>
      <c r="T13" s="2022" t="s">
        <v>2073</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2064</v>
      </c>
      <c r="B15" s="2020"/>
      <c r="C15" s="2020"/>
      <c r="D15" s="2020"/>
      <c r="E15" s="2020"/>
      <c r="F15" s="2020"/>
      <c r="G15" s="2020"/>
      <c r="H15" s="2021"/>
      <c r="T15" s="2026" t="s">
        <v>2074</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2065</v>
      </c>
      <c r="B17" s="1977"/>
      <c r="C17" s="1977"/>
      <c r="D17" s="1977"/>
      <c r="E17" s="1977"/>
      <c r="F17" s="1977"/>
      <c r="G17" s="1977"/>
      <c r="H17" s="2002"/>
      <c r="T17" s="2033" t="s">
        <v>2075</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2066</v>
      </c>
      <c r="B19" s="1962"/>
      <c r="C19" s="1962"/>
      <c r="D19" s="1962"/>
      <c r="E19" s="1962"/>
      <c r="F19" s="1962"/>
      <c r="G19" s="1962"/>
      <c r="H19" s="1942"/>
      <c r="I19" s="30"/>
      <c r="J19" s="99"/>
      <c r="K19" s="40"/>
      <c r="L19" s="38"/>
      <c r="M19" s="112" t="s">
        <v>315</v>
      </c>
      <c r="P19" s="27"/>
      <c r="Q19" s="27"/>
      <c r="R19" s="27"/>
      <c r="S19" s="31"/>
      <c r="T19" s="2016" t="s">
        <v>2076</v>
      </c>
      <c r="U19" s="1941"/>
      <c r="V19" s="1941"/>
      <c r="W19" s="1942"/>
      <c r="X19" s="2031" t="s">
        <v>2077</v>
      </c>
      <c r="Y19" s="2032"/>
      <c r="Z19" s="2029">
        <v>61326</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2067</v>
      </c>
      <c r="B21" s="1941"/>
      <c r="C21" s="1941"/>
      <c r="D21" s="1941"/>
      <c r="E21" s="1941"/>
      <c r="F21" s="1941"/>
      <c r="G21" s="1941"/>
      <c r="H21" s="1942"/>
      <c r="I21" s="1996" t="s">
        <v>678</v>
      </c>
      <c r="J21" s="1991"/>
      <c r="K21" s="1991"/>
      <c r="L21" s="1991"/>
      <c r="M21" s="1991"/>
      <c r="N21" s="1991"/>
      <c r="O21" s="1991"/>
      <c r="P21" s="1991"/>
      <c r="Q21" s="1991"/>
      <c r="R21" s="1991"/>
      <c r="S21" s="1997"/>
      <c r="T21" s="2040" t="s">
        <v>2078</v>
      </c>
      <c r="U21" s="2041"/>
      <c r="V21" s="2041"/>
      <c r="W21" s="2041"/>
      <c r="X21" s="2046" t="s">
        <v>2079</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2068</v>
      </c>
      <c r="B23" s="1994"/>
      <c r="C23" s="1994"/>
      <c r="D23" s="1994"/>
      <c r="E23" s="1994"/>
      <c r="F23" s="1994"/>
      <c r="G23" s="1994"/>
      <c r="H23" s="1995"/>
      <c r="T23" s="1976" t="s">
        <v>2080</v>
      </c>
      <c r="U23" s="2039"/>
      <c r="V23" s="2039"/>
      <c r="W23" s="2039"/>
      <c r="X23" s="2043">
        <v>44530</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61329</v>
      </c>
      <c r="B25" s="1941"/>
      <c r="C25" s="1941"/>
      <c r="D25" s="1941"/>
      <c r="E25" s="1941"/>
      <c r="F25" s="1941"/>
      <c r="G25" s="1941"/>
      <c r="H25" s="1942"/>
      <c r="I25" s="113"/>
      <c r="J25" s="1965"/>
      <c r="K25" s="1965"/>
      <c r="L25" s="1965"/>
      <c r="M25" s="1965"/>
      <c r="N25" s="1965"/>
      <c r="O25" s="1965"/>
      <c r="P25" s="1965"/>
      <c r="Q25" s="1965"/>
      <c r="R25" s="1965"/>
      <c r="S25" s="1966"/>
      <c r="T25" s="2036" t="s">
        <v>2081</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2063</v>
      </c>
      <c r="M29" s="40" t="s">
        <v>99</v>
      </c>
      <c r="N29" s="32" t="s">
        <v>1523</v>
      </c>
      <c r="O29" s="32"/>
      <c r="P29" s="32"/>
      <c r="Q29" s="32"/>
      <c r="R29" s="32"/>
      <c r="S29" s="123"/>
      <c r="T29" s="6"/>
      <c r="U29" s="6"/>
      <c r="V29" s="6"/>
      <c r="W29" s="6"/>
      <c r="X29" s="6"/>
      <c r="Y29" s="6"/>
      <c r="Z29" s="6"/>
      <c r="AA29" s="132"/>
    </row>
    <row r="30" spans="1:27" ht="13.5" customHeight="1" x14ac:dyDescent="0.2">
      <c r="A30" s="153"/>
      <c r="B30" s="136" t="s">
        <v>2063</v>
      </c>
      <c r="C30" s="124" t="s">
        <v>1164</v>
      </c>
      <c r="D30" s="28"/>
      <c r="E30" s="28"/>
      <c r="F30" s="140"/>
      <c r="G30" s="114"/>
      <c r="H30" s="114"/>
      <c r="I30" s="54"/>
      <c r="J30" s="102"/>
      <c r="K30" s="28" t="s">
        <v>576</v>
      </c>
      <c r="L30" s="148" t="s">
        <v>2063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2069</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2070</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2071</v>
      </c>
      <c r="B42" s="1960"/>
      <c r="C42" s="1961"/>
      <c r="D42" s="1959" t="s">
        <v>2072</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4"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2073</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7" sqref="J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35419313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1.7739399999999999E-2</v>
      </c>
      <c r="E10" s="356" t="s">
        <v>1005</v>
      </c>
      <c r="F10" s="355">
        <v>2.4914999999999998E-3</v>
      </c>
      <c r="G10" s="356" t="s">
        <v>1005</v>
      </c>
      <c r="H10" s="355">
        <v>1.196E-3</v>
      </c>
      <c r="I10" s="356" t="s">
        <v>1006</v>
      </c>
      <c r="J10" s="1732">
        <f>ROUND(D10+F10+H10,5)</f>
        <v>2.1430000000000001E-2</v>
      </c>
      <c r="K10" s="222"/>
      <c r="L10" s="355">
        <v>4.9830000000000002E-4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1916869</v>
      </c>
      <c r="E16" s="356"/>
      <c r="F16" s="1733">
        <f>SUM('Acct Summary 7-8'!C17,'Acct Summary 7-8'!D17,'Acct Summary 7-8'!F17)</f>
        <v>1979285</v>
      </c>
      <c r="G16" s="356"/>
      <c r="H16" s="1733">
        <f>SUM(D16-F16)</f>
        <v>-62416</v>
      </c>
      <c r="I16" s="222"/>
      <c r="J16" s="1733">
        <f>SUM('Acct Summary 7-8'!C81,'Acct Summary 7-8'!D81,'Acct Summary 7-8'!F81,'Acct Summary 7-8'!I81)</f>
        <v>1070946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586</v>
      </c>
      <c r="D31" s="237" t="s">
        <v>1072</v>
      </c>
      <c r="E31" s="222"/>
      <c r="F31" s="222"/>
      <c r="G31" s="363"/>
      <c r="H31" s="1735">
        <f>IF(B31="X",(J7*0.069),IF(B32="X",(J7*0.138),"Enter x in a.or b."))</f>
        <v>2443932.5970000001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Ladd CCSD 94</v>
      </c>
      <c r="E7" s="391"/>
      <c r="G7" s="252"/>
      <c r="H7" s="387"/>
      <c r="I7" s="387"/>
      <c r="J7" s="387"/>
      <c r="K7" s="387"/>
      <c r="L7" s="329"/>
      <c r="M7" s="329"/>
      <c r="N7" s="329"/>
      <c r="O7" s="329"/>
      <c r="P7" s="329"/>
    </row>
    <row r="8" spans="1:18" ht="12.75" x14ac:dyDescent="0.2">
      <c r="A8" s="329"/>
      <c r="B8" s="329"/>
      <c r="C8" s="389" t="s">
        <v>1125</v>
      </c>
      <c r="D8" s="392">
        <f>COVER!A13</f>
        <v>28006094004</v>
      </c>
      <c r="E8" s="393"/>
      <c r="G8" s="329"/>
      <c r="H8" s="329"/>
      <c r="I8" s="329"/>
      <c r="J8" s="329"/>
      <c r="K8" s="329"/>
      <c r="L8" s="329"/>
      <c r="M8" s="329"/>
      <c r="N8" s="329"/>
      <c r="O8" s="329"/>
      <c r="P8" s="329"/>
    </row>
    <row r="9" spans="1:18" ht="12.75" x14ac:dyDescent="0.2">
      <c r="A9" s="329"/>
      <c r="B9" s="329"/>
      <c r="C9" s="389" t="s">
        <v>713</v>
      </c>
      <c r="D9" s="394" t="str">
        <f>COVER!A15</f>
        <v>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1070946</v>
      </c>
      <c r="I12" s="404"/>
      <c r="J12" s="404"/>
      <c r="K12" s="405">
        <f>TRUNC((H12/H13*100000),5)/100000</f>
        <v>0.55869545590000003</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1916869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1979285</v>
      </c>
      <c r="I17" s="404"/>
      <c r="J17" s="416"/>
      <c r="K17" s="405">
        <f>TRUNC((H17/H18*100000),5)/100000</f>
        <v>1.0325614322000001</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1916869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14.0870786</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1070971</v>
      </c>
      <c r="I24" s="422"/>
      <c r="J24" s="422"/>
      <c r="K24" s="423">
        <f>TRUNC(((H24/H25*100000)/100000),2)</f>
        <v>194.79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5498.0138900000002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645180.49595000001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685000</v>
      </c>
      <c r="I32" s="420"/>
      <c r="J32" s="420"/>
      <c r="K32" s="423">
        <f>TRUNC(100-((((H32/H33*100))*100)/100),2)</f>
        <v>71.97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2443932.5970000001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f>-170+426080</f>
        <v>425910</v>
      </c>
      <c r="D4" s="466">
        <v>32597</v>
      </c>
      <c r="E4" s="466">
        <v>38207</v>
      </c>
      <c r="F4" s="466">
        <v>109181</v>
      </c>
      <c r="G4" s="466">
        <f>170+107081</f>
        <v>107251</v>
      </c>
      <c r="H4" s="466"/>
      <c r="I4" s="466">
        <v>503283</v>
      </c>
      <c r="J4" s="467">
        <v>200602</v>
      </c>
      <c r="K4" s="466">
        <v>69158</v>
      </c>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425910</v>
      </c>
      <c r="D13" s="1737">
        <f t="shared" ref="D13:L13" si="0">SUM(D4:D12)</f>
        <v>32597</v>
      </c>
      <c r="E13" s="1737">
        <f t="shared" si="0"/>
        <v>38207</v>
      </c>
      <c r="F13" s="1737">
        <f t="shared" si="0"/>
        <v>109181</v>
      </c>
      <c r="G13" s="1737">
        <f t="shared" si="0"/>
        <v>107251</v>
      </c>
      <c r="H13" s="1737">
        <f t="shared" si="0"/>
        <v>0</v>
      </c>
      <c r="I13" s="1737">
        <f t="shared" si="0"/>
        <v>503283</v>
      </c>
      <c r="J13" s="1737">
        <f t="shared" si="0"/>
        <v>200602</v>
      </c>
      <c r="K13" s="1737">
        <f t="shared" si="0"/>
        <v>69158</v>
      </c>
      <c r="L13" s="1737">
        <f t="shared" si="0"/>
        <v>0</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34890</v>
      </c>
      <c r="N16" s="484"/>
    </row>
    <row r="17" spans="1:14" s="485" customFormat="1" ht="12.75" customHeight="1" x14ac:dyDescent="0.2">
      <c r="A17" s="482" t="s">
        <v>1403</v>
      </c>
      <c r="B17" s="483">
        <v>230</v>
      </c>
      <c r="C17" s="477"/>
      <c r="D17" s="477"/>
      <c r="E17" s="477"/>
      <c r="F17" s="477"/>
      <c r="G17" s="477"/>
      <c r="H17" s="477"/>
      <c r="I17" s="477"/>
      <c r="J17" s="477"/>
      <c r="K17" s="477"/>
      <c r="L17" s="477"/>
      <c r="M17" s="467">
        <v>5969082</v>
      </c>
      <c r="N17" s="484"/>
    </row>
    <row r="18" spans="1:14" s="485" customFormat="1" ht="12.75" customHeight="1" x14ac:dyDescent="0.2">
      <c r="A18" s="482" t="s">
        <v>1404</v>
      </c>
      <c r="B18" s="483">
        <v>240</v>
      </c>
      <c r="C18" s="477"/>
      <c r="D18" s="477"/>
      <c r="E18" s="477"/>
      <c r="F18" s="477"/>
      <c r="G18" s="477"/>
      <c r="H18" s="477"/>
      <c r="I18" s="477"/>
      <c r="J18" s="477"/>
      <c r="K18" s="477"/>
      <c r="L18" s="477"/>
      <c r="M18" s="467">
        <v>140016</v>
      </c>
      <c r="N18" s="484"/>
    </row>
    <row r="19" spans="1:14" s="485" customFormat="1" ht="12.75" customHeight="1" x14ac:dyDescent="0.2">
      <c r="A19" s="482" t="s">
        <v>1405</v>
      </c>
      <c r="B19" s="483">
        <v>250</v>
      </c>
      <c r="C19" s="477"/>
      <c r="D19" s="477"/>
      <c r="E19" s="477"/>
      <c r="F19" s="477"/>
      <c r="G19" s="477"/>
      <c r="H19" s="477"/>
      <c r="I19" s="477"/>
      <c r="J19" s="477"/>
      <c r="K19" s="477"/>
      <c r="L19" s="477"/>
      <c r="M19" s="467">
        <f>368341+131755</f>
        <v>500096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38207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646793</v>
      </c>
    </row>
    <row r="23" spans="1:14" ht="13.5" customHeight="1" thickBot="1" x14ac:dyDescent="0.25">
      <c r="A23" s="1736" t="s">
        <v>643</v>
      </c>
      <c r="B23" s="1741"/>
      <c r="C23" s="468"/>
      <c r="D23" s="468"/>
      <c r="E23" s="468"/>
      <c r="F23" s="468"/>
      <c r="G23" s="468"/>
      <c r="H23" s="468"/>
      <c r="I23" s="468"/>
      <c r="J23" s="468"/>
      <c r="K23" s="468"/>
      <c r="L23" s="468"/>
      <c r="M23" s="1688">
        <f>SUM(M15:M22)</f>
        <v>6644084</v>
      </c>
      <c r="N23" s="1688">
        <f>SUM(N21:N22)</f>
        <v>685000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25</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25</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685000</v>
      </c>
    </row>
    <row r="37" spans="1:14" ht="13.5" thickBot="1" x14ac:dyDescent="0.25">
      <c r="A37" s="1736" t="s">
        <v>653</v>
      </c>
      <c r="B37" s="1741"/>
      <c r="C37" s="477"/>
      <c r="D37" s="477"/>
      <c r="E37" s="477"/>
      <c r="F37" s="477"/>
      <c r="G37" s="477"/>
      <c r="H37" s="477"/>
      <c r="I37" s="477"/>
      <c r="J37" s="477"/>
      <c r="K37" s="477"/>
      <c r="L37" s="480"/>
      <c r="M37" s="468"/>
      <c r="N37" s="1688">
        <f>SUM(N36:N36)</f>
        <v>685000</v>
      </c>
    </row>
    <row r="38" spans="1:14" s="329" customFormat="1" ht="13.5" customHeight="1" thickTop="1" x14ac:dyDescent="0.2">
      <c r="A38" s="496" t="s">
        <v>420</v>
      </c>
      <c r="B38" s="483">
        <v>714</v>
      </c>
      <c r="C38" s="466"/>
      <c r="D38" s="466"/>
      <c r="E38" s="466"/>
      <c r="F38" s="466"/>
      <c r="G38" s="466">
        <v>7843</v>
      </c>
      <c r="H38" s="466"/>
      <c r="I38" s="466"/>
      <c r="J38" s="467"/>
      <c r="K38" s="466"/>
      <c r="L38" s="481"/>
      <c r="M38" s="497"/>
      <c r="N38" s="497"/>
    </row>
    <row r="39" spans="1:14" s="329" customFormat="1" ht="13.5" customHeight="1" x14ac:dyDescent="0.2">
      <c r="A39" s="496" t="s">
        <v>342</v>
      </c>
      <c r="B39" s="483">
        <v>730</v>
      </c>
      <c r="C39" s="466">
        <f>426080-25-170</f>
        <v>425885</v>
      </c>
      <c r="D39" s="466">
        <v>32597</v>
      </c>
      <c r="E39" s="466">
        <v>38207</v>
      </c>
      <c r="F39" s="466">
        <v>109181</v>
      </c>
      <c r="G39" s="466">
        <f>170+107081-7843</f>
        <v>99408</v>
      </c>
      <c r="H39" s="466"/>
      <c r="I39" s="466">
        <v>503283</v>
      </c>
      <c r="J39" s="467">
        <v>200602</v>
      </c>
      <c r="K39" s="466">
        <v>69158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6644084</v>
      </c>
      <c r="N40" s="497"/>
    </row>
    <row r="41" spans="1:14" ht="13.5" customHeight="1" thickBot="1" x14ac:dyDescent="0.25">
      <c r="A41" s="1736" t="s">
        <v>655</v>
      </c>
      <c r="B41" s="1706"/>
      <c r="C41" s="1688">
        <f>(SUM(C34,C37,C38,C39))</f>
        <v>425910</v>
      </c>
      <c r="D41" s="1688">
        <f t="shared" ref="D41:L41" si="2">SUM(D34,D37,D38:D39)</f>
        <v>32597</v>
      </c>
      <c r="E41" s="1688">
        <f t="shared" si="2"/>
        <v>38207</v>
      </c>
      <c r="F41" s="1688">
        <f t="shared" si="2"/>
        <v>109181</v>
      </c>
      <c r="G41" s="1688">
        <f t="shared" si="2"/>
        <v>107251</v>
      </c>
      <c r="H41" s="1688">
        <f t="shared" si="2"/>
        <v>0</v>
      </c>
      <c r="I41" s="1688">
        <f t="shared" si="2"/>
        <v>503283</v>
      </c>
      <c r="J41" s="1688">
        <f t="shared" si="2"/>
        <v>200602</v>
      </c>
      <c r="K41" s="1688">
        <f t="shared" si="2"/>
        <v>69158</v>
      </c>
      <c r="L41" s="1688">
        <f t="shared" si="2"/>
        <v>0</v>
      </c>
      <c r="M41" s="1688">
        <f>SUM(M40)</f>
        <v>6644084</v>
      </c>
      <c r="N41" s="1688">
        <f>SUM(N37)</f>
        <v>685000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accompanying notes are an integral part of these financial satements.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867758</v>
      </c>
      <c r="D4" s="1742">
        <f>'Revenues 9-14'!D109</f>
        <v>113097</v>
      </c>
      <c r="E4" s="1742">
        <f>'Revenues 9-14'!E109</f>
        <v>206670</v>
      </c>
      <c r="F4" s="1742">
        <f>'Revenues 9-14'!F109</f>
        <v>46498</v>
      </c>
      <c r="G4" s="1742">
        <f>'Revenues 9-14'!G109</f>
        <v>48258</v>
      </c>
      <c r="H4" s="1742">
        <f>'Revenues 9-14'!H109</f>
        <v>0</v>
      </c>
      <c r="I4" s="1742">
        <f>'Revenues 9-14'!I109</f>
        <v>19595</v>
      </c>
      <c r="J4" s="1742">
        <f>'Revenues 9-14'!J109</f>
        <v>60375</v>
      </c>
      <c r="K4" s="1742">
        <f>'Revenues 9-14'!K109</f>
        <v>18543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526156</v>
      </c>
      <c r="D6" s="1743">
        <f>'Revenues 9-14'!D170</f>
        <v>0</v>
      </c>
      <c r="E6" s="1743">
        <f>'Revenues 9-14'!E170</f>
        <v>0</v>
      </c>
      <c r="F6" s="1743">
        <f>'Revenues 9-14'!F170</f>
        <v>128244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215521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1609435</v>
      </c>
      <c r="D8" s="1688">
        <f t="shared" ref="D8:K8" si="0">SUM(D4:D7)</f>
        <v>113097</v>
      </c>
      <c r="E8" s="1688">
        <f t="shared" si="0"/>
        <v>206670</v>
      </c>
      <c r="F8" s="1688">
        <f t="shared" si="0"/>
        <v>174742</v>
      </c>
      <c r="G8" s="1688">
        <f t="shared" si="0"/>
        <v>48258</v>
      </c>
      <c r="H8" s="1688">
        <f t="shared" si="0"/>
        <v>0</v>
      </c>
      <c r="I8" s="1688">
        <f t="shared" si="0"/>
        <v>19595</v>
      </c>
      <c r="J8" s="1688">
        <f t="shared" si="0"/>
        <v>60375</v>
      </c>
      <c r="K8" s="1688">
        <f t="shared" si="0"/>
        <v>18543</v>
      </c>
      <c r="L8" s="347"/>
    </row>
    <row r="9" spans="1:13" ht="15.75" thickTop="1" x14ac:dyDescent="0.2">
      <c r="A9" s="514" t="s">
        <v>1653</v>
      </c>
      <c r="B9" s="515">
        <v>3998</v>
      </c>
      <c r="C9" s="481">
        <f>615960+10985</f>
        <v>626945</v>
      </c>
      <c r="D9" s="516"/>
      <c r="E9" s="481"/>
      <c r="F9" s="481"/>
      <c r="G9" s="517"/>
      <c r="H9" s="481"/>
      <c r="I9" s="509" t="s">
        <v>1169</v>
      </c>
      <c r="J9" s="478"/>
      <c r="K9" s="481"/>
      <c r="L9" s="347"/>
    </row>
    <row r="10" spans="1:13" s="519" customFormat="1" ht="13.5" thickBot="1" x14ac:dyDescent="0.25">
      <c r="A10" s="1736" t="s">
        <v>1173</v>
      </c>
      <c r="B10" s="1709"/>
      <c r="C10" s="1688">
        <f>SUM(C8:C9)</f>
        <v>2236380</v>
      </c>
      <c r="D10" s="1688">
        <f t="shared" ref="D10:K10" si="1">SUM(D8:D9)</f>
        <v>113097</v>
      </c>
      <c r="E10" s="1688">
        <f t="shared" si="1"/>
        <v>206670</v>
      </c>
      <c r="F10" s="1688">
        <f t="shared" si="1"/>
        <v>174742</v>
      </c>
      <c r="G10" s="1688">
        <f t="shared" si="1"/>
        <v>48258</v>
      </c>
      <c r="H10" s="1688">
        <f t="shared" si="1"/>
        <v>0</v>
      </c>
      <c r="I10" s="1688">
        <f t="shared" si="1"/>
        <v>19595</v>
      </c>
      <c r="J10" s="1688">
        <f t="shared" si="1"/>
        <v>60375</v>
      </c>
      <c r="K10" s="1688">
        <f t="shared" si="1"/>
        <v>18543</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1007233</v>
      </c>
      <c r="D12" s="520" t="s">
        <v>1169</v>
      </c>
      <c r="E12" s="468" t="s">
        <v>1169</v>
      </c>
      <c r="F12" s="468" t="s">
        <v>1169</v>
      </c>
      <c r="G12" s="1742">
        <f>'Expenditures 15-22'!K229</f>
        <v>15907</v>
      </c>
      <c r="H12" s="521"/>
      <c r="I12" s="468" t="s">
        <v>1169</v>
      </c>
      <c r="J12" s="468" t="s">
        <v>1169</v>
      </c>
      <c r="K12" s="521" t="s">
        <v>1169</v>
      </c>
      <c r="L12" s="347"/>
    </row>
    <row r="13" spans="1:13" ht="15.75" customHeight="1" x14ac:dyDescent="0.2">
      <c r="A13" s="1576" t="s">
        <v>457</v>
      </c>
      <c r="B13" s="1578">
        <v>2000</v>
      </c>
      <c r="C13" s="1743">
        <f>'Expenditures 15-22'!K74</f>
        <v>539773</v>
      </c>
      <c r="D13" s="1743">
        <f>'Expenditures 15-22'!K129</f>
        <v>213057</v>
      </c>
      <c r="E13" s="469" t="s">
        <v>1169</v>
      </c>
      <c r="F13" s="1743">
        <f>'Expenditures 15-22'!K184</f>
        <v>165713</v>
      </c>
      <c r="G13" s="1743">
        <f>'Expenditures 15-22'!K279</f>
        <v>27276</v>
      </c>
      <c r="H13" s="1743">
        <f>'Expenditures 15-22'!K303</f>
        <v>0</v>
      </c>
      <c r="I13" s="468" t="s">
        <v>1169</v>
      </c>
      <c r="J13" s="1743">
        <f>'Expenditures 15-22'!K330</f>
        <v>31848</v>
      </c>
      <c r="K13" s="1747">
        <f>'Expenditures 15-22'!K352</f>
        <v>6200</v>
      </c>
      <c r="L13" s="347"/>
    </row>
    <row r="14" spans="1:13" ht="15.75" customHeight="1" x14ac:dyDescent="0.2">
      <c r="A14" s="1576" t="s">
        <v>449</v>
      </c>
      <c r="B14" s="1578">
        <v>3000</v>
      </c>
      <c r="C14" s="1743">
        <f>'Expenditures 15-22'!K75</f>
        <v>1452</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52057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208439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1600515</v>
      </c>
      <c r="D17" s="1688">
        <f t="shared" si="2"/>
        <v>213057</v>
      </c>
      <c r="E17" s="1688">
        <f t="shared" si="2"/>
        <v>208439</v>
      </c>
      <c r="F17" s="1688">
        <f t="shared" si="2"/>
        <v>165713</v>
      </c>
      <c r="G17" s="1688">
        <f t="shared" si="2"/>
        <v>43183</v>
      </c>
      <c r="H17" s="1688">
        <f t="shared" si="2"/>
        <v>0</v>
      </c>
      <c r="I17" s="468"/>
      <c r="J17" s="1688">
        <f>SUM(J12:J16)</f>
        <v>31848</v>
      </c>
      <c r="K17" s="1688">
        <f>SUM(K12:K16)</f>
        <v>6200</v>
      </c>
      <c r="L17" s="347"/>
    </row>
    <row r="18" spans="1:12" ht="15" customHeight="1" thickTop="1" x14ac:dyDescent="0.2">
      <c r="A18" s="1744" t="s">
        <v>1654</v>
      </c>
      <c r="B18" s="1745">
        <v>4180</v>
      </c>
      <c r="C18" s="1742">
        <f t="shared" ref="C18:H18" si="3">C9</f>
        <v>626945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2227460</v>
      </c>
      <c r="D19" s="1688">
        <f t="shared" si="4"/>
        <v>213057</v>
      </c>
      <c r="E19" s="1688">
        <f t="shared" si="4"/>
        <v>208439</v>
      </c>
      <c r="F19" s="1688">
        <f t="shared" si="4"/>
        <v>165713</v>
      </c>
      <c r="G19" s="1688">
        <f t="shared" si="4"/>
        <v>43183</v>
      </c>
      <c r="H19" s="1688">
        <f t="shared" si="4"/>
        <v>0</v>
      </c>
      <c r="I19" s="468"/>
      <c r="J19" s="1688">
        <f>SUM(J17:J18)</f>
        <v>31848</v>
      </c>
      <c r="K19" s="1688">
        <f>SUM(K17:K18)</f>
        <v>6200</v>
      </c>
      <c r="L19" s="347"/>
    </row>
    <row r="20" spans="1:12" ht="16.5" thickTop="1" thickBot="1" x14ac:dyDescent="0.25">
      <c r="A20" s="2125" t="s">
        <v>1655</v>
      </c>
      <c r="B20" s="2126"/>
      <c r="C20" s="1746">
        <f>C8-C17</f>
        <v>8920</v>
      </c>
      <c r="D20" s="1746">
        <f t="shared" ref="D20:K20" si="5">D8-D17</f>
        <v>-99960</v>
      </c>
      <c r="E20" s="1746">
        <f t="shared" si="5"/>
        <v>-1769</v>
      </c>
      <c r="F20" s="1746">
        <f t="shared" si="5"/>
        <v>9029</v>
      </c>
      <c r="G20" s="1746">
        <f t="shared" si="5"/>
        <v>5075</v>
      </c>
      <c r="H20" s="1746">
        <f t="shared" si="5"/>
        <v>0</v>
      </c>
      <c r="I20" s="1746">
        <f t="shared" si="5"/>
        <v>19595</v>
      </c>
      <c r="J20" s="1746">
        <f t="shared" si="5"/>
        <v>28527</v>
      </c>
      <c r="K20" s="1746">
        <f t="shared" si="5"/>
        <v>12343</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47170</v>
      </c>
      <c r="E25" s="467"/>
      <c r="F25" s="467">
        <v>35000</v>
      </c>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47170</v>
      </c>
      <c r="E44" s="1703">
        <f t="shared" si="6"/>
        <v>0</v>
      </c>
      <c r="F44" s="1703">
        <f t="shared" si="6"/>
        <v>35000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82170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82170</v>
      </c>
      <c r="J76" s="1703">
        <f t="shared" si="7"/>
        <v>0</v>
      </c>
      <c r="K76" s="1703">
        <f t="shared" si="7"/>
        <v>0</v>
      </c>
      <c r="L76" s="524"/>
    </row>
    <row r="77" spans="1:12" ht="14.25" thickTop="1" thickBot="1" x14ac:dyDescent="0.25">
      <c r="A77" s="2117" t="s">
        <v>1177</v>
      </c>
      <c r="B77" s="2118"/>
      <c r="C77" s="1703">
        <f t="shared" ref="C77:K77" si="8">C44-C76</f>
        <v>0</v>
      </c>
      <c r="D77" s="1703">
        <f t="shared" si="8"/>
        <v>47170</v>
      </c>
      <c r="E77" s="1703">
        <f t="shared" si="8"/>
        <v>0</v>
      </c>
      <c r="F77" s="1703">
        <f t="shared" si="8"/>
        <v>35000</v>
      </c>
      <c r="G77" s="1703">
        <f t="shared" si="8"/>
        <v>0</v>
      </c>
      <c r="H77" s="1703">
        <f t="shared" si="8"/>
        <v>0</v>
      </c>
      <c r="I77" s="1703">
        <f t="shared" si="8"/>
        <v>-82170</v>
      </c>
      <c r="J77" s="1703">
        <f t="shared" si="8"/>
        <v>0</v>
      </c>
      <c r="K77" s="1703">
        <f t="shared" si="8"/>
        <v>0</v>
      </c>
      <c r="L77" s="347"/>
    </row>
    <row r="78" spans="1:12" ht="21.75" customHeight="1" thickTop="1" thickBot="1" x14ac:dyDescent="0.25">
      <c r="A78" s="2121" t="s">
        <v>597</v>
      </c>
      <c r="B78" s="2122"/>
      <c r="C78" s="1702">
        <f t="shared" ref="C78:K78" si="9">C20+C77</f>
        <v>8920</v>
      </c>
      <c r="D78" s="1702">
        <f t="shared" si="9"/>
        <v>-52790</v>
      </c>
      <c r="E78" s="1702">
        <f t="shared" si="9"/>
        <v>-1769</v>
      </c>
      <c r="F78" s="1702">
        <f t="shared" si="9"/>
        <v>44029</v>
      </c>
      <c r="G78" s="1702">
        <f t="shared" si="9"/>
        <v>5075</v>
      </c>
      <c r="H78" s="1702">
        <f t="shared" si="9"/>
        <v>0</v>
      </c>
      <c r="I78" s="1702">
        <f t="shared" si="9"/>
        <v>-62575</v>
      </c>
      <c r="J78" s="1702">
        <f t="shared" si="9"/>
        <v>28527</v>
      </c>
      <c r="K78" s="1702">
        <f t="shared" si="9"/>
        <v>12343</v>
      </c>
      <c r="L78" s="533"/>
    </row>
    <row r="79" spans="1:12" ht="13.5" thickTop="1" x14ac:dyDescent="0.2">
      <c r="A79" s="1494" t="s">
        <v>1948</v>
      </c>
      <c r="B79" s="534"/>
      <c r="C79" s="478">
        <v>416965</v>
      </c>
      <c r="D79" s="535">
        <v>85387</v>
      </c>
      <c r="E79" s="535">
        <v>39976</v>
      </c>
      <c r="F79" s="535">
        <v>65152</v>
      </c>
      <c r="G79" s="535">
        <v>102176</v>
      </c>
      <c r="H79" s="535"/>
      <c r="I79" s="535">
        <v>565858</v>
      </c>
      <c r="J79" s="535">
        <v>172075</v>
      </c>
      <c r="K79" s="535">
        <v>56815</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1949</v>
      </c>
      <c r="B81" s="2120"/>
      <c r="C81" s="1688">
        <f>(SUM(C78:C80))</f>
        <v>425885</v>
      </c>
      <c r="D81" s="1688">
        <f>SUM(D78:D80)</f>
        <v>32597</v>
      </c>
      <c r="E81" s="1688">
        <f t="shared" ref="E81:K81" si="10">SUM(E78:E80)</f>
        <v>38207</v>
      </c>
      <c r="F81" s="1688">
        <f t="shared" si="10"/>
        <v>109181</v>
      </c>
      <c r="G81" s="1688">
        <f t="shared" si="10"/>
        <v>107251</v>
      </c>
      <c r="H81" s="1688">
        <f t="shared" si="10"/>
        <v>0</v>
      </c>
      <c r="I81" s="1688">
        <f t="shared" si="10"/>
        <v>503283</v>
      </c>
      <c r="J81" s="1688">
        <f t="shared" si="10"/>
        <v>200602</v>
      </c>
      <c r="K81" s="1688">
        <f t="shared" si="10"/>
        <v>69158</v>
      </c>
      <c r="L81" s="347"/>
    </row>
    <row r="82" spans="1:12" ht="0.75" customHeight="1" thickTop="1" thickBot="1" x14ac:dyDescent="0.25">
      <c r="A82" s="536" t="s">
        <v>343</v>
      </c>
      <c r="B82" s="537"/>
      <c r="C82" s="538">
        <f>(C81-C79)</f>
        <v>8920</v>
      </c>
      <c r="D82" s="538">
        <f t="shared" ref="D82:K82" si="11">(D81-D79)</f>
        <v>-52790</v>
      </c>
      <c r="E82" s="538">
        <f t="shared" si="11"/>
        <v>-1769</v>
      </c>
      <c r="F82" s="538">
        <f t="shared" si="11"/>
        <v>44029</v>
      </c>
      <c r="G82" s="538">
        <f t="shared" si="11"/>
        <v>5075</v>
      </c>
      <c r="H82" s="538">
        <f t="shared" si="11"/>
        <v>0</v>
      </c>
      <c r="I82" s="538">
        <f t="shared" si="11"/>
        <v>-62575</v>
      </c>
      <c r="J82" s="538">
        <f t="shared" si="11"/>
        <v>28527</v>
      </c>
      <c r="K82" s="538">
        <f t="shared" si="11"/>
        <v>12343</v>
      </c>
    </row>
    <row r="83" spans="1:12" ht="14.25" hidden="1" thickTop="1" thickBot="1" x14ac:dyDescent="0.25">
      <c r="A83" s="539" t="s">
        <v>344</v>
      </c>
      <c r="B83" s="464"/>
      <c r="C83" s="540">
        <f>C82/C81</f>
        <v>2.0944621200558837E-2</v>
      </c>
      <c r="D83" s="540">
        <f t="shared" ref="D83:K83" si="12">D82/D81</f>
        <v>-1.6194741847409271</v>
      </c>
      <c r="E83" s="540">
        <f t="shared" si="12"/>
        <v>-4.6300416154107883E-2</v>
      </c>
      <c r="F83" s="540">
        <f t="shared" si="12"/>
        <v>0.40326613604931261</v>
      </c>
      <c r="G83" s="540">
        <f t="shared" si="12"/>
        <v>4.731890611742548E-2</v>
      </c>
      <c r="H83" s="540" t="e">
        <f t="shared" si="12"/>
        <v>#DIV/0!</v>
      </c>
      <c r="I83" s="540">
        <f t="shared" si="12"/>
        <v>-0.12433362541552169</v>
      </c>
      <c r="J83" s="540">
        <f t="shared" si="12"/>
        <v>0.14220695705925165</v>
      </c>
      <c r="K83" s="540">
        <f t="shared" si="12"/>
        <v>0.17847537522773937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accompanying notes are an integral part of these financial satements.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9" activePane="bottomLeft" state="frozen"/>
      <selection pane="bottomLeft" activeCell="C84" sqref="C8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655027</v>
      </c>
      <c r="D5" s="481">
        <v>92001</v>
      </c>
      <c r="E5" s="466">
        <v>206414</v>
      </c>
      <c r="F5" s="548">
        <v>44160</v>
      </c>
      <c r="G5" s="466">
        <v>11041</v>
      </c>
      <c r="H5" s="466"/>
      <c r="I5" s="466">
        <v>18400</v>
      </c>
      <c r="J5" s="467">
        <v>59984</v>
      </c>
      <c r="K5" s="466">
        <v>18400</v>
      </c>
    </row>
    <row r="6" spans="1:12" ht="15" x14ac:dyDescent="0.2">
      <c r="A6" s="463" t="s">
        <v>1662</v>
      </c>
      <c r="B6" s="470">
        <v>1130</v>
      </c>
      <c r="C6" s="466">
        <v>18400</v>
      </c>
      <c r="D6" s="466"/>
      <c r="E6" s="475"/>
      <c r="F6" s="475"/>
      <c r="G6" s="468"/>
      <c r="H6" s="468"/>
      <c r="I6" s="468"/>
      <c r="J6" s="468"/>
      <c r="K6" s="468"/>
    </row>
    <row r="7" spans="1:12" x14ac:dyDescent="0.2">
      <c r="A7" s="463" t="s">
        <v>110</v>
      </c>
      <c r="B7" s="549">
        <v>1140</v>
      </c>
      <c r="C7" s="466">
        <v>7363</v>
      </c>
      <c r="D7" s="466"/>
      <c r="E7" s="468"/>
      <c r="F7" s="467"/>
      <c r="G7" s="467"/>
      <c r="H7" s="467"/>
      <c r="I7" s="468"/>
      <c r="J7" s="468"/>
      <c r="K7" s="468"/>
    </row>
    <row r="8" spans="1:12" x14ac:dyDescent="0.2">
      <c r="A8" s="463" t="s">
        <v>413</v>
      </c>
      <c r="B8" s="470">
        <v>1150</v>
      </c>
      <c r="C8" s="475"/>
      <c r="D8" s="475"/>
      <c r="E8" s="477"/>
      <c r="F8" s="477"/>
      <c r="G8" s="481">
        <v>36800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680790</v>
      </c>
      <c r="D12" s="1707">
        <f t="shared" si="0"/>
        <v>92001</v>
      </c>
      <c r="E12" s="1707">
        <f t="shared" si="0"/>
        <v>206414</v>
      </c>
      <c r="F12" s="1707">
        <f t="shared" si="0"/>
        <v>44160</v>
      </c>
      <c r="G12" s="1707">
        <f t="shared" si="0"/>
        <v>47841</v>
      </c>
      <c r="H12" s="1707">
        <f t="shared" si="0"/>
        <v>0</v>
      </c>
      <c r="I12" s="1707">
        <f t="shared" si="0"/>
        <v>18400</v>
      </c>
      <c r="J12" s="1707">
        <f t="shared" si="0"/>
        <v>59984</v>
      </c>
      <c r="K12" s="1688">
        <f t="shared" si="0"/>
        <v>18400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f>-170+59941</f>
        <v>59771</v>
      </c>
      <c r="D16" s="466"/>
      <c r="E16" s="466"/>
      <c r="F16" s="466"/>
      <c r="G16" s="466">
        <v>170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59771</v>
      </c>
      <c r="D18" s="1710">
        <f t="shared" ref="D18:K18" si="1">SUM(D14:D17)</f>
        <v>0</v>
      </c>
      <c r="E18" s="1710">
        <f t="shared" si="1"/>
        <v>0</v>
      </c>
      <c r="F18" s="1710">
        <f t="shared" si="1"/>
        <v>0</v>
      </c>
      <c r="G18" s="1710">
        <f t="shared" si="1"/>
        <v>170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22200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22200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1988</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1988</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1827</v>
      </c>
      <c r="D65" s="466">
        <v>146</v>
      </c>
      <c r="E65" s="466">
        <v>256</v>
      </c>
      <c r="F65" s="467">
        <v>132</v>
      </c>
      <c r="G65" s="466">
        <v>247</v>
      </c>
      <c r="H65" s="466"/>
      <c r="I65" s="466">
        <v>1195</v>
      </c>
      <c r="J65" s="467">
        <v>391</v>
      </c>
      <c r="K65" s="466">
        <v>143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1827</v>
      </c>
      <c r="D67" s="1688">
        <f t="shared" ref="D67:K67" si="2">SUM(D65:D66)</f>
        <v>146</v>
      </c>
      <c r="E67" s="1688">
        <f t="shared" si="2"/>
        <v>256</v>
      </c>
      <c r="F67" s="1688">
        <f t="shared" si="2"/>
        <v>132</v>
      </c>
      <c r="G67" s="1688">
        <f t="shared" si="2"/>
        <v>247</v>
      </c>
      <c r="H67" s="1688">
        <f t="shared" si="2"/>
        <v>0</v>
      </c>
      <c r="I67" s="1688">
        <f t="shared" si="2"/>
        <v>1195</v>
      </c>
      <c r="J67" s="1688">
        <f t="shared" si="2"/>
        <v>391</v>
      </c>
      <c r="K67" s="1688">
        <f t="shared" si="2"/>
        <v>143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f>18+28069</f>
        <v>28087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1304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222</v>
      </c>
      <c r="D73" s="468"/>
      <c r="E73" s="468"/>
      <c r="F73" s="468"/>
      <c r="G73" s="468"/>
      <c r="H73" s="468"/>
      <c r="I73" s="468"/>
      <c r="J73" s="468"/>
      <c r="K73" s="468"/>
    </row>
    <row r="74" spans="1:11" ht="12.75" customHeight="1" x14ac:dyDescent="0.2">
      <c r="A74" s="463" t="s">
        <v>25</v>
      </c>
      <c r="B74" s="470">
        <v>1690</v>
      </c>
      <c r="C74" s="551">
        <v>66</v>
      </c>
      <c r="D74" s="468"/>
      <c r="E74" s="468"/>
      <c r="F74" s="468"/>
      <c r="G74" s="468"/>
      <c r="H74" s="468"/>
      <c r="I74" s="468"/>
      <c r="J74" s="468"/>
      <c r="K74" s="468"/>
    </row>
    <row r="75" spans="1:11" ht="12.75" customHeight="1" thickBot="1" x14ac:dyDescent="0.25">
      <c r="A75" s="1708" t="s">
        <v>548</v>
      </c>
      <c r="B75" s="1709"/>
      <c r="C75" s="1688">
        <f>SUM(C69:C74)</f>
        <v>29679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5762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5762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15765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15765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8603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21424</v>
      </c>
      <c r="D98" s="466"/>
      <c r="E98" s="512"/>
      <c r="F98" s="466"/>
      <c r="G98" s="512"/>
      <c r="H98" s="512"/>
      <c r="I98" s="510"/>
      <c r="J98" s="512"/>
      <c r="K98" s="512"/>
    </row>
    <row r="99" spans="1:12" ht="12.75" customHeight="1" x14ac:dyDescent="0.2">
      <c r="A99" s="463" t="s">
        <v>821</v>
      </c>
      <c r="B99" s="470">
        <v>1950</v>
      </c>
      <c r="C99" s="489">
        <v>126</v>
      </c>
      <c r="D99" s="466"/>
      <c r="E99" s="466"/>
      <c r="F99" s="466"/>
      <c r="G99" s="466"/>
      <c r="H99" s="466"/>
      <c r="I99" s="468"/>
      <c r="J99" s="467"/>
      <c r="K99" s="466"/>
    </row>
    <row r="100" spans="1:12" ht="12.75" customHeight="1" x14ac:dyDescent="0.2">
      <c r="A100" s="463" t="s">
        <v>245</v>
      </c>
      <c r="B100" s="470">
        <v>1960</v>
      </c>
      <c r="C100" s="489">
        <v>8478</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13333</v>
      </c>
      <c r="D107" s="466">
        <v>20950</v>
      </c>
      <c r="E107" s="466"/>
      <c r="F107" s="466">
        <v>218</v>
      </c>
      <c r="G107" s="466"/>
      <c r="H107" s="466"/>
      <c r="I107" s="466"/>
      <c r="J107" s="467"/>
      <c r="K107" s="466"/>
    </row>
    <row r="108" spans="1:12" ht="12.75" customHeight="1" thickBot="1" x14ac:dyDescent="0.25">
      <c r="A108" s="1708" t="s">
        <v>487</v>
      </c>
      <c r="B108" s="1712"/>
      <c r="C108" s="1707">
        <f>SUM(C95:C107)</f>
        <v>51964</v>
      </c>
      <c r="D108" s="1707">
        <f t="shared" ref="D108:K108" si="3">SUM(D95:D107)</f>
        <v>20950</v>
      </c>
      <c r="E108" s="1707">
        <f t="shared" si="3"/>
        <v>0</v>
      </c>
      <c r="F108" s="1707">
        <f t="shared" si="3"/>
        <v>218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867758</v>
      </c>
      <c r="D109" s="1715">
        <f t="shared" si="4"/>
        <v>113097</v>
      </c>
      <c r="E109" s="1715">
        <f t="shared" si="4"/>
        <v>206670</v>
      </c>
      <c r="F109" s="1715">
        <f t="shared" si="4"/>
        <v>46498</v>
      </c>
      <c r="G109" s="1715">
        <f t="shared" si="4"/>
        <v>48258</v>
      </c>
      <c r="H109" s="1715">
        <f t="shared" si="4"/>
        <v>0</v>
      </c>
      <c r="I109" s="1715">
        <f t="shared" si="4"/>
        <v>19595</v>
      </c>
      <c r="J109" s="1715">
        <f t="shared" si="4"/>
        <v>60375</v>
      </c>
      <c r="K109" s="1702">
        <f t="shared" si="4"/>
        <v>18543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479511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479511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20997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20997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1345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47528</v>
      </c>
      <c r="G152" s="467"/>
      <c r="H152" s="468"/>
      <c r="I152" s="468"/>
      <c r="J152" s="468"/>
      <c r="K152" s="468"/>
    </row>
    <row r="153" spans="1:11" ht="12.75" customHeight="1" x14ac:dyDescent="0.2">
      <c r="A153" s="463" t="s">
        <v>1057</v>
      </c>
      <c r="B153" s="562">
        <v>3510</v>
      </c>
      <c r="C153" s="551"/>
      <c r="D153" s="466"/>
      <c r="E153" s="561"/>
      <c r="F153" s="466">
        <v>80716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128244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24303</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46645</v>
      </c>
      <c r="D169" s="1722">
        <f t="shared" si="6"/>
        <v>0</v>
      </c>
      <c r="E169" s="1722">
        <f t="shared" si="6"/>
        <v>0</v>
      </c>
      <c r="F169" s="1722">
        <f t="shared" si="6"/>
        <v>128244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526156</v>
      </c>
      <c r="D170" s="1715">
        <f t="shared" si="7"/>
        <v>0</v>
      </c>
      <c r="E170" s="1715">
        <f t="shared" si="7"/>
        <v>0</v>
      </c>
      <c r="F170" s="1715">
        <f t="shared" si="7"/>
        <v>128244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20044</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20044</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48769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20221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68990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78232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78232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18395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4226</v>
      </c>
      <c r="D263" s="576"/>
      <c r="E263" s="468"/>
      <c r="F263" s="576"/>
      <c r="G263" s="576"/>
      <c r="H263" s="468"/>
      <c r="I263" s="468"/>
      <c r="J263" s="468"/>
      <c r="K263" s="468"/>
    </row>
    <row r="264" spans="1:11" ht="12.75" customHeight="1" thickTop="1" thickBot="1" x14ac:dyDescent="0.25">
      <c r="A264" s="463" t="s">
        <v>377</v>
      </c>
      <c r="B264" s="470">
        <v>4992</v>
      </c>
      <c r="C264" s="575">
        <v>25634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215521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215521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1609435</v>
      </c>
      <c r="D268" s="1715">
        <f t="shared" si="12"/>
        <v>113097</v>
      </c>
      <c r="E268" s="1715">
        <f t="shared" si="12"/>
        <v>206670</v>
      </c>
      <c r="F268" s="1715">
        <f t="shared" si="12"/>
        <v>174742</v>
      </c>
      <c r="G268" s="1715">
        <f t="shared" si="12"/>
        <v>48258</v>
      </c>
      <c r="H268" s="1715">
        <f t="shared" si="12"/>
        <v>0</v>
      </c>
      <c r="I268" s="1715">
        <f t="shared" si="12"/>
        <v>19595</v>
      </c>
      <c r="J268" s="1715">
        <f t="shared" si="12"/>
        <v>60375</v>
      </c>
      <c r="K268" s="1702">
        <f t="shared" si="12"/>
        <v>18543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 xml:space="preserve">&amp;L&amp;8Printed Date: &amp;D
&amp;F&amp;CThe accompanying notes are an integral part of these financial satements.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 activePane="bottomLeft" state="frozen"/>
      <selection pane="bottomLeft" activeCell="H23" sqref="H2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533790</v>
      </c>
      <c r="D5" s="466">
        <v>167727</v>
      </c>
      <c r="E5" s="466">
        <v>5191</v>
      </c>
      <c r="F5" s="466">
        <v>48603</v>
      </c>
      <c r="G5" s="466">
        <v>7130</v>
      </c>
      <c r="H5" s="466">
        <v>155</v>
      </c>
      <c r="I5" s="467"/>
      <c r="J5" s="467"/>
      <c r="K5" s="1671">
        <f>SUM(C5:J5)</f>
        <v>762596</v>
      </c>
      <c r="L5" s="466">
        <v>848779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50303</v>
      </c>
      <c r="D7" s="467">
        <v>23783</v>
      </c>
      <c r="E7" s="467">
        <v>29</v>
      </c>
      <c r="F7" s="467">
        <v>196</v>
      </c>
      <c r="G7" s="467"/>
      <c r="H7" s="467"/>
      <c r="I7" s="467"/>
      <c r="J7" s="467"/>
      <c r="K7" s="1671">
        <f t="shared" ref="K7:K32" si="0">SUM(C7:J7)</f>
        <v>74311</v>
      </c>
      <c r="L7" s="466"/>
    </row>
    <row r="8" spans="1:14" x14ac:dyDescent="0.2">
      <c r="A8" s="1504" t="s">
        <v>164</v>
      </c>
      <c r="B8" s="614">
        <v>1200</v>
      </c>
      <c r="C8" s="466">
        <v>100940</v>
      </c>
      <c r="D8" s="466">
        <v>32808</v>
      </c>
      <c r="E8" s="466"/>
      <c r="F8" s="466">
        <v>404</v>
      </c>
      <c r="G8" s="466"/>
      <c r="H8" s="466"/>
      <c r="I8" s="467"/>
      <c r="J8" s="467"/>
      <c r="K8" s="1671">
        <f t="shared" si="0"/>
        <v>134152</v>
      </c>
      <c r="L8" s="466">
        <v>138320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17466</v>
      </c>
      <c r="D14" s="466">
        <v>150</v>
      </c>
      <c r="E14" s="466">
        <v>3620</v>
      </c>
      <c r="F14" s="466">
        <v>1629</v>
      </c>
      <c r="G14" s="466"/>
      <c r="H14" s="466">
        <v>1520</v>
      </c>
      <c r="I14" s="467"/>
      <c r="J14" s="467"/>
      <c r="K14" s="1671">
        <f t="shared" si="0"/>
        <v>24385</v>
      </c>
      <c r="L14" s="466">
        <v>25072</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11789</v>
      </c>
      <c r="I22" s="616"/>
      <c r="J22" s="477"/>
      <c r="K22" s="1671">
        <f t="shared" si="0"/>
        <v>11789</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702499</v>
      </c>
      <c r="D33" s="1670">
        <f t="shared" ref="D33:L33" si="1">SUM(D5:D32)</f>
        <v>224468</v>
      </c>
      <c r="E33" s="1670">
        <f t="shared" si="1"/>
        <v>8840</v>
      </c>
      <c r="F33" s="1670">
        <f t="shared" si="1"/>
        <v>50832</v>
      </c>
      <c r="G33" s="1670">
        <f t="shared" si="1"/>
        <v>7130</v>
      </c>
      <c r="H33" s="1670">
        <f t="shared" si="1"/>
        <v>13464</v>
      </c>
      <c r="I33" s="1670">
        <f t="shared" si="1"/>
        <v>0</v>
      </c>
      <c r="J33" s="1670">
        <f t="shared" si="1"/>
        <v>0</v>
      </c>
      <c r="K33" s="1670">
        <f t="shared" si="1"/>
        <v>1007233</v>
      </c>
      <c r="L33" s="1670">
        <f t="shared" si="1"/>
        <v>1012171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v>775</v>
      </c>
      <c r="F38" s="466"/>
      <c r="G38" s="466"/>
      <c r="H38" s="466"/>
      <c r="I38" s="467"/>
      <c r="J38" s="467"/>
      <c r="K38" s="1671">
        <f t="shared" si="2"/>
        <v>775</v>
      </c>
      <c r="L38" s="466">
        <v>775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43160</v>
      </c>
      <c r="F40" s="466">
        <v>195</v>
      </c>
      <c r="G40" s="466"/>
      <c r="H40" s="466"/>
      <c r="I40" s="467"/>
      <c r="J40" s="467"/>
      <c r="K40" s="1671">
        <f t="shared" si="2"/>
        <v>43355</v>
      </c>
      <c r="L40" s="466">
        <v>49200</v>
      </c>
    </row>
    <row r="41" spans="1:14" x14ac:dyDescent="0.2">
      <c r="A41" s="1504" t="s">
        <v>1669</v>
      </c>
      <c r="B41" s="614">
        <v>2190</v>
      </c>
      <c r="C41" s="466"/>
      <c r="D41" s="466"/>
      <c r="E41" s="466"/>
      <c r="F41" s="466">
        <v>24</v>
      </c>
      <c r="G41" s="466"/>
      <c r="H41" s="466"/>
      <c r="I41" s="467"/>
      <c r="J41" s="467"/>
      <c r="K41" s="1671">
        <f t="shared" si="2"/>
        <v>24</v>
      </c>
      <c r="L41" s="466"/>
    </row>
    <row r="42" spans="1:14" ht="12.75" customHeight="1" thickBot="1" x14ac:dyDescent="0.25">
      <c r="A42" s="1668" t="s">
        <v>560</v>
      </c>
      <c r="B42" s="1669" t="s">
        <v>716</v>
      </c>
      <c r="C42" s="1670">
        <f>SUM(C36:C41)</f>
        <v>0</v>
      </c>
      <c r="D42" s="1670">
        <f t="shared" ref="D42:L42" si="3">SUM(D36:D41)</f>
        <v>0</v>
      </c>
      <c r="E42" s="1670">
        <f t="shared" si="3"/>
        <v>43935</v>
      </c>
      <c r="F42" s="1670">
        <f t="shared" si="3"/>
        <v>219</v>
      </c>
      <c r="G42" s="1670">
        <f t="shared" si="3"/>
        <v>0</v>
      </c>
      <c r="H42" s="1670">
        <f t="shared" si="3"/>
        <v>0</v>
      </c>
      <c r="I42" s="1670">
        <f t="shared" si="3"/>
        <v>0</v>
      </c>
      <c r="J42" s="1670">
        <f t="shared" si="3"/>
        <v>0</v>
      </c>
      <c r="K42" s="1670">
        <f t="shared" si="3"/>
        <v>44154</v>
      </c>
      <c r="L42" s="1670">
        <f t="shared" si="3"/>
        <v>49975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1125</v>
      </c>
      <c r="D44" s="481">
        <v>1500</v>
      </c>
      <c r="E44" s="481">
        <v>4971</v>
      </c>
      <c r="F44" s="481"/>
      <c r="G44" s="481"/>
      <c r="H44" s="481"/>
      <c r="I44" s="467"/>
      <c r="J44" s="467"/>
      <c r="K44" s="1672">
        <f>SUM(C44:J44)</f>
        <v>7596</v>
      </c>
      <c r="L44" s="481">
        <v>11093</v>
      </c>
    </row>
    <row r="45" spans="1:14" x14ac:dyDescent="0.2">
      <c r="A45" s="1504" t="s">
        <v>815</v>
      </c>
      <c r="B45" s="614">
        <v>2220</v>
      </c>
      <c r="C45" s="466"/>
      <c r="D45" s="466"/>
      <c r="E45" s="466">
        <f>-9500+46412</f>
        <v>36912</v>
      </c>
      <c r="F45" s="466">
        <v>1513</v>
      </c>
      <c r="G45" s="466">
        <v>9500</v>
      </c>
      <c r="H45" s="466"/>
      <c r="I45" s="467"/>
      <c r="J45" s="467"/>
      <c r="K45" s="1672">
        <f>SUM(C45:J45)</f>
        <v>47925</v>
      </c>
      <c r="L45" s="466">
        <v>51210</v>
      </c>
    </row>
    <row r="46" spans="1:14" x14ac:dyDescent="0.2">
      <c r="A46" s="1504" t="s">
        <v>816</v>
      </c>
      <c r="B46" s="614">
        <v>2230</v>
      </c>
      <c r="C46" s="466"/>
      <c r="D46" s="466"/>
      <c r="E46" s="466">
        <v>3220</v>
      </c>
      <c r="F46" s="466"/>
      <c r="G46" s="466"/>
      <c r="H46" s="466"/>
      <c r="I46" s="467"/>
      <c r="J46" s="467"/>
      <c r="K46" s="1672">
        <f>SUM(C46:J46)</f>
        <v>3220</v>
      </c>
      <c r="L46" s="466">
        <v>3220</v>
      </c>
    </row>
    <row r="47" spans="1:14" ht="12.75" customHeight="1" thickBot="1" x14ac:dyDescent="0.25">
      <c r="A47" s="1668" t="s">
        <v>561</v>
      </c>
      <c r="B47" s="1669" t="s">
        <v>32</v>
      </c>
      <c r="C47" s="1670">
        <f>SUM(C44:C46)</f>
        <v>1125</v>
      </c>
      <c r="D47" s="1670">
        <f t="shared" ref="D47:K47" si="4">SUM(D44:D46)</f>
        <v>1500</v>
      </c>
      <c r="E47" s="1670">
        <f t="shared" si="4"/>
        <v>45103</v>
      </c>
      <c r="F47" s="1670">
        <f t="shared" si="4"/>
        <v>1513</v>
      </c>
      <c r="G47" s="1670">
        <f t="shared" si="4"/>
        <v>9500</v>
      </c>
      <c r="H47" s="1670">
        <f t="shared" si="4"/>
        <v>0</v>
      </c>
      <c r="I47" s="1670">
        <f t="shared" si="4"/>
        <v>0</v>
      </c>
      <c r="J47" s="1670">
        <f t="shared" si="4"/>
        <v>0</v>
      </c>
      <c r="K47" s="1670">
        <f t="shared" si="4"/>
        <v>58741</v>
      </c>
      <c r="L47" s="1670">
        <f>SUM(L44:L46)</f>
        <v>65523</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3840</v>
      </c>
      <c r="D49" s="481"/>
      <c r="E49" s="481">
        <v>17133</v>
      </c>
      <c r="F49" s="481">
        <v>2156</v>
      </c>
      <c r="G49" s="481"/>
      <c r="H49" s="481">
        <v>115</v>
      </c>
      <c r="I49" s="467"/>
      <c r="J49" s="467"/>
      <c r="K49" s="1672">
        <f>SUM(C49:J49)</f>
        <v>23244</v>
      </c>
      <c r="L49" s="481">
        <v>26390</v>
      </c>
    </row>
    <row r="50" spans="1:14" x14ac:dyDescent="0.2">
      <c r="A50" s="1504" t="s">
        <v>818</v>
      </c>
      <c r="B50" s="614">
        <v>2320</v>
      </c>
      <c r="C50" s="466">
        <v>121203</v>
      </c>
      <c r="D50" s="466">
        <v>14752</v>
      </c>
      <c r="E50" s="466">
        <v>1210</v>
      </c>
      <c r="F50" s="466">
        <v>507</v>
      </c>
      <c r="G50" s="466"/>
      <c r="H50" s="466">
        <v>1251</v>
      </c>
      <c r="I50" s="467"/>
      <c r="J50" s="467"/>
      <c r="K50" s="1672">
        <f>SUM(C50:J50)</f>
        <v>138923</v>
      </c>
      <c r="L50" s="466">
        <v>139395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125043</v>
      </c>
      <c r="D53" s="1670">
        <f t="shared" ref="D53:L53" si="5">SUM(D49:D52)</f>
        <v>14752</v>
      </c>
      <c r="E53" s="1670">
        <f t="shared" si="5"/>
        <v>18343</v>
      </c>
      <c r="F53" s="1670">
        <f t="shared" si="5"/>
        <v>2663</v>
      </c>
      <c r="G53" s="1670">
        <f t="shared" si="5"/>
        <v>0</v>
      </c>
      <c r="H53" s="1670">
        <f t="shared" si="5"/>
        <v>1366</v>
      </c>
      <c r="I53" s="1670">
        <f t="shared" si="5"/>
        <v>0</v>
      </c>
      <c r="J53" s="1670">
        <f t="shared" si="5"/>
        <v>0</v>
      </c>
      <c r="K53" s="1670">
        <f t="shared" si="5"/>
        <v>162167</v>
      </c>
      <c r="L53" s="1670">
        <f t="shared" si="5"/>
        <v>165785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91463</v>
      </c>
      <c r="D55" s="481">
        <v>23744</v>
      </c>
      <c r="E55" s="481">
        <v>189</v>
      </c>
      <c r="F55" s="481">
        <v>506</v>
      </c>
      <c r="G55" s="481"/>
      <c r="H55" s="481">
        <v>82</v>
      </c>
      <c r="I55" s="467"/>
      <c r="J55" s="467"/>
      <c r="K55" s="1672">
        <f>SUM(C55:J55)</f>
        <v>115984</v>
      </c>
      <c r="L55" s="481">
        <v>116935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91463</v>
      </c>
      <c r="D57" s="1674">
        <f t="shared" ref="D57:K57" si="6">SUM(D55:D56)</f>
        <v>23744</v>
      </c>
      <c r="E57" s="1674">
        <f t="shared" si="6"/>
        <v>189</v>
      </c>
      <c r="F57" s="1674">
        <f t="shared" si="6"/>
        <v>506</v>
      </c>
      <c r="G57" s="1674">
        <f t="shared" si="6"/>
        <v>0</v>
      </c>
      <c r="H57" s="1674">
        <f t="shared" si="6"/>
        <v>82</v>
      </c>
      <c r="I57" s="1674">
        <f t="shared" si="6"/>
        <v>0</v>
      </c>
      <c r="J57" s="1674">
        <f t="shared" si="6"/>
        <v>0</v>
      </c>
      <c r="K57" s="1674">
        <f t="shared" si="6"/>
        <v>115984</v>
      </c>
      <c r="L57" s="1670">
        <f>SUM(L55:L56)</f>
        <v>116935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33707</v>
      </c>
      <c r="D60" s="466">
        <v>12123</v>
      </c>
      <c r="E60" s="466">
        <v>589</v>
      </c>
      <c r="F60" s="466">
        <v>754</v>
      </c>
      <c r="G60" s="466"/>
      <c r="H60" s="466"/>
      <c r="I60" s="467"/>
      <c r="J60" s="467"/>
      <c r="K60" s="1672">
        <f t="shared" si="7"/>
        <v>47173</v>
      </c>
      <c r="L60" s="466">
        <v>47228</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44789</v>
      </c>
      <c r="D63" s="466">
        <v>18665</v>
      </c>
      <c r="E63" s="466"/>
      <c r="F63" s="466">
        <v>47724</v>
      </c>
      <c r="G63" s="466"/>
      <c r="H63" s="466">
        <v>248</v>
      </c>
      <c r="I63" s="467"/>
      <c r="J63" s="467"/>
      <c r="K63" s="1672">
        <f t="shared" si="7"/>
        <v>111426</v>
      </c>
      <c r="L63" s="466">
        <v>115800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78496</v>
      </c>
      <c r="D65" s="1670">
        <f t="shared" ref="D65:L65" si="8">SUM(D59:D64)</f>
        <v>30788</v>
      </c>
      <c r="E65" s="1670">
        <f t="shared" si="8"/>
        <v>589</v>
      </c>
      <c r="F65" s="1670">
        <f t="shared" si="8"/>
        <v>48478</v>
      </c>
      <c r="G65" s="1670">
        <f t="shared" si="8"/>
        <v>0</v>
      </c>
      <c r="H65" s="1670">
        <f t="shared" si="8"/>
        <v>248</v>
      </c>
      <c r="I65" s="1670">
        <f t="shared" si="8"/>
        <v>0</v>
      </c>
      <c r="J65" s="1670">
        <f t="shared" si="8"/>
        <v>0</v>
      </c>
      <c r="K65" s="1670">
        <f t="shared" si="8"/>
        <v>158599</v>
      </c>
      <c r="L65" s="1670">
        <f t="shared" si="8"/>
        <v>163028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128</v>
      </c>
      <c r="G73" s="573"/>
      <c r="H73" s="573"/>
      <c r="I73" s="531"/>
      <c r="J73" s="531"/>
      <c r="K73" s="1670">
        <f>SUM(C73:J73)</f>
        <v>128</v>
      </c>
      <c r="L73" s="576">
        <v>150</v>
      </c>
      <c r="M73" s="609"/>
      <c r="N73" s="609"/>
    </row>
    <row r="74" spans="1:14" ht="12.75" customHeight="1" thickTop="1" thickBot="1" x14ac:dyDescent="0.25">
      <c r="A74" s="1668" t="s">
        <v>811</v>
      </c>
      <c r="B74" s="1676">
        <v>2000</v>
      </c>
      <c r="C74" s="1677">
        <f>SUM(C42,C47,C53,C57,C65,C72,C73)</f>
        <v>296127</v>
      </c>
      <c r="D74" s="1677">
        <f t="shared" ref="D74:K74" si="10">SUM(D42,D47,D53,D57,D65,D72,D73)</f>
        <v>70784</v>
      </c>
      <c r="E74" s="1677">
        <f t="shared" si="10"/>
        <v>108159</v>
      </c>
      <c r="F74" s="1677">
        <f t="shared" si="10"/>
        <v>53507</v>
      </c>
      <c r="G74" s="1677">
        <f t="shared" si="10"/>
        <v>9500</v>
      </c>
      <c r="H74" s="1677">
        <f t="shared" si="10"/>
        <v>1696</v>
      </c>
      <c r="I74" s="1677">
        <f t="shared" si="10"/>
        <v>0</v>
      </c>
      <c r="J74" s="1677">
        <f t="shared" si="10"/>
        <v>0</v>
      </c>
      <c r="K74" s="1677">
        <f t="shared" si="10"/>
        <v>539773</v>
      </c>
      <c r="L74" s="1677">
        <f>SUM(L42,L47,L53,L57,L65,L72,L73)</f>
        <v>561396</v>
      </c>
    </row>
    <row r="75" spans="1:14" s="259" customFormat="1" ht="15.75" customHeight="1" thickTop="1" thickBot="1" x14ac:dyDescent="0.25">
      <c r="A75" s="1610" t="s">
        <v>47</v>
      </c>
      <c r="B75" s="1611" t="s">
        <v>575</v>
      </c>
      <c r="C75" s="573"/>
      <c r="D75" s="573"/>
      <c r="E75" s="573">
        <v>1452</v>
      </c>
      <c r="F75" s="573"/>
      <c r="G75" s="573"/>
      <c r="H75" s="573"/>
      <c r="I75" s="531"/>
      <c r="J75" s="531"/>
      <c r="K75" s="1670">
        <f>SUM(C75:J75)</f>
        <v>1452</v>
      </c>
      <c r="L75" s="576">
        <v>1452</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21981</v>
      </c>
      <c r="F79" s="616"/>
      <c r="G79" s="616"/>
      <c r="H79" s="466"/>
      <c r="I79" s="477"/>
      <c r="J79" s="477"/>
      <c r="K79" s="1671">
        <f t="shared" si="11"/>
        <v>21981</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2000</v>
      </c>
      <c r="F83" s="616"/>
      <c r="G83" s="616"/>
      <c r="H83" s="466"/>
      <c r="I83" s="477"/>
      <c r="J83" s="477"/>
      <c r="K83" s="1671">
        <f t="shared" si="11"/>
        <v>2000</v>
      </c>
      <c r="L83" s="466">
        <v>24000</v>
      </c>
    </row>
    <row r="84" spans="1:12" ht="13.5" thickBot="1" x14ac:dyDescent="0.25">
      <c r="A84" s="1668" t="s">
        <v>1485</v>
      </c>
      <c r="B84" s="1678">
        <v>4100</v>
      </c>
      <c r="C84" s="616"/>
      <c r="D84" s="616"/>
      <c r="E84" s="1670">
        <f>SUM(E78:E83)</f>
        <v>23981</v>
      </c>
      <c r="F84" s="616"/>
      <c r="G84" s="616"/>
      <c r="H84" s="1670">
        <f>SUM(H78:H83)</f>
        <v>0</v>
      </c>
      <c r="I84" s="477"/>
      <c r="J84" s="477"/>
      <c r="K84" s="1670">
        <f>SUM(K78:K83)</f>
        <v>23981</v>
      </c>
      <c r="L84" s="1670">
        <f>SUM(L78:L83)</f>
        <v>24000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f>-11789+39865</f>
        <v>28076</v>
      </c>
      <c r="I86" s="477"/>
      <c r="J86" s="477"/>
      <c r="K86" s="1677">
        <f t="shared" ref="K86:K98" si="12">H86</f>
        <v>28076</v>
      </c>
      <c r="L86" s="530">
        <v>45000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28076</v>
      </c>
      <c r="I92" s="477"/>
      <c r="J92" s="477"/>
      <c r="K92" s="1677">
        <f t="shared" si="12"/>
        <v>28076</v>
      </c>
      <c r="L92" s="1670">
        <f>SUM(L85:L91)</f>
        <v>45000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23981</v>
      </c>
      <c r="F102" s="616"/>
      <c r="G102" s="616"/>
      <c r="H102" s="1677">
        <f>SUM(H84,H92,H100,H101)</f>
        <v>28076</v>
      </c>
      <c r="I102" s="477"/>
      <c r="J102" s="477"/>
      <c r="K102" s="1677">
        <f>SUM(K84,K92,K100,K101)</f>
        <v>52057</v>
      </c>
      <c r="L102" s="1677">
        <f>SUM(L84,L92,L100,L101)</f>
        <v>69000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998626</v>
      </c>
      <c r="D114" s="1670">
        <f t="shared" ref="D114:K114" si="13">SUM(D33,D74,D75,D102,D112,D113)</f>
        <v>295252</v>
      </c>
      <c r="E114" s="1670">
        <f t="shared" si="13"/>
        <v>142432</v>
      </c>
      <c r="F114" s="1670">
        <f t="shared" si="13"/>
        <v>104339</v>
      </c>
      <c r="G114" s="1670">
        <f t="shared" si="13"/>
        <v>16630</v>
      </c>
      <c r="H114" s="1670">
        <f>SUM(H33,H74,H75,H102,H112,H113)</f>
        <v>43236</v>
      </c>
      <c r="I114" s="1670">
        <f t="shared" si="13"/>
        <v>0</v>
      </c>
      <c r="J114" s="1670">
        <f t="shared" si="13"/>
        <v>0</v>
      </c>
      <c r="K114" s="1670">
        <f t="shared" si="13"/>
        <v>1600515</v>
      </c>
      <c r="L114" s="1670">
        <f>SUM(L33,L74,L75,L102,L112,L113)</f>
        <v>1644019</v>
      </c>
    </row>
    <row r="115" spans="1:14" ht="13.5" thickTop="1" x14ac:dyDescent="0.2">
      <c r="A115" s="2155" t="s">
        <v>996</v>
      </c>
      <c r="B115" s="2156"/>
      <c r="C115" s="618"/>
      <c r="D115" s="618"/>
      <c r="E115" s="618"/>
      <c r="F115" s="618"/>
      <c r="G115" s="618"/>
      <c r="H115" s="618"/>
      <c r="I115" s="618"/>
      <c r="J115" s="618"/>
      <c r="K115" s="1684">
        <f>'Revenues 9-14'!C268-'Expenditures 15-22'!K114</f>
        <v>8920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47171</v>
      </c>
      <c r="D124" s="466">
        <v>6034</v>
      </c>
      <c r="E124" s="466">
        <v>64505</v>
      </c>
      <c r="F124" s="466">
        <f>7042+15695+64255</f>
        <v>86992</v>
      </c>
      <c r="G124" s="466">
        <v>8355</v>
      </c>
      <c r="H124" s="466"/>
      <c r="I124" s="467"/>
      <c r="J124" s="467"/>
      <c r="K124" s="1670">
        <f>SUM(C124:J124)</f>
        <v>213057</v>
      </c>
      <c r="L124" s="466">
        <v>219609</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47171</v>
      </c>
      <c r="D127" s="1670">
        <f t="shared" ref="D127:L127" si="14">SUM(D122:D126)</f>
        <v>6034</v>
      </c>
      <c r="E127" s="1670">
        <f t="shared" si="14"/>
        <v>64505</v>
      </c>
      <c r="F127" s="1670">
        <f t="shared" si="14"/>
        <v>86992</v>
      </c>
      <c r="G127" s="1670">
        <f t="shared" si="14"/>
        <v>8355</v>
      </c>
      <c r="H127" s="1670">
        <f t="shared" si="14"/>
        <v>0</v>
      </c>
      <c r="I127" s="1670">
        <f t="shared" si="14"/>
        <v>0</v>
      </c>
      <c r="J127" s="1670">
        <f t="shared" si="14"/>
        <v>0</v>
      </c>
      <c r="K127" s="1670">
        <f t="shared" si="14"/>
        <v>213057</v>
      </c>
      <c r="L127" s="1670">
        <f t="shared" si="14"/>
        <v>219609</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47171</v>
      </c>
      <c r="D129" s="1677">
        <f t="shared" ref="D129:L129" si="15">SUM(D120,D127,D128)</f>
        <v>6034</v>
      </c>
      <c r="E129" s="1677">
        <f t="shared" si="15"/>
        <v>64505</v>
      </c>
      <c r="F129" s="1677">
        <f t="shared" si="15"/>
        <v>86992</v>
      </c>
      <c r="G129" s="1677">
        <f t="shared" si="15"/>
        <v>8355</v>
      </c>
      <c r="H129" s="1677">
        <f t="shared" si="15"/>
        <v>0</v>
      </c>
      <c r="I129" s="1677">
        <f t="shared" si="15"/>
        <v>0</v>
      </c>
      <c r="J129" s="1677">
        <f t="shared" si="15"/>
        <v>0</v>
      </c>
      <c r="K129" s="1677">
        <f t="shared" si="15"/>
        <v>213057</v>
      </c>
      <c r="L129" s="1677">
        <f t="shared" si="15"/>
        <v>219609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70">
        <f>SUM(C129,C130,C139,C149,C150)</f>
        <v>47171</v>
      </c>
      <c r="D151" s="1670">
        <f t="shared" ref="D151:K151" si="16">SUM(D129,D130,D139,D149,D150)</f>
        <v>6034</v>
      </c>
      <c r="E151" s="1670">
        <f t="shared" si="16"/>
        <v>64505</v>
      </c>
      <c r="F151" s="1670">
        <f t="shared" si="16"/>
        <v>86992</v>
      </c>
      <c r="G151" s="1670">
        <f t="shared" si="16"/>
        <v>8355</v>
      </c>
      <c r="H151" s="1670">
        <f t="shared" si="16"/>
        <v>0</v>
      </c>
      <c r="I151" s="1670">
        <f t="shared" si="16"/>
        <v>0</v>
      </c>
      <c r="J151" s="1670">
        <f t="shared" si="16"/>
        <v>0</v>
      </c>
      <c r="K151" s="1670">
        <f t="shared" si="16"/>
        <v>213057</v>
      </c>
      <c r="L151" s="1670">
        <f>SUM(L129,L130,L139,L149,L150)</f>
        <v>219609</v>
      </c>
    </row>
    <row r="152" spans="1:14" ht="12.75" customHeight="1" thickTop="1" x14ac:dyDescent="0.2">
      <c r="A152" s="2175" t="s">
        <v>1178</v>
      </c>
      <c r="B152" s="2176"/>
      <c r="C152" s="618"/>
      <c r="D152" s="618"/>
      <c r="E152" s="618"/>
      <c r="F152" s="618"/>
      <c r="G152" s="618"/>
      <c r="H152" s="618"/>
      <c r="I152" s="618"/>
      <c r="J152" s="616"/>
      <c r="K152" s="1684">
        <f>'Revenues 9-14'!D268-'Expenditures 15-22'!K151</f>
        <v>-99960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32039</v>
      </c>
      <c r="I169" s="616"/>
      <c r="J169" s="616"/>
      <c r="K169" s="1671">
        <f>SUM(C169:H169)</f>
        <v>32039</v>
      </c>
      <c r="L169" s="656">
        <v>32042</v>
      </c>
    </row>
    <row r="170" spans="1:14" ht="33.75" customHeight="1" x14ac:dyDescent="0.2">
      <c r="A170" s="669" t="s">
        <v>1670</v>
      </c>
      <c r="B170" s="671" t="s">
        <v>31</v>
      </c>
      <c r="C170" s="616"/>
      <c r="D170" s="616"/>
      <c r="E170" s="616"/>
      <c r="F170" s="616"/>
      <c r="G170" s="616"/>
      <c r="H170" s="569">
        <v>175000</v>
      </c>
      <c r="I170" s="616"/>
      <c r="J170" s="616"/>
      <c r="K170" s="1671">
        <f>SUM(C170:J170)</f>
        <v>175000</v>
      </c>
      <c r="L170" s="569">
        <v>175000</v>
      </c>
    </row>
    <row r="171" spans="1:14" ht="15.75" customHeight="1" x14ac:dyDescent="0.2">
      <c r="A171" s="621" t="s">
        <v>766</v>
      </c>
      <c r="B171" s="672" t="s">
        <v>84</v>
      </c>
      <c r="C171" s="616"/>
      <c r="D171" s="616"/>
      <c r="E171" s="466"/>
      <c r="F171" s="616"/>
      <c r="G171" s="616"/>
      <c r="H171" s="569">
        <v>1400</v>
      </c>
      <c r="I171" s="477"/>
      <c r="J171" s="616"/>
      <c r="K171" s="1671">
        <f>SUM(C171:J171)</f>
        <v>1400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208439</v>
      </c>
      <c r="I172" s="638"/>
      <c r="J172" s="616"/>
      <c r="K172" s="1677">
        <f>SUM(K168,K169,K170,K171)</f>
        <v>208439</v>
      </c>
      <c r="L172" s="1677">
        <f>SUM(L168,L169,L170,L171)</f>
        <v>208542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208439</v>
      </c>
      <c r="I174" s="638"/>
      <c r="J174" s="616"/>
      <c r="K174" s="1677">
        <f>SUM(K160,K172,K173)</f>
        <v>208439</v>
      </c>
      <c r="L174" s="1677">
        <f>SUM(L160,L172,L173)</f>
        <v>208542</v>
      </c>
    </row>
    <row r="175" spans="1:14" ht="13.5" thickTop="1" x14ac:dyDescent="0.2">
      <c r="A175" s="2155" t="s">
        <v>996</v>
      </c>
      <c r="B175" s="2156"/>
      <c r="C175" s="616"/>
      <c r="D175" s="616"/>
      <c r="E175" s="616"/>
      <c r="F175" s="616"/>
      <c r="G175" s="616"/>
      <c r="H175" s="618"/>
      <c r="I175" s="616"/>
      <c r="J175" s="616"/>
      <c r="K175" s="1684">
        <f>'Revenues 9-14'!E268-'Expenditures 15-22'!K174</f>
        <v>-1769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11062</v>
      </c>
      <c r="D182" s="466">
        <v>1474</v>
      </c>
      <c r="E182" s="466">
        <v>152827</v>
      </c>
      <c r="F182" s="466">
        <v>350</v>
      </c>
      <c r="G182" s="466"/>
      <c r="H182" s="466"/>
      <c r="I182" s="467"/>
      <c r="J182" s="467"/>
      <c r="K182" s="1671">
        <f>SUM(C182:J182)</f>
        <v>165713</v>
      </c>
      <c r="L182" s="466">
        <v>171840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11062</v>
      </c>
      <c r="D184" s="1677">
        <f t="shared" ref="D184:J184" si="17">SUM(D180,D182,D183)</f>
        <v>1474</v>
      </c>
      <c r="E184" s="1677">
        <f t="shared" si="17"/>
        <v>152827</v>
      </c>
      <c r="F184" s="1677">
        <f t="shared" si="17"/>
        <v>350</v>
      </c>
      <c r="G184" s="1677">
        <f t="shared" si="17"/>
        <v>0</v>
      </c>
      <c r="H184" s="1677">
        <f t="shared" si="17"/>
        <v>0</v>
      </c>
      <c r="I184" s="1677">
        <f t="shared" si="17"/>
        <v>0</v>
      </c>
      <c r="J184" s="1677">
        <f t="shared" si="17"/>
        <v>0</v>
      </c>
      <c r="K184" s="1677">
        <f>SUM(K180,K182,K183)</f>
        <v>165713</v>
      </c>
      <c r="L184" s="1677">
        <f>SUM(L180, L182:L183)</f>
        <v>171840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11062</v>
      </c>
      <c r="D210" s="1670">
        <f>SUM(D184,D185)</f>
        <v>1474</v>
      </c>
      <c r="E210" s="1670">
        <f>SUM(E184,E185,E196)</f>
        <v>152827</v>
      </c>
      <c r="F210" s="1670">
        <f>SUM(F184,F185)</f>
        <v>350</v>
      </c>
      <c r="G210" s="1670">
        <f>SUM(G184,G185)</f>
        <v>0</v>
      </c>
      <c r="H210" s="1670">
        <f>SUM(H184,H185,H196,H208,H209)</f>
        <v>0</v>
      </c>
      <c r="I210" s="1670">
        <f>SUM(I184,I185)</f>
        <v>0</v>
      </c>
      <c r="J210" s="1670">
        <f>SUM(J184,J185)</f>
        <v>0</v>
      </c>
      <c r="K210" s="1671">
        <f>SUM(K184,K185,K196,K208,K209)</f>
        <v>165713</v>
      </c>
      <c r="L210" s="1670">
        <f>SUM(L184,L185,L196,L208,L209)</f>
        <v>171840</v>
      </c>
    </row>
    <row r="211" spans="1:14" ht="13.5" thickTop="1" x14ac:dyDescent="0.2">
      <c r="A211" s="2155" t="s">
        <v>996</v>
      </c>
      <c r="B211" s="2156"/>
      <c r="C211" s="618"/>
      <c r="D211" s="618"/>
      <c r="E211" s="618"/>
      <c r="F211" s="618"/>
      <c r="G211" s="618"/>
      <c r="H211" s="618"/>
      <c r="I211" s="616"/>
      <c r="J211" s="616"/>
      <c r="K211" s="1684">
        <f>'Revenues 9-14'!F268-'Expenditures 15-22'!K210</f>
        <v>9029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10147</v>
      </c>
      <c r="E215" s="616"/>
      <c r="F215" s="616"/>
      <c r="G215" s="616"/>
      <c r="H215" s="616"/>
      <c r="I215" s="616"/>
      <c r="J215" s="616"/>
      <c r="K215" s="1671">
        <f>D215</f>
        <v>10147</v>
      </c>
      <c r="L215" s="466">
        <v>12218</v>
      </c>
    </row>
    <row r="216" spans="1:14" x14ac:dyDescent="0.2">
      <c r="A216" s="1504" t="s">
        <v>163</v>
      </c>
      <c r="B216" s="614" t="s">
        <v>967</v>
      </c>
      <c r="C216" s="616"/>
      <c r="D216" s="467">
        <v>1407</v>
      </c>
      <c r="E216" s="616"/>
      <c r="F216" s="616"/>
      <c r="G216" s="616"/>
      <c r="H216" s="616"/>
      <c r="I216" s="616"/>
      <c r="J216" s="616"/>
      <c r="K216" s="1671">
        <f t="shared" ref="K216:K228" si="19">D216</f>
        <v>1407</v>
      </c>
      <c r="L216" s="466"/>
    </row>
    <row r="217" spans="1:14" x14ac:dyDescent="0.2">
      <c r="A217" s="1504" t="s">
        <v>164</v>
      </c>
      <c r="B217" s="614">
        <v>1200</v>
      </c>
      <c r="C217" s="616"/>
      <c r="D217" s="466">
        <v>3443</v>
      </c>
      <c r="E217" s="616"/>
      <c r="F217" s="616"/>
      <c r="G217" s="616"/>
      <c r="H217" s="616"/>
      <c r="I217" s="616"/>
      <c r="J217" s="616"/>
      <c r="K217" s="1671">
        <f t="shared" si="19"/>
        <v>3443</v>
      </c>
      <c r="L217" s="466">
        <v>3421</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910</v>
      </c>
      <c r="E223" s="616"/>
      <c r="F223" s="616"/>
      <c r="G223" s="616"/>
      <c r="H223" s="616"/>
      <c r="I223" s="616"/>
      <c r="J223" s="616"/>
      <c r="K223" s="1671">
        <f t="shared" si="19"/>
        <v>910</v>
      </c>
      <c r="L223" s="466">
        <v>1015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15907</v>
      </c>
      <c r="E229" s="616"/>
      <c r="F229" s="616"/>
      <c r="G229" s="616"/>
      <c r="H229" s="616"/>
      <c r="I229" s="616"/>
      <c r="J229" s="616"/>
      <c r="K229" s="1670">
        <f>SUM(K215:K228)</f>
        <v>15907</v>
      </c>
      <c r="L229" s="1670">
        <f>SUM(L215:L228)</f>
        <v>16654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308</v>
      </c>
      <c r="E245" s="616"/>
      <c r="F245" s="616"/>
      <c r="G245" s="616"/>
      <c r="H245" s="616"/>
      <c r="I245" s="616"/>
      <c r="J245" s="616"/>
      <c r="K245" s="1672">
        <f>D245</f>
        <v>308</v>
      </c>
      <c r="L245" s="481">
        <v>310</v>
      </c>
    </row>
    <row r="246" spans="1:12" x14ac:dyDescent="0.2">
      <c r="A246" s="1504" t="s">
        <v>818</v>
      </c>
      <c r="B246" s="614">
        <v>2320</v>
      </c>
      <c r="C246" s="616"/>
      <c r="D246" s="466">
        <v>4870</v>
      </c>
      <c r="E246" s="616"/>
      <c r="F246" s="616"/>
      <c r="G246" s="616"/>
      <c r="H246" s="616"/>
      <c r="I246" s="616"/>
      <c r="J246" s="616"/>
      <c r="K246" s="1672">
        <f t="shared" ref="K246:K256" si="21">D246</f>
        <v>4870</v>
      </c>
      <c r="L246" s="466">
        <v>4875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5178</v>
      </c>
      <c r="E257" s="616"/>
      <c r="F257" s="616"/>
      <c r="G257" s="616"/>
      <c r="H257" s="616"/>
      <c r="I257" s="616"/>
      <c r="J257" s="616"/>
      <c r="K257" s="1670">
        <f>SUM(K245:K256)</f>
        <v>5178</v>
      </c>
      <c r="L257" s="1670">
        <f>SUM(L245:L256)</f>
        <v>5185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5269</v>
      </c>
      <c r="E259" s="616"/>
      <c r="F259" s="616"/>
      <c r="G259" s="616"/>
      <c r="H259" s="616"/>
      <c r="I259" s="616"/>
      <c r="J259" s="616"/>
      <c r="K259" s="1672">
        <f>D259</f>
        <v>5269</v>
      </c>
      <c r="L259" s="481">
        <v>5402</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5269</v>
      </c>
      <c r="E261" s="616"/>
      <c r="F261" s="616"/>
      <c r="G261" s="616"/>
      <c r="H261" s="616"/>
      <c r="I261" s="616"/>
      <c r="J261" s="616"/>
      <c r="K261" s="1670">
        <f>SUM(K259:K260)</f>
        <v>5269</v>
      </c>
      <c r="L261" s="1670">
        <f>SUM(L259:L260)</f>
        <v>5402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4038</v>
      </c>
      <c r="E264" s="616"/>
      <c r="F264" s="616"/>
      <c r="G264" s="616"/>
      <c r="H264" s="616"/>
      <c r="I264" s="616"/>
      <c r="J264" s="616"/>
      <c r="K264" s="1672">
        <f t="shared" ref="K264:K269" si="22">D264</f>
        <v>4038</v>
      </c>
      <c r="L264" s="466">
        <v>4100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6714</v>
      </c>
      <c r="E266" s="616"/>
      <c r="F266" s="616"/>
      <c r="G266" s="616"/>
      <c r="H266" s="616"/>
      <c r="I266" s="616"/>
      <c r="J266" s="616"/>
      <c r="K266" s="1672">
        <f t="shared" si="22"/>
        <v>6714</v>
      </c>
      <c r="L266" s="466">
        <v>9210</v>
      </c>
    </row>
    <row r="267" spans="1:14" x14ac:dyDescent="0.2">
      <c r="A267" s="1504" t="s">
        <v>953</v>
      </c>
      <c r="B267" s="614">
        <v>2550</v>
      </c>
      <c r="C267" s="616"/>
      <c r="D267" s="466">
        <v>326</v>
      </c>
      <c r="E267" s="616"/>
      <c r="F267" s="616"/>
      <c r="G267" s="616"/>
      <c r="H267" s="616"/>
      <c r="I267" s="616"/>
      <c r="J267" s="616"/>
      <c r="K267" s="1672">
        <f t="shared" si="22"/>
        <v>326</v>
      </c>
      <c r="L267" s="466">
        <v>330</v>
      </c>
    </row>
    <row r="268" spans="1:14" x14ac:dyDescent="0.2">
      <c r="A268" s="1504" t="s">
        <v>100</v>
      </c>
      <c r="B268" s="614">
        <v>2560</v>
      </c>
      <c r="C268" s="616"/>
      <c r="D268" s="466">
        <v>5751</v>
      </c>
      <c r="E268" s="616"/>
      <c r="F268" s="616"/>
      <c r="G268" s="616"/>
      <c r="H268" s="616"/>
      <c r="I268" s="616"/>
      <c r="J268" s="616"/>
      <c r="K268" s="1672">
        <f t="shared" si="22"/>
        <v>5751</v>
      </c>
      <c r="L268" s="466">
        <v>5950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16829</v>
      </c>
      <c r="E270" s="616"/>
      <c r="F270" s="616"/>
      <c r="G270" s="616"/>
      <c r="H270" s="616"/>
      <c r="I270" s="616"/>
      <c r="J270" s="616"/>
      <c r="K270" s="1670">
        <f>SUM(K263:K269)</f>
        <v>16829</v>
      </c>
      <c r="L270" s="1670">
        <f>SUM(L263:L269)</f>
        <v>19590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27276</v>
      </c>
      <c r="E279" s="616"/>
      <c r="F279" s="616"/>
      <c r="G279" s="616"/>
      <c r="H279" s="616"/>
      <c r="I279" s="616"/>
      <c r="J279" s="616"/>
      <c r="K279" s="1677">
        <f>SUM(K238,K243,K257,K261,K270,K277,K278)</f>
        <v>27276</v>
      </c>
      <c r="L279" s="1677">
        <f>SUM(L238,L243,L257,L261,L270,L277,L278)</f>
        <v>30177</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43183</v>
      </c>
      <c r="E295" s="616"/>
      <c r="F295" s="616"/>
      <c r="G295" s="616"/>
      <c r="H295" s="1670">
        <f>H293</f>
        <v>0</v>
      </c>
      <c r="I295" s="616"/>
      <c r="J295" s="616"/>
      <c r="K295" s="1670">
        <f>SUM(K229,K279,K280,K285,K293,K294)</f>
        <v>43183</v>
      </c>
      <c r="L295" s="1670">
        <f>SUM(L229,L279,L280,L285,L293,L294)</f>
        <v>46831</v>
      </c>
    </row>
    <row r="296" spans="1:14" ht="13.5" thickTop="1" x14ac:dyDescent="0.2">
      <c r="A296" s="2155" t="s">
        <v>996</v>
      </c>
      <c r="B296" s="2156"/>
      <c r="C296" s="616"/>
      <c r="D296" s="618"/>
      <c r="E296" s="616"/>
      <c r="F296" s="616"/>
      <c r="G296" s="616"/>
      <c r="H296" s="687"/>
      <c r="I296" s="616"/>
      <c r="J296" s="616"/>
      <c r="K296" s="1684">
        <f>'Revenues 9-14'!G268-'Expenditures 15-22'!K295</f>
        <v>5075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9715</v>
      </c>
      <c r="F320" s="467"/>
      <c r="G320" s="467"/>
      <c r="H320" s="467"/>
      <c r="I320" s="467"/>
      <c r="J320" s="467"/>
      <c r="K320" s="1671">
        <f t="shared" ref="K320:K327" si="24">SUM(C320:J320)</f>
        <v>9715</v>
      </c>
      <c r="L320" s="467">
        <v>9715</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18975</v>
      </c>
      <c r="F322" s="467"/>
      <c r="G322" s="467"/>
      <c r="H322" s="467"/>
      <c r="I322" s="467"/>
      <c r="J322" s="467"/>
      <c r="K322" s="1671">
        <f t="shared" si="24"/>
        <v>18975</v>
      </c>
      <c r="L322" s="467">
        <v>18975</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3158</v>
      </c>
      <c r="F327" s="467"/>
      <c r="G327" s="467"/>
      <c r="H327" s="467"/>
      <c r="I327" s="467"/>
      <c r="J327" s="467"/>
      <c r="K327" s="1671">
        <f t="shared" si="24"/>
        <v>3158</v>
      </c>
      <c r="L327" s="467">
        <v>3500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31848</v>
      </c>
      <c r="F330" s="1670">
        <f t="shared" si="25"/>
        <v>0</v>
      </c>
      <c r="G330" s="1670">
        <f t="shared" si="25"/>
        <v>0</v>
      </c>
      <c r="H330" s="1670">
        <f t="shared" si="25"/>
        <v>0</v>
      </c>
      <c r="I330" s="1670">
        <f t="shared" si="25"/>
        <v>0</v>
      </c>
      <c r="J330" s="1670">
        <f t="shared" si="25"/>
        <v>0</v>
      </c>
      <c r="K330" s="1670">
        <f>SUM(K319:K329)</f>
        <v>31848</v>
      </c>
      <c r="L330" s="1670">
        <f>SUM(L319:L329)</f>
        <v>32190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31848</v>
      </c>
      <c r="F342" s="1670">
        <f>SUM(F330)</f>
        <v>0</v>
      </c>
      <c r="G342" s="1670">
        <f>SUM(G330)</f>
        <v>0</v>
      </c>
      <c r="H342" s="1670">
        <f>SUM(H330,H334,H340)</f>
        <v>0</v>
      </c>
      <c r="I342" s="1670">
        <f>SUM(I330)</f>
        <v>0</v>
      </c>
      <c r="J342" s="1670">
        <f>SUM(J330)</f>
        <v>0</v>
      </c>
      <c r="K342" s="1670">
        <f>SUM(K330,K334,K340)</f>
        <v>31848</v>
      </c>
      <c r="L342" s="1677">
        <f>SUM(L330,L340,L341)</f>
        <v>32190</v>
      </c>
    </row>
    <row r="343" spans="1:14" ht="12.75" customHeight="1" thickTop="1" x14ac:dyDescent="0.2">
      <c r="A343" s="2168" t="s">
        <v>996</v>
      </c>
      <c r="B343" s="2169"/>
      <c r="C343" s="616"/>
      <c r="D343" s="616"/>
      <c r="E343" s="616"/>
      <c r="F343" s="616"/>
      <c r="G343" s="616"/>
      <c r="H343" s="616"/>
      <c r="I343" s="616"/>
      <c r="J343" s="616"/>
      <c r="K343" s="1684">
        <f>'Revenues 9-14'!J268-'Expenditures 15-22'!K342</f>
        <v>28527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6200</v>
      </c>
      <c r="H348" s="466"/>
      <c r="I348" s="467"/>
      <c r="J348" s="467"/>
      <c r="K348" s="1671">
        <f>SUM(C348:J348)</f>
        <v>6200</v>
      </c>
      <c r="L348" s="466">
        <v>6200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6200</v>
      </c>
      <c r="H350" s="1670">
        <f t="shared" si="26"/>
        <v>0</v>
      </c>
      <c r="I350" s="1670">
        <f t="shared" si="26"/>
        <v>0</v>
      </c>
      <c r="J350" s="1670">
        <f t="shared" si="26"/>
        <v>0</v>
      </c>
      <c r="K350" s="1670">
        <f t="shared" si="26"/>
        <v>6200</v>
      </c>
      <c r="L350" s="1670">
        <f t="shared" si="26"/>
        <v>6200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6200</v>
      </c>
      <c r="H352" s="1670">
        <f t="shared" si="27"/>
        <v>0</v>
      </c>
      <c r="I352" s="1670">
        <f t="shared" si="27"/>
        <v>0</v>
      </c>
      <c r="J352" s="1670">
        <f t="shared" si="27"/>
        <v>0</v>
      </c>
      <c r="K352" s="1670">
        <f t="shared" si="27"/>
        <v>6200</v>
      </c>
      <c r="L352" s="1670">
        <f t="shared" si="27"/>
        <v>6200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6200</v>
      </c>
      <c r="H367" s="1670">
        <f t="shared" si="28"/>
        <v>0</v>
      </c>
      <c r="I367" s="1670">
        <f t="shared" si="28"/>
        <v>0</v>
      </c>
      <c r="J367" s="1670">
        <f t="shared" si="28"/>
        <v>0</v>
      </c>
      <c r="K367" s="1670">
        <f t="shared" si="28"/>
        <v>6200</v>
      </c>
      <c r="L367" s="1670">
        <f t="shared" si="28"/>
        <v>6200</v>
      </c>
    </row>
    <row r="368" spans="1:14" ht="13.5" thickTop="1" x14ac:dyDescent="0.2">
      <c r="A368" s="2155" t="s">
        <v>996</v>
      </c>
      <c r="B368" s="2156"/>
      <c r="C368" s="654"/>
      <c r="D368" s="654"/>
      <c r="E368" s="626"/>
      <c r="F368" s="626"/>
      <c r="G368" s="626"/>
      <c r="H368" s="626"/>
      <c r="I368" s="626"/>
      <c r="J368" s="623"/>
      <c r="K368" s="1671">
        <f>'Revenues 9-14'!K268-'Expenditures 15-22'!K367</f>
        <v>12343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accompanying notes are an integral part of these financial satements.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33" sqref="C3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1950</v>
      </c>
      <c r="C2" s="714" t="s">
        <v>1951</v>
      </c>
      <c r="D2" s="714" t="s">
        <v>1952</v>
      </c>
      <c r="E2" s="714" t="s">
        <v>1953</v>
      </c>
      <c r="F2" s="714" t="s">
        <v>1954</v>
      </c>
    </row>
    <row r="3" spans="1:6" ht="12" customHeight="1" x14ac:dyDescent="0.2">
      <c r="A3" s="2183"/>
      <c r="B3" s="1525"/>
      <c r="C3" s="1526"/>
      <c r="D3" s="1527" t="s">
        <v>256</v>
      </c>
      <c r="E3" s="1526"/>
      <c r="F3" s="1527" t="s">
        <v>257</v>
      </c>
    </row>
    <row r="4" spans="1:6" ht="13.7" customHeight="1" x14ac:dyDescent="0.2">
      <c r="A4" s="715" t="s">
        <v>1155</v>
      </c>
      <c r="B4" s="1749">
        <f>'Revenues 9-14'!C5</f>
        <v>655027</v>
      </c>
      <c r="C4" s="1524"/>
      <c r="D4" s="1752">
        <f>B4-C4</f>
        <v>655027</v>
      </c>
      <c r="E4" s="1524">
        <f>628317+53968</f>
        <v>682285</v>
      </c>
      <c r="F4" s="1752">
        <f>E4-C4</f>
        <v>682285</v>
      </c>
    </row>
    <row r="5" spans="1:6" ht="13.7" customHeight="1" x14ac:dyDescent="0.2">
      <c r="A5" s="715" t="s">
        <v>870</v>
      </c>
      <c r="B5" s="1750">
        <f>'Revenues 9-14'!D5</f>
        <v>92001</v>
      </c>
      <c r="C5" s="585"/>
      <c r="D5" s="1753">
        <f t="shared" ref="D5:D18" si="0">B5-C5</f>
        <v>92001</v>
      </c>
      <c r="E5" s="585">
        <f>88247+7580</f>
        <v>95827</v>
      </c>
      <c r="F5" s="1753">
        <f>E5-C5</f>
        <v>95827</v>
      </c>
    </row>
    <row r="6" spans="1:6" ht="13.7" customHeight="1" x14ac:dyDescent="0.2">
      <c r="A6" s="715" t="s">
        <v>411</v>
      </c>
      <c r="B6" s="1750">
        <f>'Revenues 9-14'!E5</f>
        <v>206414</v>
      </c>
      <c r="C6" s="585"/>
      <c r="D6" s="1753">
        <f t="shared" si="0"/>
        <v>206414</v>
      </c>
      <c r="E6" s="585">
        <f>129603+11132+60502</f>
        <v>201237</v>
      </c>
      <c r="F6" s="1753">
        <f t="shared" ref="F6:F18" si="1">E6-C6</f>
        <v>201237</v>
      </c>
    </row>
    <row r="7" spans="1:6" ht="13.7" customHeight="1" x14ac:dyDescent="0.2">
      <c r="A7" s="715" t="s">
        <v>155</v>
      </c>
      <c r="B7" s="1750">
        <f>'Revenues 9-14'!F5</f>
        <v>44160</v>
      </c>
      <c r="C7" s="585"/>
      <c r="D7" s="1753">
        <f t="shared" si="0"/>
        <v>44160</v>
      </c>
      <c r="E7" s="585">
        <f>42362+3638</f>
        <v>46000</v>
      </c>
      <c r="F7" s="1753">
        <f t="shared" si="1"/>
        <v>46000</v>
      </c>
    </row>
    <row r="8" spans="1:6" ht="13.7" customHeight="1" x14ac:dyDescent="0.2">
      <c r="A8" s="715" t="s">
        <v>1179</v>
      </c>
      <c r="B8" s="1750">
        <f>'Revenues 9-14'!G5</f>
        <v>11041</v>
      </c>
      <c r="C8" s="585"/>
      <c r="D8" s="1753">
        <f t="shared" si="0"/>
        <v>11041</v>
      </c>
      <c r="E8" s="585">
        <f>10590+910</f>
        <v>11500</v>
      </c>
      <c r="F8" s="1753">
        <f t="shared" si="1"/>
        <v>11500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18400</v>
      </c>
      <c r="C10" s="585"/>
      <c r="D10" s="1753">
        <f t="shared" si="0"/>
        <v>18400</v>
      </c>
      <c r="E10" s="585">
        <f>17649+1516</f>
        <v>19165</v>
      </c>
      <c r="F10" s="1753">
        <f t="shared" si="1"/>
        <v>19165</v>
      </c>
    </row>
    <row r="11" spans="1:6" x14ac:dyDescent="0.2">
      <c r="A11" s="715" t="s">
        <v>409</v>
      </c>
      <c r="B11" s="1750">
        <f>'Revenues 9-14'!J5</f>
        <v>59984</v>
      </c>
      <c r="C11" s="585"/>
      <c r="D11" s="1753">
        <f t="shared" si="0"/>
        <v>59984</v>
      </c>
      <c r="E11" s="585">
        <f>57539+4942</f>
        <v>62481</v>
      </c>
      <c r="F11" s="1753">
        <f t="shared" si="1"/>
        <v>62481</v>
      </c>
    </row>
    <row r="12" spans="1:6" ht="13.7" customHeight="1" x14ac:dyDescent="0.2">
      <c r="A12" s="715" t="s">
        <v>157</v>
      </c>
      <c r="B12" s="1750">
        <f>'Revenues 9-14'!K5</f>
        <v>18400</v>
      </c>
      <c r="C12" s="585"/>
      <c r="D12" s="1753">
        <f t="shared" si="0"/>
        <v>18400</v>
      </c>
      <c r="E12" s="585">
        <f>17649+1516</f>
        <v>19165</v>
      </c>
      <c r="F12" s="1753">
        <f t="shared" si="1"/>
        <v>19165</v>
      </c>
    </row>
    <row r="13" spans="1:6" ht="13.7" customHeight="1" x14ac:dyDescent="0.2">
      <c r="A13" s="715" t="s">
        <v>936</v>
      </c>
      <c r="B13" s="1750">
        <f>SUM('Revenues 9-14'!C6:D6)</f>
        <v>18400</v>
      </c>
      <c r="C13" s="585"/>
      <c r="D13" s="1753">
        <f t="shared" si="0"/>
        <v>18400</v>
      </c>
      <c r="E13" s="585">
        <f>17649+1516</f>
        <v>19165</v>
      </c>
      <c r="F13" s="1753">
        <f t="shared" si="1"/>
        <v>19165</v>
      </c>
    </row>
    <row r="14" spans="1:6" ht="13.7" customHeight="1" x14ac:dyDescent="0.2">
      <c r="A14" s="715" t="s">
        <v>410</v>
      </c>
      <c r="B14" s="1750">
        <f>SUM('Revenues 9-14'!C7:D7,'Revenues 9-14'!F7:H7)</f>
        <v>7363</v>
      </c>
      <c r="C14" s="585"/>
      <c r="D14" s="1753">
        <f t="shared" si="0"/>
        <v>7363</v>
      </c>
      <c r="E14" s="585">
        <f>7062+607</f>
        <v>7669</v>
      </c>
      <c r="F14" s="1753">
        <f t="shared" si="1"/>
        <v>7669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36800</v>
      </c>
      <c r="C16" s="585"/>
      <c r="D16" s="1753">
        <f t="shared" si="0"/>
        <v>36800</v>
      </c>
      <c r="E16" s="585">
        <f>35302+3032</f>
        <v>38334</v>
      </c>
      <c r="F16" s="1753">
        <f t="shared" si="1"/>
        <v>38334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1167990</v>
      </c>
      <c r="C19" s="1751">
        <f>SUM(C4:C18)</f>
        <v>0</v>
      </c>
      <c r="D19" s="1751">
        <f>SUM(D4:D18)</f>
        <v>1167990</v>
      </c>
      <c r="E19" s="1751">
        <f>SUM(E4:E18)</f>
        <v>1202828</v>
      </c>
      <c r="F19" s="1751">
        <f>SUM(F4:F18)</f>
        <v>1202828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4" sqref="J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4" t="s">
        <v>1955</v>
      </c>
      <c r="D2" s="723" t="s">
        <v>1956</v>
      </c>
      <c r="E2" s="723" t="s">
        <v>1957</v>
      </c>
      <c r="F2" s="1884" t="s">
        <v>1958</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5" t="s">
        <v>583</v>
      </c>
      <c r="D30" s="1885" t="s">
        <v>1673</v>
      </c>
      <c r="E30" s="1885" t="s">
        <v>1959</v>
      </c>
      <c r="F30" s="1885" t="s">
        <v>1960</v>
      </c>
      <c r="G30" s="1885" t="s">
        <v>1910</v>
      </c>
      <c r="H30" s="1885" t="s">
        <v>1961</v>
      </c>
      <c r="I30" s="1885" t="s">
        <v>1962</v>
      </c>
      <c r="J30" s="1886" t="s">
        <v>2</v>
      </c>
      <c r="K30" s="731"/>
    </row>
    <row r="31" spans="1:11" ht="12" customHeight="1" x14ac:dyDescent="0.2">
      <c r="A31" s="732" t="s">
        <v>2082</v>
      </c>
      <c r="B31" s="733">
        <v>38526</v>
      </c>
      <c r="C31" s="734">
        <v>1200000</v>
      </c>
      <c r="D31" s="735">
        <v>6</v>
      </c>
      <c r="E31" s="734">
        <v>85000</v>
      </c>
      <c r="F31" s="734"/>
      <c r="G31" s="734"/>
      <c r="H31" s="734">
        <v>85000</v>
      </c>
      <c r="I31" s="1756">
        <f>((E31+F31)-H31)+G31</f>
        <v>0</v>
      </c>
      <c r="J31" s="734">
        <v>0</v>
      </c>
      <c r="K31" s="736"/>
    </row>
    <row r="32" spans="1:11" ht="12" customHeight="1" x14ac:dyDescent="0.2">
      <c r="A32" s="732" t="s">
        <v>2083</v>
      </c>
      <c r="B32" s="733">
        <v>40422</v>
      </c>
      <c r="C32" s="734">
        <v>300000</v>
      </c>
      <c r="D32" s="735">
        <v>2</v>
      </c>
      <c r="E32" s="734">
        <v>170000</v>
      </c>
      <c r="F32" s="734"/>
      <c r="G32" s="734"/>
      <c r="H32" s="734">
        <v>55000</v>
      </c>
      <c r="I32" s="1756">
        <f>((E32+F32)-H32)+G32</f>
        <v>115000</v>
      </c>
      <c r="J32" s="734">
        <f>115000-38207</f>
        <v>76793</v>
      </c>
      <c r="K32" s="736"/>
    </row>
    <row r="33" spans="1:11" ht="12" customHeight="1" x14ac:dyDescent="0.2">
      <c r="A33" s="732" t="s">
        <v>2084</v>
      </c>
      <c r="B33" s="733">
        <v>43173</v>
      </c>
      <c r="C33" s="734">
        <v>605000</v>
      </c>
      <c r="D33" s="735">
        <v>1</v>
      </c>
      <c r="E33" s="734">
        <v>605000</v>
      </c>
      <c r="F33" s="734"/>
      <c r="G33" s="734"/>
      <c r="H33" s="734">
        <v>35000</v>
      </c>
      <c r="I33" s="1756">
        <f t="shared" ref="I33:I48" si="1">((E33+F33)-H33)+G33</f>
        <v>570000</v>
      </c>
      <c r="J33" s="734">
        <v>570000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2105000</v>
      </c>
      <c r="D49" s="745"/>
      <c r="E49" s="1756">
        <f t="shared" ref="E49:J49" si="2">SUM(E31:E48)</f>
        <v>860000</v>
      </c>
      <c r="F49" s="1756">
        <f t="shared" si="2"/>
        <v>0</v>
      </c>
      <c r="G49" s="1756">
        <f t="shared" si="2"/>
        <v>0</v>
      </c>
      <c r="H49" s="1756">
        <f t="shared" si="2"/>
        <v>175000</v>
      </c>
      <c r="I49" s="1756">
        <f t="shared" si="2"/>
        <v>685000</v>
      </c>
      <c r="J49" s="1756">
        <f t="shared" si="2"/>
        <v>646793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6" sqref="K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1963</v>
      </c>
      <c r="B3" s="2236"/>
      <c r="C3" s="2236"/>
      <c r="D3" s="2236"/>
      <c r="E3" s="2237"/>
      <c r="F3" s="763"/>
      <c r="G3" s="764"/>
      <c r="H3" s="764"/>
      <c r="I3" s="764"/>
      <c r="J3" s="765"/>
      <c r="K3" s="765"/>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v>7363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6" t="s">
        <v>1813</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7363</v>
      </c>
      <c r="I12" s="1758">
        <f>SUM(I5:I11)</f>
        <v>0</v>
      </c>
      <c r="J12" s="1758">
        <f>SUM(J5:J11)</f>
        <v>0</v>
      </c>
      <c r="K12" s="1758">
        <f>SUM(K5:K11)</f>
        <v>0</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v>7363</v>
      </c>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1"/>
      <c r="G23" s="1758">
        <f>SUM(G14:G16,G21,G22)</f>
        <v>0</v>
      </c>
      <c r="H23" s="1758">
        <f>SUM(H14:H16,H21,H22)</f>
        <v>7363</v>
      </c>
      <c r="I23" s="1758">
        <f>SUM(I14:I16,I21,I22)</f>
        <v>0</v>
      </c>
      <c r="J23" s="1758">
        <f>SUM(J14:J16,J21,J22)</f>
        <v>0</v>
      </c>
      <c r="K23" s="1758">
        <f>SUM(K14:K16,K21,K22)</f>
        <v>0</v>
      </c>
    </row>
    <row r="24" spans="1:11" ht="14.25" thickTop="1" thickBot="1" x14ac:dyDescent="0.25">
      <c r="A24" s="2247" t="s">
        <v>1964</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5" sqref="D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34890</v>
      </c>
      <c r="D5" s="841"/>
      <c r="E5" s="841"/>
      <c r="F5" s="1760">
        <f>(C5+D5)-E5</f>
        <v>34890</v>
      </c>
      <c r="G5" s="837"/>
      <c r="H5" s="842"/>
      <c r="I5" s="842"/>
      <c r="J5" s="842"/>
      <c r="K5" s="793"/>
      <c r="L5" s="1769">
        <f>F5-K5</f>
        <v>34890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5962882</v>
      </c>
      <c r="D8" s="844">
        <v>6200</v>
      </c>
      <c r="E8" s="844"/>
      <c r="F8" s="1760">
        <f>(C8+D8)-E8</f>
        <v>5969082</v>
      </c>
      <c r="G8" s="843">
        <v>50</v>
      </c>
      <c r="H8" s="765">
        <v>1769445</v>
      </c>
      <c r="I8" s="765">
        <v>120341</v>
      </c>
      <c r="J8" s="765"/>
      <c r="K8" s="1769">
        <f>(H8+I8)-J8</f>
        <v>1889786</v>
      </c>
      <c r="L8" s="1769">
        <f>F8-K8</f>
        <v>4079296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140016</v>
      </c>
      <c r="D10" s="846"/>
      <c r="E10" s="846"/>
      <c r="F10" s="1764">
        <f>(C10+D10)-E10</f>
        <v>140016</v>
      </c>
      <c r="G10" s="843">
        <v>20</v>
      </c>
      <c r="H10" s="847">
        <v>111564</v>
      </c>
      <c r="I10" s="847">
        <v>3060</v>
      </c>
      <c r="J10" s="847"/>
      <c r="K10" s="1769">
        <f>(H10+I10)-J10</f>
        <v>114624</v>
      </c>
      <c r="L10" s="1769">
        <f>F10-K10</f>
        <v>25392</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343356</v>
      </c>
      <c r="D12" s="844">
        <f>9500+15485</f>
        <v>24985</v>
      </c>
      <c r="E12" s="844"/>
      <c r="F12" s="1760">
        <f>(C12+D12)-E12</f>
        <v>368341</v>
      </c>
      <c r="G12" s="843">
        <v>10</v>
      </c>
      <c r="H12" s="765">
        <v>274984</v>
      </c>
      <c r="I12" s="765">
        <f>65+16133</f>
        <v>16198</v>
      </c>
      <c r="J12" s="765"/>
      <c r="K12" s="1769">
        <f>(H12+I12)-J12</f>
        <v>291182</v>
      </c>
      <c r="L12" s="1769">
        <f>F12-K12</f>
        <v>77159</v>
      </c>
    </row>
    <row r="13" spans="1:14" ht="14.25" thickTop="1" thickBot="1" x14ac:dyDescent="0.25">
      <c r="A13" s="848" t="s">
        <v>1122</v>
      </c>
      <c r="B13" s="840">
        <v>252</v>
      </c>
      <c r="C13" s="844">
        <v>131755</v>
      </c>
      <c r="D13" s="844"/>
      <c r="E13" s="844"/>
      <c r="F13" s="1760">
        <f>(C13+D13)-E13</f>
        <v>131755</v>
      </c>
      <c r="G13" s="843">
        <v>5</v>
      </c>
      <c r="H13" s="765">
        <v>126314</v>
      </c>
      <c r="I13" s="765">
        <v>1495</v>
      </c>
      <c r="J13" s="765"/>
      <c r="K13" s="1769">
        <f>(H13+I13)-J13</f>
        <v>127809</v>
      </c>
      <c r="L13" s="1769">
        <f>F13-K13</f>
        <v>3946</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6612899</v>
      </c>
      <c r="D16" s="1760">
        <f>SUM(D3,D5:D6,D8:D10,D12:D15)</f>
        <v>31185</v>
      </c>
      <c r="E16" s="1760">
        <f>SUM(E3,E5:E6,E8:E10,E12:E15)</f>
        <v>0</v>
      </c>
      <c r="F16" s="1760">
        <f>SUM(F3,F5:F6,F8:F10,F12:F15)</f>
        <v>6644084</v>
      </c>
      <c r="G16" s="843"/>
      <c r="H16" s="1760">
        <f>SUM(H3,H6,H8:H10,H12:H14,)</f>
        <v>2282307</v>
      </c>
      <c r="I16" s="1760">
        <f>SUM(I3,I6,I8:I10,I12:I14,)</f>
        <v>141094</v>
      </c>
      <c r="J16" s="1760">
        <f>SUM(J3,J6,J8:J10,J12:J14,)</f>
        <v>0</v>
      </c>
      <c r="K16" s="1760">
        <f>(H16+I16)-J16</f>
        <v>2423401</v>
      </c>
      <c r="L16" s="1760">
        <f>F16-K16</f>
        <v>4220683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141094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32" sqref="I3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1974</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1600515</v>
      </c>
      <c r="G8" s="865"/>
    </row>
    <row r="9" spans="1:7" x14ac:dyDescent="0.2">
      <c r="A9" s="869" t="s">
        <v>460</v>
      </c>
      <c r="B9" s="870" t="s">
        <v>1876</v>
      </c>
      <c r="C9" s="871"/>
      <c r="D9" s="869" t="s">
        <v>501</v>
      </c>
      <c r="E9" s="868"/>
      <c r="F9" s="1909">
        <f>'Expenditures 15-22'!K151</f>
        <v>213057</v>
      </c>
      <c r="G9" s="872"/>
    </row>
    <row r="10" spans="1:7" x14ac:dyDescent="0.2">
      <c r="A10" s="869" t="s">
        <v>499</v>
      </c>
      <c r="B10" s="870" t="s">
        <v>1877</v>
      </c>
      <c r="C10" s="871"/>
      <c r="D10" s="869" t="s">
        <v>501</v>
      </c>
      <c r="E10" s="868"/>
      <c r="F10" s="1909">
        <f>'Expenditures 15-22'!K174</f>
        <v>208439</v>
      </c>
      <c r="G10" s="872"/>
    </row>
    <row r="11" spans="1:7" x14ac:dyDescent="0.2">
      <c r="A11" s="869" t="s">
        <v>461</v>
      </c>
      <c r="B11" s="870" t="s">
        <v>1878</v>
      </c>
      <c r="C11" s="871"/>
      <c r="D11" s="869" t="s">
        <v>501</v>
      </c>
      <c r="E11" s="868"/>
      <c r="F11" s="1909">
        <f>'Expenditures 15-22'!K210</f>
        <v>165713</v>
      </c>
      <c r="G11" s="872"/>
    </row>
    <row r="12" spans="1:7" x14ac:dyDescent="0.2">
      <c r="A12" s="869" t="s">
        <v>462</v>
      </c>
      <c r="B12" s="870" t="s">
        <v>1879</v>
      </c>
      <c r="C12" s="871"/>
      <c r="D12" s="869" t="s">
        <v>501</v>
      </c>
      <c r="E12" s="868"/>
      <c r="F12" s="1909">
        <f>'Expenditures 15-22'!K295</f>
        <v>43183</v>
      </c>
      <c r="G12" s="872"/>
    </row>
    <row r="13" spans="1:7" x14ac:dyDescent="0.2">
      <c r="A13" s="869" t="s">
        <v>106</v>
      </c>
      <c r="B13" s="870" t="s">
        <v>1880</v>
      </c>
      <c r="C13" s="871"/>
      <c r="D13" s="869" t="s">
        <v>501</v>
      </c>
      <c r="E13" s="868"/>
      <c r="F13" s="1909">
        <f>'Expenditures 15-22'!K342</f>
        <v>31848</v>
      </c>
      <c r="G13" s="873"/>
    </row>
    <row r="14" spans="1:7" ht="12" customHeight="1" thickBot="1" x14ac:dyDescent="0.25">
      <c r="A14" s="1770"/>
      <c r="B14" s="1771"/>
      <c r="C14" s="1772"/>
      <c r="D14" s="1773" t="s">
        <v>501</v>
      </c>
      <c r="E14" s="1774" t="s">
        <v>958</v>
      </c>
      <c r="F14" s="1775">
        <f>SUM(F8:F13)</f>
        <v>2262755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4">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2001</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74311</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11789</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1452</v>
      </c>
      <c r="G52" s="865"/>
    </row>
    <row r="53" spans="1:7" x14ac:dyDescent="0.2">
      <c r="A53" s="869" t="s">
        <v>459</v>
      </c>
      <c r="B53" s="869" t="s">
        <v>1475</v>
      </c>
      <c r="C53" s="889">
        <f>'Expenditures 15-22'!B102</f>
        <v>4000</v>
      </c>
      <c r="D53" s="888" t="str">
        <f>'Expenditures 15-22'!A102</f>
        <v>Total Payments to Other Govt Units</v>
      </c>
      <c r="E53" s="868"/>
      <c r="F53" s="1913">
        <f>'Expenditures 15-22'!K102</f>
        <v>52057</v>
      </c>
      <c r="G53" s="865"/>
    </row>
    <row r="54" spans="1:7" x14ac:dyDescent="0.2">
      <c r="A54" s="869" t="s">
        <v>459</v>
      </c>
      <c r="B54" s="869" t="s">
        <v>1476</v>
      </c>
      <c r="C54" s="889" t="s">
        <v>982</v>
      </c>
      <c r="D54" s="885" t="s">
        <v>1095</v>
      </c>
      <c r="E54" s="868"/>
      <c r="F54" s="1913">
        <f>'Expenditures 15-22'!G114</f>
        <v>16630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8355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175000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1407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341001</v>
      </c>
      <c r="G76" s="865"/>
    </row>
    <row r="77" spans="1:8" s="893" customFormat="1" ht="12" customHeight="1" thickTop="1" thickBot="1" x14ac:dyDescent="0.25">
      <c r="A77" s="1779"/>
      <c r="B77" s="1776"/>
      <c r="C77" s="1772"/>
      <c r="D77" s="1777" t="s">
        <v>1899</v>
      </c>
      <c r="E77" s="1774"/>
      <c r="F77" s="1780">
        <f>(F14-F76)</f>
        <v>1921754</v>
      </c>
      <c r="G77" s="869"/>
    </row>
    <row r="78" spans="1:8" s="893" customFormat="1" ht="12" customHeight="1" thickTop="1" x14ac:dyDescent="0.2">
      <c r="A78" s="1781"/>
      <c r="B78" s="1776"/>
      <c r="C78" s="1772"/>
      <c r="D78" s="1777" t="s">
        <v>2061</v>
      </c>
      <c r="E78" s="1774"/>
      <c r="F78" s="898">
        <v>184.5</v>
      </c>
      <c r="G78" s="899"/>
      <c r="H78" s="869"/>
    </row>
    <row r="79" spans="1:8" s="893" customFormat="1" ht="12" customHeight="1" thickBot="1" x14ac:dyDescent="0.25">
      <c r="A79" s="1782"/>
      <c r="B79" s="1776"/>
      <c r="C79" s="1772"/>
      <c r="D79" s="1777" t="s">
        <v>1900</v>
      </c>
      <c r="E79" s="1774" t="s">
        <v>958</v>
      </c>
      <c r="F79" s="1783">
        <f>IF(F78&gt;0,F77/F78," Complete Line 78")</f>
        <v>10416.010840108402</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1988</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29679</v>
      </c>
      <c r="G94" s="912"/>
    </row>
    <row r="95" spans="1:7" x14ac:dyDescent="0.2">
      <c r="A95" s="908" t="s">
        <v>140</v>
      </c>
      <c r="B95" s="908" t="s">
        <v>175</v>
      </c>
      <c r="C95" s="910">
        <v>1700</v>
      </c>
      <c r="D95" s="918" t="str">
        <f>'Revenues 9-14'!A82</f>
        <v>Total District/School Activity Income</v>
      </c>
      <c r="E95" s="906"/>
      <c r="F95" s="1789">
        <f>SUM('Revenues 9-14'!C82,'Revenues 9-14'!D82)</f>
        <v>5762</v>
      </c>
      <c r="G95" s="912"/>
    </row>
    <row r="96" spans="1:7" x14ac:dyDescent="0.2">
      <c r="A96" s="908" t="s">
        <v>459</v>
      </c>
      <c r="B96" s="908" t="s">
        <v>176</v>
      </c>
      <c r="C96" s="910">
        <f>'Revenues 9-14'!B84</f>
        <v>1811</v>
      </c>
      <c r="D96" s="911" t="str">
        <f>'Revenues 9-14'!A84</f>
        <v>Rentals - Regular Textbooks</v>
      </c>
      <c r="E96" s="906"/>
      <c r="F96" s="1789">
        <f>'Revenues 9-14'!C84</f>
        <v>15765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21424</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20997</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1345</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128244</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7">
        <f>SUM('Revenues 9-14'!C163:G163)</f>
        <v>0</v>
      </c>
      <c r="G118" s="912"/>
    </row>
    <row r="119" spans="1:7" x14ac:dyDescent="0.2">
      <c r="A119" s="923" t="s">
        <v>504</v>
      </c>
      <c r="B119" s="923" t="s">
        <v>2016</v>
      </c>
      <c r="C119" s="924">
        <f>'Revenues 9-14'!B164</f>
        <v>3815</v>
      </c>
      <c r="D119" s="925" t="str">
        <f>'Revenues 9-14'!A164</f>
        <v>State Charter Schools</v>
      </c>
      <c r="E119" s="906"/>
      <c r="F119" s="1907">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20044</v>
      </c>
      <c r="G124" s="930"/>
    </row>
    <row r="125" spans="1:7" x14ac:dyDescent="0.2">
      <c r="A125" s="927" t="s">
        <v>664</v>
      </c>
      <c r="B125" s="927" t="s">
        <v>2022</v>
      </c>
      <c r="C125" s="932">
        <v>4200</v>
      </c>
      <c r="D125" s="929" t="str">
        <f>'Revenues 9-14'!A198</f>
        <v>Total Food Service</v>
      </c>
      <c r="E125" s="906"/>
      <c r="F125" s="1789">
        <f>SUM('Revenues 9-14'!C198,'Revenues 9-14'!G198)</f>
        <v>68990</v>
      </c>
      <c r="G125" s="930"/>
    </row>
    <row r="126" spans="1:7" x14ac:dyDescent="0.2">
      <c r="A126" s="927" t="s">
        <v>668</v>
      </c>
      <c r="B126" s="927" t="s">
        <v>2023</v>
      </c>
      <c r="C126" s="932">
        <v>4300</v>
      </c>
      <c r="D126" s="933" t="str">
        <f>'Revenues 9-14'!A204</f>
        <v>Total Title I</v>
      </c>
      <c r="E126" s="906"/>
      <c r="F126" s="1789">
        <f>SUM('Revenues 9-14'!C204,'Revenues 9-14'!D204,'Revenues 9-14'!F204,'Revenues 9-14'!G204)</f>
        <v>78232</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7">
        <f>SUM('Revenues 9-14'!C259,'Revenues 9-14'!D259,'Revenues 9-14'!F259,'Revenues 9-14'!G259)</f>
        <v>18395</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4226</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25634</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58584</v>
      </c>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499309</v>
      </c>
    </row>
    <row r="175" spans="1:7" ht="12" customHeight="1" x14ac:dyDescent="0.2">
      <c r="A175" s="1770"/>
      <c r="B175" s="1784"/>
      <c r="C175" s="1785"/>
      <c r="D175" s="1786" t="s">
        <v>2056</v>
      </c>
      <c r="E175" s="1787"/>
      <c r="F175" s="1789">
        <f>'PCTC-OEPP 27-28'!F77-F174</f>
        <v>1422445</v>
      </c>
    </row>
    <row r="176" spans="1:7" ht="12" customHeight="1" x14ac:dyDescent="0.2">
      <c r="A176" s="1770"/>
      <c r="B176" s="1784"/>
      <c r="C176" s="1785"/>
      <c r="D176" s="1786" t="s">
        <v>1817</v>
      </c>
      <c r="E176" s="1787"/>
      <c r="F176" s="1789">
        <f>'Cap Outlay Deprec 26'!I18</f>
        <v>141094</v>
      </c>
    </row>
    <row r="177" spans="1:7" ht="12" customHeight="1" x14ac:dyDescent="0.2">
      <c r="A177" s="1770"/>
      <c r="B177" s="1784"/>
      <c r="C177" s="1785"/>
      <c r="D177" s="1786" t="s">
        <v>2057</v>
      </c>
      <c r="E177" s="1787"/>
      <c r="F177" s="1789">
        <f>F175+F176</f>
        <v>1563539</v>
      </c>
    </row>
    <row r="178" spans="1:7" ht="12" customHeight="1" x14ac:dyDescent="0.2">
      <c r="A178" s="1770"/>
      <c r="B178" s="1790"/>
      <c r="C178" s="1785"/>
      <c r="D178" s="1786" t="str">
        <f>D78</f>
        <v>9 Month ADA from District Average Daily Attendance/Prior General State Aid Inquiry 2018-2019</v>
      </c>
      <c r="E178" s="1787"/>
      <c r="F178" s="1791">
        <f>'PCTC-OEPP 27-28'!F78</f>
        <v>184.5</v>
      </c>
      <c r="G178" s="930"/>
    </row>
    <row r="179" spans="1:7" ht="12" customHeight="1" thickBot="1" x14ac:dyDescent="0.25">
      <c r="A179" s="1770"/>
      <c r="B179" s="1790"/>
      <c r="C179" s="1785"/>
      <c r="D179" s="1786" t="s">
        <v>2058</v>
      </c>
      <c r="E179" s="1787" t="s">
        <v>1545</v>
      </c>
      <c r="F179" s="1792">
        <f>F177/F178</f>
        <v>8474.4661246612468</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6" zoomScaleNormal="100" workbookViewId="0">
      <selection activeCell="A144" sqref="A144"/>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1933</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1975</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2085</v>
      </c>
      <c r="B17" s="1939" t="s">
        <v>2096</v>
      </c>
      <c r="C17" s="1938" t="s">
        <v>2086</v>
      </c>
      <c r="D17" s="1844">
        <v>6564</v>
      </c>
      <c r="E17" s="1540">
        <f t="shared" ref="E17:E141" si="0">IF(D17&lt;=25000,D17,IF(D17&gt;25000,25000,0))</f>
        <v>6564</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6564</v>
      </c>
      <c r="G17" s="1793">
        <f>IF(F17=0,0,D17-F17)</f>
        <v>0</v>
      </c>
      <c r="H17" s="1647"/>
    </row>
    <row r="18" spans="1:8" x14ac:dyDescent="0.25">
      <c r="A18" s="1937" t="s">
        <v>2085</v>
      </c>
      <c r="B18" s="1939" t="s">
        <v>2096</v>
      </c>
      <c r="C18" s="1938" t="s">
        <v>2087</v>
      </c>
      <c r="D18" s="1844">
        <v>2850</v>
      </c>
      <c r="E18" s="1540">
        <f t="shared" ref="E18:E140" si="2">IF(D18&lt;=25000,D18,IF(D18&gt;25000,25000,0))</f>
        <v>2850</v>
      </c>
      <c r="F18" s="1932">
        <f t="shared" si="1"/>
        <v>2850</v>
      </c>
      <c r="G18" s="1793">
        <f t="shared" ref="G18:G140" si="3">IF(F18=0,0,D18-F18)</f>
        <v>0</v>
      </c>
    </row>
    <row r="19" spans="1:8" x14ac:dyDescent="0.25">
      <c r="A19" s="1937" t="s">
        <v>2085</v>
      </c>
      <c r="B19" s="1939" t="s">
        <v>2096</v>
      </c>
      <c r="C19" s="1938" t="s">
        <v>2088</v>
      </c>
      <c r="D19" s="1844">
        <v>4396</v>
      </c>
      <c r="E19" s="1540">
        <f t="shared" si="2"/>
        <v>4396</v>
      </c>
      <c r="F19" s="1932">
        <f t="shared" si="1"/>
        <v>4396</v>
      </c>
      <c r="G19" s="1793">
        <f t="shared" si="3"/>
        <v>0</v>
      </c>
    </row>
    <row r="20" spans="1:8" x14ac:dyDescent="0.25">
      <c r="A20" s="1937" t="s">
        <v>2085</v>
      </c>
      <c r="B20" s="1939" t="s">
        <v>2096</v>
      </c>
      <c r="C20" s="1938" t="s">
        <v>2089</v>
      </c>
      <c r="D20" s="1844">
        <v>2317</v>
      </c>
      <c r="E20" s="1540">
        <f t="shared" si="2"/>
        <v>2317</v>
      </c>
      <c r="F20" s="1932">
        <f t="shared" si="1"/>
        <v>2317</v>
      </c>
      <c r="G20" s="1793">
        <f t="shared" si="3"/>
        <v>0</v>
      </c>
    </row>
    <row r="21" spans="1:8" x14ac:dyDescent="0.25">
      <c r="A21" s="1937" t="s">
        <v>2085</v>
      </c>
      <c r="B21" s="1939" t="s">
        <v>2096</v>
      </c>
      <c r="C21" s="1938" t="s">
        <v>2090</v>
      </c>
      <c r="D21" s="1844">
        <v>33</v>
      </c>
      <c r="E21" s="1540">
        <f t="shared" si="2"/>
        <v>33</v>
      </c>
      <c r="F21" s="1932">
        <f t="shared" si="1"/>
        <v>33</v>
      </c>
      <c r="G21" s="1793">
        <f t="shared" si="3"/>
        <v>0</v>
      </c>
    </row>
    <row r="22" spans="1:8" hidden="1" x14ac:dyDescent="0.25">
      <c r="A22" s="1653"/>
      <c r="B22" s="1934"/>
      <c r="C22" s="1656"/>
      <c r="D22" s="1844"/>
      <c r="E22" s="1540">
        <f t="shared" si="2"/>
        <v>0</v>
      </c>
      <c r="F22" s="1932">
        <f t="shared" si="1"/>
        <v>0</v>
      </c>
      <c r="G22" s="1793">
        <f t="shared" si="3"/>
        <v>0</v>
      </c>
    </row>
    <row r="23" spans="1:8" hidden="1" x14ac:dyDescent="0.25">
      <c r="A23" s="1653"/>
      <c r="B23" s="1934"/>
      <c r="C23" s="1656"/>
      <c r="D23" s="1844"/>
      <c r="E23" s="1540">
        <f t="shared" si="2"/>
        <v>0</v>
      </c>
      <c r="F23" s="1932">
        <f t="shared" si="1"/>
        <v>0</v>
      </c>
      <c r="G23" s="1793">
        <f t="shared" si="3"/>
        <v>0</v>
      </c>
    </row>
    <row r="24" spans="1:8" hidden="1" x14ac:dyDescent="0.25">
      <c r="A24" s="1653"/>
      <c r="B24" s="1934"/>
      <c r="C24" s="1656"/>
      <c r="D24" s="1844"/>
      <c r="E24" s="1540">
        <f t="shared" si="2"/>
        <v>0</v>
      </c>
      <c r="F24" s="1932">
        <f t="shared" si="1"/>
        <v>0</v>
      </c>
      <c r="G24" s="1793">
        <f t="shared" si="3"/>
        <v>0</v>
      </c>
    </row>
    <row r="25" spans="1:8" hidden="1" x14ac:dyDescent="0.25">
      <c r="A25" s="1653"/>
      <c r="B25" s="1934"/>
      <c r="C25" s="1656"/>
      <c r="D25" s="1844"/>
      <c r="E25" s="1540">
        <f t="shared" si="2"/>
        <v>0</v>
      </c>
      <c r="F25" s="1932">
        <f t="shared" si="1"/>
        <v>0</v>
      </c>
      <c r="G25" s="1793">
        <f t="shared" si="3"/>
        <v>0</v>
      </c>
    </row>
    <row r="26" spans="1:8" hidden="1" x14ac:dyDescent="0.25">
      <c r="A26" s="1653"/>
      <c r="B26" s="1934"/>
      <c r="C26" s="1654"/>
      <c r="D26" s="1844"/>
      <c r="E26" s="1540">
        <f t="shared" si="2"/>
        <v>0</v>
      </c>
      <c r="F26" s="1932">
        <f t="shared" si="1"/>
        <v>0</v>
      </c>
      <c r="G26" s="1793">
        <f t="shared" si="3"/>
        <v>0</v>
      </c>
    </row>
    <row r="27" spans="1:8" hidden="1" x14ac:dyDescent="0.25">
      <c r="A27" s="1653"/>
      <c r="B27" s="1934"/>
      <c r="C27" s="1654"/>
      <c r="D27" s="1844"/>
      <c r="E27" s="1540">
        <f t="shared" si="2"/>
        <v>0</v>
      </c>
      <c r="F27" s="1932">
        <f t="shared" si="1"/>
        <v>0</v>
      </c>
      <c r="G27" s="1793">
        <f t="shared" si="3"/>
        <v>0</v>
      </c>
    </row>
    <row r="28" spans="1:8" hidden="1" x14ac:dyDescent="0.25">
      <c r="A28" s="1653"/>
      <c r="B28" s="1934"/>
      <c r="C28" s="1654"/>
      <c r="D28" s="1844"/>
      <c r="E28" s="1540">
        <f t="shared" si="2"/>
        <v>0</v>
      </c>
      <c r="F28" s="1932">
        <f t="shared" si="1"/>
        <v>0</v>
      </c>
      <c r="G28" s="1793">
        <f t="shared" si="3"/>
        <v>0</v>
      </c>
    </row>
    <row r="29" spans="1:8" hidden="1" x14ac:dyDescent="0.25">
      <c r="A29" s="1653"/>
      <c r="B29" s="1934"/>
      <c r="C29" s="1654"/>
      <c r="D29" s="1844"/>
      <c r="E29" s="1540">
        <f t="shared" si="2"/>
        <v>0</v>
      </c>
      <c r="F29" s="1932">
        <f t="shared" si="1"/>
        <v>0</v>
      </c>
      <c r="G29" s="1793">
        <f t="shared" si="3"/>
        <v>0</v>
      </c>
    </row>
    <row r="30" spans="1:8" hidden="1" x14ac:dyDescent="0.25">
      <c r="A30" s="1653"/>
      <c r="B30" s="1934"/>
      <c r="C30" s="1654"/>
      <c r="D30" s="1844"/>
      <c r="E30" s="1540">
        <f t="shared" si="2"/>
        <v>0</v>
      </c>
      <c r="F30" s="1932">
        <f t="shared" si="1"/>
        <v>0</v>
      </c>
      <c r="G30" s="1793">
        <f t="shared" si="3"/>
        <v>0</v>
      </c>
    </row>
    <row r="31" spans="1:8" hidden="1" x14ac:dyDescent="0.25">
      <c r="A31" s="1653"/>
      <c r="B31" s="1934"/>
      <c r="C31" s="1654"/>
      <c r="D31" s="1844"/>
      <c r="E31" s="1540">
        <f t="shared" si="2"/>
        <v>0</v>
      </c>
      <c r="F31" s="1932">
        <f t="shared" si="1"/>
        <v>0</v>
      </c>
      <c r="G31" s="1793">
        <f t="shared" si="3"/>
        <v>0</v>
      </c>
    </row>
    <row r="32" spans="1:8" hidden="1" x14ac:dyDescent="0.25">
      <c r="A32" s="1653"/>
      <c r="B32" s="1934"/>
      <c r="C32" s="1654"/>
      <c r="D32" s="1844"/>
      <c r="E32" s="1540">
        <f t="shared" si="2"/>
        <v>0</v>
      </c>
      <c r="F32" s="1932">
        <f t="shared" si="1"/>
        <v>0</v>
      </c>
      <c r="G32" s="1793">
        <f t="shared" si="3"/>
        <v>0</v>
      </c>
    </row>
    <row r="33" spans="1:7" hidden="1" x14ac:dyDescent="0.25">
      <c r="A33" s="1653"/>
      <c r="B33" s="1934"/>
      <c r="C33" s="1654"/>
      <c r="D33" s="1844"/>
      <c r="E33" s="1540">
        <f t="shared" si="2"/>
        <v>0</v>
      </c>
      <c r="F33" s="1932">
        <f t="shared" si="1"/>
        <v>0</v>
      </c>
      <c r="G33" s="1793">
        <f t="shared" si="3"/>
        <v>0</v>
      </c>
    </row>
    <row r="34" spans="1:7" hidden="1" x14ac:dyDescent="0.25">
      <c r="A34" s="1653"/>
      <c r="B34" s="1934"/>
      <c r="C34" s="1654"/>
      <c r="D34" s="1844"/>
      <c r="E34" s="1540">
        <f t="shared" si="2"/>
        <v>0</v>
      </c>
      <c r="F34" s="1932">
        <f t="shared" si="1"/>
        <v>0</v>
      </c>
      <c r="G34" s="1793">
        <f t="shared" si="3"/>
        <v>0</v>
      </c>
    </row>
    <row r="35" spans="1:7" hidden="1" x14ac:dyDescent="0.25">
      <c r="A35" s="1653"/>
      <c r="B35" s="1934"/>
      <c r="C35" s="1654"/>
      <c r="D35" s="1844"/>
      <c r="E35" s="1540">
        <f t="shared" si="2"/>
        <v>0</v>
      </c>
      <c r="F35" s="1932">
        <f t="shared" si="1"/>
        <v>0</v>
      </c>
      <c r="G35" s="1793">
        <f t="shared" si="3"/>
        <v>0</v>
      </c>
    </row>
    <row r="36" spans="1:7" hidden="1" x14ac:dyDescent="0.25">
      <c r="A36" s="1653"/>
      <c r="B36" s="1934"/>
      <c r="C36" s="1654"/>
      <c r="D36" s="1844"/>
      <c r="E36" s="1540">
        <f t="shared" si="2"/>
        <v>0</v>
      </c>
      <c r="F36" s="1932">
        <f t="shared" si="1"/>
        <v>0</v>
      </c>
      <c r="G36" s="1793">
        <f t="shared" si="3"/>
        <v>0</v>
      </c>
    </row>
    <row r="37" spans="1:7" hidden="1" x14ac:dyDescent="0.25">
      <c r="A37" s="1653"/>
      <c r="B37" s="1934"/>
      <c r="C37" s="1654"/>
      <c r="D37" s="1844"/>
      <c r="E37" s="1540">
        <f t="shared" si="2"/>
        <v>0</v>
      </c>
      <c r="F37" s="1932">
        <f t="shared" si="1"/>
        <v>0</v>
      </c>
      <c r="G37" s="1793">
        <f t="shared" si="3"/>
        <v>0</v>
      </c>
    </row>
    <row r="38" spans="1:7" hidden="1" x14ac:dyDescent="0.25">
      <c r="A38" s="1653"/>
      <c r="B38" s="1935"/>
      <c r="C38" s="1654"/>
      <c r="D38" s="1844"/>
      <c r="E38" s="1540">
        <f t="shared" si="2"/>
        <v>0</v>
      </c>
      <c r="F38" s="1932">
        <f t="shared" si="1"/>
        <v>0</v>
      </c>
      <c r="G38" s="1793">
        <f t="shared" si="3"/>
        <v>0</v>
      </c>
    </row>
    <row r="39" spans="1:7" hidden="1" x14ac:dyDescent="0.25">
      <c r="A39" s="1653"/>
      <c r="B39" s="1935"/>
      <c r="C39" s="1654"/>
      <c r="D39" s="1844"/>
      <c r="E39" s="1540">
        <f t="shared" si="2"/>
        <v>0</v>
      </c>
      <c r="F39" s="1932">
        <f t="shared" si="1"/>
        <v>0</v>
      </c>
      <c r="G39" s="1793">
        <f t="shared" si="3"/>
        <v>0</v>
      </c>
    </row>
    <row r="40" spans="1:7" hidden="1" x14ac:dyDescent="0.25">
      <c r="A40" s="1653"/>
      <c r="B40" s="1935"/>
      <c r="C40" s="1654"/>
      <c r="D40" s="1844"/>
      <c r="E40" s="1540">
        <f t="shared" si="2"/>
        <v>0</v>
      </c>
      <c r="F40" s="1932">
        <f t="shared" si="1"/>
        <v>0</v>
      </c>
      <c r="G40" s="1793">
        <f t="shared" si="3"/>
        <v>0</v>
      </c>
    </row>
    <row r="41" spans="1:7" hidden="1" x14ac:dyDescent="0.25">
      <c r="A41" s="1653"/>
      <c r="B41" s="1935"/>
      <c r="C41" s="1654"/>
      <c r="D41" s="1844"/>
      <c r="E41" s="1540">
        <f t="shared" si="2"/>
        <v>0</v>
      </c>
      <c r="F41" s="1932">
        <f t="shared" si="1"/>
        <v>0</v>
      </c>
      <c r="G41" s="1793">
        <f t="shared" si="3"/>
        <v>0</v>
      </c>
    </row>
    <row r="42" spans="1:7" hidden="1" x14ac:dyDescent="0.25">
      <c r="A42" s="1653"/>
      <c r="B42" s="1935"/>
      <c r="C42" s="1654"/>
      <c r="D42" s="1844"/>
      <c r="E42" s="1540">
        <f t="shared" si="2"/>
        <v>0</v>
      </c>
      <c r="F42" s="1932">
        <f t="shared" si="1"/>
        <v>0</v>
      </c>
      <c r="G42" s="1793">
        <f t="shared" si="3"/>
        <v>0</v>
      </c>
    </row>
    <row r="43" spans="1:7" hidden="1" x14ac:dyDescent="0.25">
      <c r="A43" s="1653"/>
      <c r="B43" s="1935"/>
      <c r="C43" s="1654"/>
      <c r="D43" s="1844"/>
      <c r="E43" s="1540">
        <f t="shared" si="2"/>
        <v>0</v>
      </c>
      <c r="F43" s="1932">
        <f t="shared" si="1"/>
        <v>0</v>
      </c>
      <c r="G43" s="1793">
        <f t="shared" si="3"/>
        <v>0</v>
      </c>
    </row>
    <row r="44" spans="1:7" hidden="1" x14ac:dyDescent="0.25">
      <c r="A44" s="1653"/>
      <c r="B44" s="1935"/>
      <c r="C44" s="1654"/>
      <c r="D44" s="1844"/>
      <c r="E44" s="1540">
        <f t="shared" si="2"/>
        <v>0</v>
      </c>
      <c r="F44" s="1932">
        <f t="shared" si="1"/>
        <v>0</v>
      </c>
      <c r="G44" s="1793">
        <f t="shared" si="3"/>
        <v>0</v>
      </c>
    </row>
    <row r="45" spans="1:7" hidden="1" x14ac:dyDescent="0.25">
      <c r="A45" s="1653"/>
      <c r="B45" s="1935"/>
      <c r="C45" s="1654"/>
      <c r="D45" s="1844"/>
      <c r="E45" s="1540">
        <f t="shared" si="2"/>
        <v>0</v>
      </c>
      <c r="F45" s="1932">
        <f t="shared" si="1"/>
        <v>0</v>
      </c>
      <c r="G45" s="1793">
        <f t="shared" si="3"/>
        <v>0</v>
      </c>
    </row>
    <row r="46" spans="1:7" hidden="1" x14ac:dyDescent="0.25">
      <c r="A46" s="1653"/>
      <c r="B46" s="1667"/>
      <c r="C46" s="1654"/>
      <c r="D46" s="1844"/>
      <c r="E46" s="1540">
        <f t="shared" si="2"/>
        <v>0</v>
      </c>
      <c r="F46" s="1932">
        <f t="shared" si="1"/>
        <v>0</v>
      </c>
      <c r="G46" s="1793">
        <f t="shared" si="3"/>
        <v>0</v>
      </c>
    </row>
    <row r="47" spans="1:7" hidden="1" x14ac:dyDescent="0.25">
      <c r="A47" s="1653"/>
      <c r="B47" s="1667"/>
      <c r="C47" s="1654"/>
      <c r="D47" s="1844"/>
      <c r="E47" s="1540">
        <f t="shared" si="2"/>
        <v>0</v>
      </c>
      <c r="F47" s="1932">
        <f t="shared" si="1"/>
        <v>0</v>
      </c>
      <c r="G47" s="1793">
        <f t="shared" si="3"/>
        <v>0</v>
      </c>
    </row>
    <row r="48" spans="1:7" hidden="1" x14ac:dyDescent="0.25">
      <c r="A48" s="1653"/>
      <c r="B48" s="1667"/>
      <c r="C48" s="1654"/>
      <c r="D48" s="1844"/>
      <c r="E48" s="1540">
        <f t="shared" si="2"/>
        <v>0</v>
      </c>
      <c r="F48" s="1932">
        <f t="shared" si="1"/>
        <v>0</v>
      </c>
      <c r="G48" s="1793">
        <f t="shared" si="3"/>
        <v>0</v>
      </c>
    </row>
    <row r="49" spans="1:7" hidden="1" x14ac:dyDescent="0.25">
      <c r="A49" s="1653"/>
      <c r="B49" s="1667"/>
      <c r="C49" s="1654"/>
      <c r="D49" s="1844"/>
      <c r="E49" s="1540">
        <f t="shared" si="2"/>
        <v>0</v>
      </c>
      <c r="F49" s="1932">
        <f t="shared" si="1"/>
        <v>0</v>
      </c>
      <c r="G49" s="1793">
        <f t="shared" si="3"/>
        <v>0</v>
      </c>
    </row>
    <row r="50" spans="1:7" hidden="1" x14ac:dyDescent="0.25">
      <c r="A50" s="1653"/>
      <c r="B50" s="1667"/>
      <c r="C50" s="1654"/>
      <c r="D50" s="1844"/>
      <c r="E50" s="1540">
        <f t="shared" si="2"/>
        <v>0</v>
      </c>
      <c r="F50" s="1932">
        <f t="shared" si="1"/>
        <v>0</v>
      </c>
      <c r="G50" s="1793">
        <f t="shared" si="3"/>
        <v>0</v>
      </c>
    </row>
    <row r="51" spans="1:7" hidden="1" x14ac:dyDescent="0.25">
      <c r="A51" s="1653"/>
      <c r="B51" s="1667"/>
      <c r="C51" s="1654"/>
      <c r="D51" s="1844"/>
      <c r="E51" s="1540">
        <f t="shared" si="2"/>
        <v>0</v>
      </c>
      <c r="F51" s="1932">
        <f t="shared" si="1"/>
        <v>0</v>
      </c>
      <c r="G51" s="1793">
        <f t="shared" si="3"/>
        <v>0</v>
      </c>
    </row>
    <row r="52" spans="1:7" hidden="1" x14ac:dyDescent="0.25">
      <c r="A52" s="1653"/>
      <c r="B52" s="1667"/>
      <c r="C52" s="1654"/>
      <c r="D52" s="1844"/>
      <c r="E52" s="1540">
        <f t="shared" si="2"/>
        <v>0</v>
      </c>
      <c r="F52" s="1932">
        <f t="shared" si="1"/>
        <v>0</v>
      </c>
      <c r="G52" s="1793">
        <f t="shared" si="3"/>
        <v>0</v>
      </c>
    </row>
    <row r="53" spans="1:7" hidden="1" x14ac:dyDescent="0.25">
      <c r="A53" s="1653"/>
      <c r="B53" s="1667"/>
      <c r="C53" s="1654"/>
      <c r="D53" s="1844"/>
      <c r="E53" s="1540">
        <f t="shared" si="2"/>
        <v>0</v>
      </c>
      <c r="F53" s="1932">
        <f t="shared" si="1"/>
        <v>0</v>
      </c>
      <c r="G53" s="1793">
        <f t="shared" si="3"/>
        <v>0</v>
      </c>
    </row>
    <row r="54" spans="1:7" hidden="1" x14ac:dyDescent="0.25">
      <c r="A54" s="1653"/>
      <c r="B54" s="1667"/>
      <c r="C54" s="1654"/>
      <c r="D54" s="1844"/>
      <c r="E54" s="1540">
        <f t="shared" si="2"/>
        <v>0</v>
      </c>
      <c r="F54" s="1932">
        <f t="shared" si="1"/>
        <v>0</v>
      </c>
      <c r="G54" s="1793">
        <f t="shared" si="3"/>
        <v>0</v>
      </c>
    </row>
    <row r="55" spans="1:7" hidden="1" x14ac:dyDescent="0.25">
      <c r="A55" s="1653"/>
      <c r="B55" s="1667"/>
      <c r="C55" s="1654"/>
      <c r="D55" s="1844"/>
      <c r="E55" s="1540">
        <f t="shared" si="2"/>
        <v>0</v>
      </c>
      <c r="F55" s="1932">
        <f t="shared" si="1"/>
        <v>0</v>
      </c>
      <c r="G55" s="1793">
        <f t="shared" si="3"/>
        <v>0</v>
      </c>
    </row>
    <row r="56" spans="1:7" hidden="1" x14ac:dyDescent="0.25">
      <c r="A56" s="1653"/>
      <c r="B56" s="1667"/>
      <c r="C56" s="1654"/>
      <c r="D56" s="1844"/>
      <c r="E56" s="1540">
        <f t="shared" si="2"/>
        <v>0</v>
      </c>
      <c r="F56" s="1932">
        <f t="shared" si="1"/>
        <v>0</v>
      </c>
      <c r="G56" s="1793">
        <f t="shared" si="3"/>
        <v>0</v>
      </c>
    </row>
    <row r="57" spans="1:7" hidden="1" x14ac:dyDescent="0.25">
      <c r="A57" s="1653"/>
      <c r="B57" s="1667"/>
      <c r="C57" s="1654"/>
      <c r="D57" s="1844"/>
      <c r="E57" s="1540">
        <f t="shared" si="2"/>
        <v>0</v>
      </c>
      <c r="F57" s="1932">
        <f t="shared" si="1"/>
        <v>0</v>
      </c>
      <c r="G57" s="1793">
        <f t="shared" si="3"/>
        <v>0</v>
      </c>
    </row>
    <row r="58" spans="1:7" hidden="1" x14ac:dyDescent="0.25">
      <c r="A58" s="1653"/>
      <c r="B58" s="1667"/>
      <c r="C58" s="1654"/>
      <c r="D58" s="1844"/>
      <c r="E58" s="1540">
        <f t="shared" si="2"/>
        <v>0</v>
      </c>
      <c r="F58" s="1932">
        <f t="shared" si="1"/>
        <v>0</v>
      </c>
      <c r="G58" s="1793">
        <f t="shared" si="3"/>
        <v>0</v>
      </c>
    </row>
    <row r="59" spans="1:7" hidden="1" x14ac:dyDescent="0.25">
      <c r="A59" s="1653"/>
      <c r="B59" s="1667"/>
      <c r="C59" s="1654"/>
      <c r="D59" s="1844"/>
      <c r="E59" s="1540">
        <f t="shared" si="2"/>
        <v>0</v>
      </c>
      <c r="F59" s="1932">
        <f t="shared" si="1"/>
        <v>0</v>
      </c>
      <c r="G59" s="1793">
        <f t="shared" si="3"/>
        <v>0</v>
      </c>
    </row>
    <row r="60" spans="1:7" hidden="1" x14ac:dyDescent="0.25">
      <c r="A60" s="1653"/>
      <c r="B60" s="1667"/>
      <c r="C60" s="1654"/>
      <c r="D60" s="1844"/>
      <c r="E60" s="1540">
        <f t="shared" si="2"/>
        <v>0</v>
      </c>
      <c r="F60" s="1932">
        <f t="shared" si="1"/>
        <v>0</v>
      </c>
      <c r="G60" s="1793">
        <f t="shared" si="3"/>
        <v>0</v>
      </c>
    </row>
    <row r="61" spans="1:7" hidden="1" x14ac:dyDescent="0.25">
      <c r="A61" s="1653"/>
      <c r="B61" s="1667"/>
      <c r="C61" s="1654"/>
      <c r="D61" s="1844"/>
      <c r="E61" s="1540">
        <f t="shared" si="2"/>
        <v>0</v>
      </c>
      <c r="F61" s="1932">
        <f t="shared" si="1"/>
        <v>0</v>
      </c>
      <c r="G61" s="1793">
        <f t="shared" si="3"/>
        <v>0</v>
      </c>
    </row>
    <row r="62" spans="1:7" hidden="1" x14ac:dyDescent="0.25">
      <c r="A62" s="1653"/>
      <c r="B62" s="1667"/>
      <c r="C62" s="1654"/>
      <c r="D62" s="1844"/>
      <c r="E62" s="1540">
        <f t="shared" si="2"/>
        <v>0</v>
      </c>
      <c r="F62" s="1932">
        <f t="shared" si="1"/>
        <v>0</v>
      </c>
      <c r="G62" s="1793">
        <f t="shared" si="3"/>
        <v>0</v>
      </c>
    </row>
    <row r="63" spans="1:7" hidden="1" x14ac:dyDescent="0.25">
      <c r="A63" s="1653"/>
      <c r="B63" s="1667"/>
      <c r="C63" s="1654"/>
      <c r="D63" s="1844"/>
      <c r="E63" s="1540">
        <f t="shared" si="2"/>
        <v>0</v>
      </c>
      <c r="F63" s="1932">
        <f t="shared" si="1"/>
        <v>0</v>
      </c>
      <c r="G63" s="1793">
        <f t="shared" si="3"/>
        <v>0</v>
      </c>
    </row>
    <row r="64" spans="1:7" hidden="1" x14ac:dyDescent="0.25">
      <c r="A64" s="1655"/>
      <c r="B64" s="1667"/>
      <c r="C64" s="1656"/>
      <c r="D64" s="1844"/>
      <c r="E64" s="1540">
        <f t="shared" si="2"/>
        <v>0</v>
      </c>
      <c r="F64" s="1932">
        <f t="shared" si="1"/>
        <v>0</v>
      </c>
      <c r="G64" s="1793">
        <f t="shared" si="3"/>
        <v>0</v>
      </c>
    </row>
    <row r="65" spans="1:7" hidden="1" x14ac:dyDescent="0.25">
      <c r="A65" s="1653"/>
      <c r="B65" s="1667"/>
      <c r="C65" s="1654"/>
      <c r="D65" s="1844"/>
      <c r="E65" s="1540">
        <f t="shared" si="2"/>
        <v>0</v>
      </c>
      <c r="F65" s="1932">
        <f t="shared" si="1"/>
        <v>0</v>
      </c>
      <c r="G65" s="1793">
        <f t="shared" si="3"/>
        <v>0</v>
      </c>
    </row>
    <row r="66" spans="1:7" hidden="1" x14ac:dyDescent="0.25">
      <c r="A66" s="1653"/>
      <c r="B66" s="1667"/>
      <c r="C66" s="1654"/>
      <c r="D66" s="1844"/>
      <c r="E66" s="1540">
        <f t="shared" si="2"/>
        <v>0</v>
      </c>
      <c r="F66" s="1932">
        <f t="shared" si="1"/>
        <v>0</v>
      </c>
      <c r="G66" s="1793">
        <f t="shared" si="3"/>
        <v>0</v>
      </c>
    </row>
    <row r="67" spans="1:7" hidden="1" x14ac:dyDescent="0.25">
      <c r="A67" s="1653"/>
      <c r="B67" s="1667"/>
      <c r="C67" s="1654"/>
      <c r="D67" s="1844"/>
      <c r="E67" s="1540">
        <f t="shared" si="2"/>
        <v>0</v>
      </c>
      <c r="F67" s="1932">
        <f t="shared" si="1"/>
        <v>0</v>
      </c>
      <c r="G67" s="1793">
        <f t="shared" si="3"/>
        <v>0</v>
      </c>
    </row>
    <row r="68" spans="1:7" hidden="1" x14ac:dyDescent="0.25">
      <c r="A68" s="1653"/>
      <c r="B68" s="1667"/>
      <c r="C68" s="1654"/>
      <c r="D68" s="1844"/>
      <c r="E68" s="1540">
        <f t="shared" si="2"/>
        <v>0</v>
      </c>
      <c r="F68" s="1932">
        <f t="shared" si="1"/>
        <v>0</v>
      </c>
      <c r="G68" s="1793">
        <f t="shared" si="3"/>
        <v>0</v>
      </c>
    </row>
    <row r="69" spans="1:7" hidden="1" x14ac:dyDescent="0.25">
      <c r="A69" s="1653"/>
      <c r="B69" s="1667"/>
      <c r="C69" s="1654"/>
      <c r="D69" s="1844"/>
      <c r="E69" s="1540">
        <f t="shared" si="2"/>
        <v>0</v>
      </c>
      <c r="F69" s="1932">
        <f t="shared" si="1"/>
        <v>0</v>
      </c>
      <c r="G69" s="1793">
        <f t="shared" si="3"/>
        <v>0</v>
      </c>
    </row>
    <row r="70" spans="1:7" hidden="1" x14ac:dyDescent="0.25">
      <c r="A70" s="1653"/>
      <c r="B70" s="1667"/>
      <c r="C70" s="1654"/>
      <c r="D70" s="1844"/>
      <c r="E70" s="1540">
        <f t="shared" si="2"/>
        <v>0</v>
      </c>
      <c r="F70" s="1932">
        <f t="shared" si="1"/>
        <v>0</v>
      </c>
      <c r="G70" s="1793">
        <f t="shared" si="3"/>
        <v>0</v>
      </c>
    </row>
    <row r="71" spans="1:7" hidden="1" x14ac:dyDescent="0.25">
      <c r="A71" s="1653"/>
      <c r="B71" s="1667"/>
      <c r="C71" s="1654"/>
      <c r="D71" s="1844"/>
      <c r="E71" s="1540">
        <f t="shared" si="2"/>
        <v>0</v>
      </c>
      <c r="F71" s="1932">
        <f t="shared" si="1"/>
        <v>0</v>
      </c>
      <c r="G71" s="1793">
        <f t="shared" si="3"/>
        <v>0</v>
      </c>
    </row>
    <row r="72" spans="1:7" hidden="1" x14ac:dyDescent="0.25">
      <c r="A72" s="1653"/>
      <c r="B72" s="1667"/>
      <c r="C72" s="1654"/>
      <c r="D72" s="1844"/>
      <c r="E72" s="1540">
        <f t="shared" si="2"/>
        <v>0</v>
      </c>
      <c r="F72" s="1932">
        <f t="shared" si="1"/>
        <v>0</v>
      </c>
      <c r="G72" s="1793">
        <f t="shared" si="3"/>
        <v>0</v>
      </c>
    </row>
    <row r="73" spans="1:7" hidden="1" x14ac:dyDescent="0.25">
      <c r="A73" s="1653"/>
      <c r="B73" s="1667"/>
      <c r="C73" s="1654"/>
      <c r="D73" s="1844"/>
      <c r="E73" s="1540">
        <f t="shared" ref="E73:E84" si="4">IF(D73&lt;=25000,D73,IF(D73&gt;25000,25000,0))</f>
        <v>0</v>
      </c>
      <c r="F73" s="1932">
        <f t="shared" si="1"/>
        <v>0</v>
      </c>
      <c r="G73" s="1793">
        <f t="shared" ref="G73:G84" si="5">IF(F73=0,0,D73-F73)</f>
        <v>0</v>
      </c>
    </row>
    <row r="74" spans="1:7" hidden="1" x14ac:dyDescent="0.25">
      <c r="A74" s="1653"/>
      <c r="B74" s="1667"/>
      <c r="C74" s="1654"/>
      <c r="D74" s="1844"/>
      <c r="E74" s="1540">
        <f t="shared" si="4"/>
        <v>0</v>
      </c>
      <c r="F74" s="1932">
        <f t="shared" si="1"/>
        <v>0</v>
      </c>
      <c r="G74" s="1793">
        <f t="shared" si="5"/>
        <v>0</v>
      </c>
    </row>
    <row r="75" spans="1:7" hidden="1" x14ac:dyDescent="0.25">
      <c r="A75" s="1653"/>
      <c r="B75" s="1667"/>
      <c r="C75" s="1654"/>
      <c r="D75" s="1844"/>
      <c r="E75" s="1540">
        <f t="shared" si="4"/>
        <v>0</v>
      </c>
      <c r="F75" s="1932">
        <f t="shared" si="1"/>
        <v>0</v>
      </c>
      <c r="G75" s="1793">
        <f t="shared" si="5"/>
        <v>0</v>
      </c>
    </row>
    <row r="76" spans="1:7" hidden="1" x14ac:dyDescent="0.25">
      <c r="A76" s="1653"/>
      <c r="B76" s="1667"/>
      <c r="C76" s="1654"/>
      <c r="D76" s="1844"/>
      <c r="E76" s="1540">
        <f t="shared" si="4"/>
        <v>0</v>
      </c>
      <c r="F76" s="1932">
        <f t="shared" si="1"/>
        <v>0</v>
      </c>
      <c r="G76" s="1793">
        <f t="shared" si="5"/>
        <v>0</v>
      </c>
    </row>
    <row r="77" spans="1:7" hidden="1" x14ac:dyDescent="0.25">
      <c r="A77" s="1653"/>
      <c r="B77" s="1667"/>
      <c r="C77" s="1654"/>
      <c r="D77" s="1844"/>
      <c r="E77" s="1540">
        <f t="shared" si="4"/>
        <v>0</v>
      </c>
      <c r="F77" s="1932">
        <f t="shared" si="1"/>
        <v>0</v>
      </c>
      <c r="G77" s="1793">
        <f t="shared" si="5"/>
        <v>0</v>
      </c>
    </row>
    <row r="78" spans="1:7" hidden="1" x14ac:dyDescent="0.25">
      <c r="A78" s="1653"/>
      <c r="B78" s="1667"/>
      <c r="C78" s="1654"/>
      <c r="D78" s="1844"/>
      <c r="E78" s="1540">
        <f t="shared" si="4"/>
        <v>0</v>
      </c>
      <c r="F78" s="1932">
        <f t="shared" si="1"/>
        <v>0</v>
      </c>
      <c r="G78" s="1793">
        <f t="shared" si="5"/>
        <v>0</v>
      </c>
    </row>
    <row r="79" spans="1:7" hidden="1" x14ac:dyDescent="0.25">
      <c r="A79" s="1653"/>
      <c r="B79" s="1667"/>
      <c r="C79" s="1654"/>
      <c r="D79" s="1844"/>
      <c r="E79" s="1540">
        <f t="shared" si="4"/>
        <v>0</v>
      </c>
      <c r="F79" s="1932">
        <f t="shared" si="1"/>
        <v>0</v>
      </c>
      <c r="G79" s="1793">
        <f t="shared" si="5"/>
        <v>0</v>
      </c>
    </row>
    <row r="80" spans="1:7" hidden="1" x14ac:dyDescent="0.25">
      <c r="A80" s="1653"/>
      <c r="B80" s="1667"/>
      <c r="C80" s="1654"/>
      <c r="D80" s="1844"/>
      <c r="E80" s="1540">
        <f t="shared" si="4"/>
        <v>0</v>
      </c>
      <c r="F80" s="1932">
        <f t="shared" si="1"/>
        <v>0</v>
      </c>
      <c r="G80" s="1793">
        <f t="shared" si="5"/>
        <v>0</v>
      </c>
    </row>
    <row r="81" spans="1:7" hidden="1"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hidden="1" x14ac:dyDescent="0.25">
      <c r="A82" s="1653"/>
      <c r="B82" s="1667"/>
      <c r="C82" s="1654"/>
      <c r="D82" s="1844"/>
      <c r="E82" s="1540">
        <f t="shared" si="4"/>
        <v>0</v>
      </c>
      <c r="F82" s="1932">
        <f t="shared" si="6"/>
        <v>0</v>
      </c>
      <c r="G82" s="1793">
        <f t="shared" si="5"/>
        <v>0</v>
      </c>
    </row>
    <row r="83" spans="1:7" hidden="1" x14ac:dyDescent="0.25">
      <c r="A83" s="1653"/>
      <c r="B83" s="1667"/>
      <c r="C83" s="1654"/>
      <c r="D83" s="1844"/>
      <c r="E83" s="1540">
        <f t="shared" si="4"/>
        <v>0</v>
      </c>
      <c r="F83" s="1932">
        <f t="shared" si="6"/>
        <v>0</v>
      </c>
      <c r="G83" s="1793">
        <f t="shared" si="5"/>
        <v>0</v>
      </c>
    </row>
    <row r="84" spans="1:7" hidden="1" x14ac:dyDescent="0.25">
      <c r="A84" s="1653"/>
      <c r="B84" s="1667"/>
      <c r="C84" s="1654"/>
      <c r="D84" s="1844"/>
      <c r="E84" s="1540">
        <f t="shared" si="4"/>
        <v>0</v>
      </c>
      <c r="F84" s="1932">
        <f t="shared" si="6"/>
        <v>0</v>
      </c>
      <c r="G84" s="1793">
        <f t="shared" si="5"/>
        <v>0</v>
      </c>
    </row>
    <row r="85" spans="1:7" hidden="1" x14ac:dyDescent="0.25">
      <c r="A85" s="1653"/>
      <c r="B85" s="1667"/>
      <c r="C85" s="1654"/>
      <c r="D85" s="1844"/>
      <c r="E85" s="1540">
        <f t="shared" si="2"/>
        <v>0</v>
      </c>
      <c r="F85" s="1932">
        <f t="shared" si="6"/>
        <v>0</v>
      </c>
      <c r="G85" s="1793">
        <f t="shared" si="3"/>
        <v>0</v>
      </c>
    </row>
    <row r="86" spans="1:7" hidden="1" x14ac:dyDescent="0.25">
      <c r="A86" s="1653"/>
      <c r="B86" s="1667"/>
      <c r="C86" s="1654"/>
      <c r="D86" s="1844"/>
      <c r="E86" s="1540">
        <f t="shared" si="2"/>
        <v>0</v>
      </c>
      <c r="F86" s="1932">
        <f t="shared" si="6"/>
        <v>0</v>
      </c>
      <c r="G86" s="1793">
        <f t="shared" si="3"/>
        <v>0</v>
      </c>
    </row>
    <row r="87" spans="1:7" hidden="1" x14ac:dyDescent="0.25">
      <c r="A87" s="1653"/>
      <c r="B87" s="1667"/>
      <c r="C87" s="1654"/>
      <c r="D87" s="1844"/>
      <c r="E87" s="1540">
        <f t="shared" si="2"/>
        <v>0</v>
      </c>
      <c r="F87" s="1932">
        <f t="shared" si="6"/>
        <v>0</v>
      </c>
      <c r="G87" s="1793">
        <f t="shared" si="3"/>
        <v>0</v>
      </c>
    </row>
    <row r="88" spans="1:7" hidden="1" x14ac:dyDescent="0.25">
      <c r="A88" s="1653"/>
      <c r="B88" s="1667"/>
      <c r="C88" s="1654"/>
      <c r="D88" s="1844"/>
      <c r="E88" s="1540">
        <f t="shared" si="2"/>
        <v>0</v>
      </c>
      <c r="F88" s="1932">
        <f t="shared" si="6"/>
        <v>0</v>
      </c>
      <c r="G88" s="1793">
        <f t="shared" si="3"/>
        <v>0</v>
      </c>
    </row>
    <row r="89" spans="1:7" hidden="1" x14ac:dyDescent="0.25">
      <c r="A89" s="1653"/>
      <c r="B89" s="1667"/>
      <c r="C89" s="1654"/>
      <c r="D89" s="1844"/>
      <c r="E89" s="1540">
        <f t="shared" si="2"/>
        <v>0</v>
      </c>
      <c r="F89" s="1932">
        <f t="shared" si="6"/>
        <v>0</v>
      </c>
      <c r="G89" s="1793">
        <f t="shared" si="3"/>
        <v>0</v>
      </c>
    </row>
    <row r="90" spans="1:7" hidden="1" x14ac:dyDescent="0.25">
      <c r="A90" s="1653"/>
      <c r="B90" s="1667"/>
      <c r="C90" s="1654"/>
      <c r="D90" s="1844"/>
      <c r="E90" s="1540">
        <f t="shared" si="2"/>
        <v>0</v>
      </c>
      <c r="F90" s="1932">
        <f t="shared" si="6"/>
        <v>0</v>
      </c>
      <c r="G90" s="1793">
        <f t="shared" si="3"/>
        <v>0</v>
      </c>
    </row>
    <row r="91" spans="1:7" hidden="1" x14ac:dyDescent="0.25">
      <c r="A91" s="1653"/>
      <c r="B91" s="1667"/>
      <c r="C91" s="1654"/>
      <c r="D91" s="1844"/>
      <c r="E91" s="1540">
        <f t="shared" si="2"/>
        <v>0</v>
      </c>
      <c r="F91" s="1932">
        <f t="shared" si="6"/>
        <v>0</v>
      </c>
      <c r="G91" s="1793">
        <f t="shared" si="3"/>
        <v>0</v>
      </c>
    </row>
    <row r="92" spans="1:7" hidden="1" x14ac:dyDescent="0.25">
      <c r="A92" s="1653"/>
      <c r="B92" s="1667"/>
      <c r="C92" s="1654"/>
      <c r="D92" s="1844"/>
      <c r="E92" s="1540">
        <f t="shared" si="2"/>
        <v>0</v>
      </c>
      <c r="F92" s="1932">
        <f t="shared" si="6"/>
        <v>0</v>
      </c>
      <c r="G92" s="1793">
        <f t="shared" si="3"/>
        <v>0</v>
      </c>
    </row>
    <row r="93" spans="1:7" hidden="1" x14ac:dyDescent="0.25">
      <c r="A93" s="1653"/>
      <c r="B93" s="1667"/>
      <c r="C93" s="1654"/>
      <c r="D93" s="1844"/>
      <c r="E93" s="1540">
        <f t="shared" ref="E93" si="7">IF(D93&lt;=25000,D93,IF(D93&gt;25000,25000,0))</f>
        <v>0</v>
      </c>
      <c r="F93" s="1932">
        <f t="shared" si="6"/>
        <v>0</v>
      </c>
      <c r="G93" s="1793">
        <f t="shared" ref="G93" si="8">IF(F93=0,0,D93-F93)</f>
        <v>0</v>
      </c>
    </row>
    <row r="94" spans="1:7" hidden="1" x14ac:dyDescent="0.25">
      <c r="A94" s="1653"/>
      <c r="B94" s="1667"/>
      <c r="C94" s="1654"/>
      <c r="D94" s="1844"/>
      <c r="E94" s="1540">
        <f t="shared" si="2"/>
        <v>0</v>
      </c>
      <c r="F94" s="1932">
        <f t="shared" si="6"/>
        <v>0</v>
      </c>
      <c r="G94" s="1793">
        <f t="shared" si="3"/>
        <v>0</v>
      </c>
    </row>
    <row r="95" spans="1:7" hidden="1" x14ac:dyDescent="0.25">
      <c r="A95" s="1653"/>
      <c r="B95" s="1667"/>
      <c r="C95" s="1654"/>
      <c r="D95" s="1844"/>
      <c r="E95" s="1540">
        <f t="shared" ref="E95:E98" si="9">IF(D95&lt;=25000,D95,IF(D95&gt;25000,25000,0))</f>
        <v>0</v>
      </c>
      <c r="F95" s="1932">
        <f t="shared" si="6"/>
        <v>0</v>
      </c>
      <c r="G95" s="1793">
        <f t="shared" ref="G95:G98" si="10">IF(F95=0,0,D95-F95)</f>
        <v>0</v>
      </c>
    </row>
    <row r="96" spans="1:7" hidden="1" x14ac:dyDescent="0.25">
      <c r="A96" s="1653"/>
      <c r="B96" s="1667"/>
      <c r="C96" s="1654"/>
      <c r="D96" s="1844"/>
      <c r="E96" s="1540">
        <f t="shared" si="9"/>
        <v>0</v>
      </c>
      <c r="F96" s="1932">
        <f t="shared" si="6"/>
        <v>0</v>
      </c>
      <c r="G96" s="1793">
        <f t="shared" si="10"/>
        <v>0</v>
      </c>
    </row>
    <row r="97" spans="1:7" hidden="1" x14ac:dyDescent="0.25">
      <c r="A97" s="1653"/>
      <c r="B97" s="1667"/>
      <c r="C97" s="1654"/>
      <c r="D97" s="1844"/>
      <c r="E97" s="1540">
        <f t="shared" si="9"/>
        <v>0</v>
      </c>
      <c r="F97" s="1932">
        <f t="shared" si="6"/>
        <v>0</v>
      </c>
      <c r="G97" s="1793">
        <f t="shared" si="10"/>
        <v>0</v>
      </c>
    </row>
    <row r="98" spans="1:7" hidden="1" x14ac:dyDescent="0.25">
      <c r="A98" s="1653"/>
      <c r="B98" s="1667"/>
      <c r="C98" s="1654"/>
      <c r="D98" s="1844"/>
      <c r="E98" s="1540">
        <f t="shared" si="9"/>
        <v>0</v>
      </c>
      <c r="F98" s="1932">
        <f t="shared" si="6"/>
        <v>0</v>
      </c>
      <c r="G98" s="1793">
        <f t="shared" si="10"/>
        <v>0</v>
      </c>
    </row>
    <row r="99" spans="1:7" hidden="1" x14ac:dyDescent="0.25">
      <c r="A99" s="1653"/>
      <c r="B99" s="1667"/>
      <c r="C99" s="1654"/>
      <c r="D99" s="1844"/>
      <c r="E99" s="1540">
        <f t="shared" ref="E99" si="11">IF(D99&lt;=25000,D99,IF(D99&gt;25000,25000,0))</f>
        <v>0</v>
      </c>
      <c r="F99" s="1932">
        <f t="shared" si="6"/>
        <v>0</v>
      </c>
      <c r="G99" s="1793">
        <f t="shared" ref="G99" si="12">IF(F99=0,0,D99-F99)</f>
        <v>0</v>
      </c>
    </row>
    <row r="100" spans="1:7" hidden="1" x14ac:dyDescent="0.25">
      <c r="A100" s="1653"/>
      <c r="B100" s="1667"/>
      <c r="C100" s="1654"/>
      <c r="D100" s="1844"/>
      <c r="E100" s="1540">
        <f t="shared" ref="E100:E112" si="13">IF(D100&lt;=25000,D100,IF(D100&gt;25000,25000,0))</f>
        <v>0</v>
      </c>
      <c r="F100" s="1932">
        <f t="shared" si="6"/>
        <v>0</v>
      </c>
      <c r="G100" s="1793">
        <f t="shared" ref="G100:G112" si="14">IF(F100=0,0,D100-F100)</f>
        <v>0</v>
      </c>
    </row>
    <row r="101" spans="1:7" hidden="1" x14ac:dyDescent="0.25">
      <c r="A101" s="1653"/>
      <c r="B101" s="1667"/>
      <c r="C101" s="1654"/>
      <c r="D101" s="1844"/>
      <c r="E101" s="1540">
        <f t="shared" si="13"/>
        <v>0</v>
      </c>
      <c r="F101" s="1932">
        <f t="shared" si="6"/>
        <v>0</v>
      </c>
      <c r="G101" s="1793">
        <f t="shared" si="14"/>
        <v>0</v>
      </c>
    </row>
    <row r="102" spans="1:7" hidden="1" x14ac:dyDescent="0.25">
      <c r="A102" s="1653"/>
      <c r="B102" s="1667"/>
      <c r="C102" s="1654"/>
      <c r="D102" s="1844"/>
      <c r="E102" s="1540">
        <f t="shared" si="13"/>
        <v>0</v>
      </c>
      <c r="F102" s="1932">
        <f t="shared" si="6"/>
        <v>0</v>
      </c>
      <c r="G102" s="1793">
        <f t="shared" si="14"/>
        <v>0</v>
      </c>
    </row>
    <row r="103" spans="1:7" hidden="1" x14ac:dyDescent="0.25">
      <c r="A103" s="1653"/>
      <c r="B103" s="1667"/>
      <c r="C103" s="1654"/>
      <c r="D103" s="1844"/>
      <c r="E103" s="1540">
        <f t="shared" si="13"/>
        <v>0</v>
      </c>
      <c r="F103" s="1932">
        <f t="shared" si="6"/>
        <v>0</v>
      </c>
      <c r="G103" s="1793">
        <f t="shared" si="14"/>
        <v>0</v>
      </c>
    </row>
    <row r="104" spans="1:7" hidden="1" x14ac:dyDescent="0.25">
      <c r="A104" s="1653"/>
      <c r="B104" s="1667"/>
      <c r="C104" s="1654"/>
      <c r="D104" s="1844"/>
      <c r="E104" s="1540">
        <f t="shared" si="13"/>
        <v>0</v>
      </c>
      <c r="F104" s="1932">
        <f t="shared" si="6"/>
        <v>0</v>
      </c>
      <c r="G104" s="1793">
        <f t="shared" si="14"/>
        <v>0</v>
      </c>
    </row>
    <row r="105" spans="1:7" hidden="1" x14ac:dyDescent="0.25">
      <c r="A105" s="1653"/>
      <c r="B105" s="1667"/>
      <c r="C105" s="1654"/>
      <c r="D105" s="1844"/>
      <c r="E105" s="1540">
        <f t="shared" si="13"/>
        <v>0</v>
      </c>
      <c r="F105" s="1932">
        <f t="shared" si="6"/>
        <v>0</v>
      </c>
      <c r="G105" s="1793">
        <f t="shared" si="14"/>
        <v>0</v>
      </c>
    </row>
    <row r="106" spans="1:7" hidden="1" x14ac:dyDescent="0.25">
      <c r="A106" s="1653"/>
      <c r="B106" s="1667"/>
      <c r="C106" s="1654"/>
      <c r="D106" s="1844"/>
      <c r="E106" s="1540">
        <f t="shared" si="13"/>
        <v>0</v>
      </c>
      <c r="F106" s="1932">
        <f t="shared" si="6"/>
        <v>0</v>
      </c>
      <c r="G106" s="1793">
        <f t="shared" si="14"/>
        <v>0</v>
      </c>
    </row>
    <row r="107" spans="1:7" hidden="1" x14ac:dyDescent="0.25">
      <c r="A107" s="1653"/>
      <c r="B107" s="1667"/>
      <c r="C107" s="1654"/>
      <c r="D107" s="1844"/>
      <c r="E107" s="1540">
        <f t="shared" si="13"/>
        <v>0</v>
      </c>
      <c r="F107" s="1932">
        <f t="shared" si="6"/>
        <v>0</v>
      </c>
      <c r="G107" s="1793">
        <f t="shared" si="14"/>
        <v>0</v>
      </c>
    </row>
    <row r="108" spans="1:7" hidden="1" x14ac:dyDescent="0.25">
      <c r="A108" s="1653"/>
      <c r="B108" s="1667"/>
      <c r="C108" s="1654"/>
      <c r="D108" s="1844"/>
      <c r="E108" s="1540">
        <f t="shared" si="13"/>
        <v>0</v>
      </c>
      <c r="F108" s="1932">
        <f t="shared" si="6"/>
        <v>0</v>
      </c>
      <c r="G108" s="1793">
        <f t="shared" si="14"/>
        <v>0</v>
      </c>
    </row>
    <row r="109" spans="1:7" hidden="1" x14ac:dyDescent="0.25">
      <c r="A109" s="1653"/>
      <c r="B109" s="1667"/>
      <c r="C109" s="1654"/>
      <c r="D109" s="1844"/>
      <c r="E109" s="1540">
        <f t="shared" si="13"/>
        <v>0</v>
      </c>
      <c r="F109" s="1932">
        <f t="shared" si="6"/>
        <v>0</v>
      </c>
      <c r="G109" s="1793">
        <f t="shared" si="14"/>
        <v>0</v>
      </c>
    </row>
    <row r="110" spans="1:7" hidden="1" x14ac:dyDescent="0.25">
      <c r="A110" s="1653"/>
      <c r="B110" s="1667"/>
      <c r="C110" s="1654"/>
      <c r="D110" s="1844"/>
      <c r="E110" s="1540">
        <f t="shared" si="13"/>
        <v>0</v>
      </c>
      <c r="F110" s="1932">
        <f t="shared" si="6"/>
        <v>0</v>
      </c>
      <c r="G110" s="1793">
        <f t="shared" si="14"/>
        <v>0</v>
      </c>
    </row>
    <row r="111" spans="1:7" hidden="1" x14ac:dyDescent="0.25">
      <c r="A111" s="1653"/>
      <c r="B111" s="1667"/>
      <c r="C111" s="1654"/>
      <c r="D111" s="1844"/>
      <c r="E111" s="1540">
        <f t="shared" si="13"/>
        <v>0</v>
      </c>
      <c r="F111" s="1932">
        <f t="shared" si="6"/>
        <v>0</v>
      </c>
      <c r="G111" s="1793">
        <f t="shared" si="14"/>
        <v>0</v>
      </c>
    </row>
    <row r="112" spans="1:7" hidden="1" x14ac:dyDescent="0.25">
      <c r="A112" s="1653"/>
      <c r="B112" s="1667"/>
      <c r="C112" s="1654"/>
      <c r="D112" s="1844"/>
      <c r="E112" s="1540">
        <f t="shared" si="13"/>
        <v>0</v>
      </c>
      <c r="F112" s="1932">
        <f t="shared" si="6"/>
        <v>0</v>
      </c>
      <c r="G112" s="1793">
        <f t="shared" si="14"/>
        <v>0</v>
      </c>
    </row>
    <row r="113" spans="1:7" hidden="1" x14ac:dyDescent="0.25">
      <c r="A113" s="1653"/>
      <c r="B113" s="1667"/>
      <c r="C113" s="1654"/>
      <c r="D113" s="1844"/>
      <c r="E113" s="1540">
        <f t="shared" ref="E113:E125" si="15">IF(D113&lt;=25000,D113,IF(D113&gt;25000,25000,0))</f>
        <v>0</v>
      </c>
      <c r="F113" s="1932">
        <f t="shared" si="6"/>
        <v>0</v>
      </c>
      <c r="G113" s="1793">
        <f t="shared" ref="G113:G125" si="16">IF(F113=0,0,D113-F113)</f>
        <v>0</v>
      </c>
    </row>
    <row r="114" spans="1:7" hidden="1" x14ac:dyDescent="0.25">
      <c r="A114" s="1653"/>
      <c r="B114" s="1667"/>
      <c r="C114" s="1654"/>
      <c r="D114" s="1844"/>
      <c r="E114" s="1540">
        <f t="shared" si="15"/>
        <v>0</v>
      </c>
      <c r="F114" s="1932">
        <f t="shared" si="6"/>
        <v>0</v>
      </c>
      <c r="G114" s="1793">
        <f t="shared" si="16"/>
        <v>0</v>
      </c>
    </row>
    <row r="115" spans="1:7" hidden="1" x14ac:dyDescent="0.25">
      <c r="A115" s="1653"/>
      <c r="B115" s="1667"/>
      <c r="C115" s="1654"/>
      <c r="D115" s="1844"/>
      <c r="E115" s="1540">
        <f t="shared" si="15"/>
        <v>0</v>
      </c>
      <c r="F115" s="1932">
        <f t="shared" si="6"/>
        <v>0</v>
      </c>
      <c r="G115" s="1793">
        <f t="shared" si="16"/>
        <v>0</v>
      </c>
    </row>
    <row r="116" spans="1:7" hidden="1" x14ac:dyDescent="0.25">
      <c r="A116" s="1653"/>
      <c r="B116" s="1667"/>
      <c r="C116" s="1654"/>
      <c r="D116" s="1844"/>
      <c r="E116" s="1540">
        <f t="shared" si="15"/>
        <v>0</v>
      </c>
      <c r="F116" s="1932">
        <f t="shared" si="6"/>
        <v>0</v>
      </c>
      <c r="G116" s="1793">
        <f t="shared" si="16"/>
        <v>0</v>
      </c>
    </row>
    <row r="117" spans="1:7" hidden="1" x14ac:dyDescent="0.25">
      <c r="A117" s="1653"/>
      <c r="B117" s="1667"/>
      <c r="C117" s="1654"/>
      <c r="D117" s="1844"/>
      <c r="E117" s="1540">
        <f t="shared" si="15"/>
        <v>0</v>
      </c>
      <c r="F117" s="1932">
        <f t="shared" si="6"/>
        <v>0</v>
      </c>
      <c r="G117" s="1793">
        <f t="shared" si="16"/>
        <v>0</v>
      </c>
    </row>
    <row r="118" spans="1:7" hidden="1" x14ac:dyDescent="0.25">
      <c r="A118" s="1653"/>
      <c r="B118" s="1667"/>
      <c r="C118" s="1654"/>
      <c r="D118" s="1844"/>
      <c r="E118" s="1540">
        <f t="shared" si="15"/>
        <v>0</v>
      </c>
      <c r="F118" s="1932">
        <f t="shared" si="6"/>
        <v>0</v>
      </c>
      <c r="G118" s="1793">
        <f t="shared" si="16"/>
        <v>0</v>
      </c>
    </row>
    <row r="119" spans="1:7" hidden="1" x14ac:dyDescent="0.25">
      <c r="A119" s="1653"/>
      <c r="B119" s="1667"/>
      <c r="C119" s="1654"/>
      <c r="D119" s="1844"/>
      <c r="E119" s="1540">
        <f t="shared" si="15"/>
        <v>0</v>
      </c>
      <c r="F119" s="1932">
        <f t="shared" si="6"/>
        <v>0</v>
      </c>
      <c r="G119" s="1793">
        <f t="shared" si="16"/>
        <v>0</v>
      </c>
    </row>
    <row r="120" spans="1:7" hidden="1" x14ac:dyDescent="0.25">
      <c r="A120" s="1653"/>
      <c r="B120" s="1667"/>
      <c r="C120" s="1654"/>
      <c r="D120" s="1844"/>
      <c r="E120" s="1540">
        <f t="shared" si="15"/>
        <v>0</v>
      </c>
      <c r="F120" s="1932">
        <f t="shared" si="6"/>
        <v>0</v>
      </c>
      <c r="G120" s="1793">
        <f t="shared" si="16"/>
        <v>0</v>
      </c>
    </row>
    <row r="121" spans="1:7" hidden="1" x14ac:dyDescent="0.25">
      <c r="A121" s="1653"/>
      <c r="B121" s="1667"/>
      <c r="C121" s="1654"/>
      <c r="D121" s="1844"/>
      <c r="E121" s="1540">
        <f t="shared" si="15"/>
        <v>0</v>
      </c>
      <c r="F121" s="1932">
        <f t="shared" si="6"/>
        <v>0</v>
      </c>
      <c r="G121" s="1793">
        <f t="shared" si="16"/>
        <v>0</v>
      </c>
    </row>
    <row r="122" spans="1:7" hidden="1" x14ac:dyDescent="0.25">
      <c r="A122" s="1653"/>
      <c r="B122" s="1667"/>
      <c r="C122" s="1654"/>
      <c r="D122" s="1844"/>
      <c r="E122" s="1540">
        <f t="shared" si="15"/>
        <v>0</v>
      </c>
      <c r="F122" s="1932">
        <f t="shared" si="6"/>
        <v>0</v>
      </c>
      <c r="G122" s="1793">
        <f t="shared" si="16"/>
        <v>0</v>
      </c>
    </row>
    <row r="123" spans="1:7" hidden="1" x14ac:dyDescent="0.25">
      <c r="A123" s="1653"/>
      <c r="B123" s="1667"/>
      <c r="C123" s="1654"/>
      <c r="D123" s="1844"/>
      <c r="E123" s="1540">
        <f t="shared" si="15"/>
        <v>0</v>
      </c>
      <c r="F123" s="1932">
        <f t="shared" si="6"/>
        <v>0</v>
      </c>
      <c r="G123" s="1793">
        <f t="shared" si="16"/>
        <v>0</v>
      </c>
    </row>
    <row r="124" spans="1:7" hidden="1" x14ac:dyDescent="0.25">
      <c r="A124" s="1653"/>
      <c r="B124" s="1667"/>
      <c r="C124" s="1654"/>
      <c r="D124" s="1844"/>
      <c r="E124" s="1540">
        <f t="shared" si="15"/>
        <v>0</v>
      </c>
      <c r="F124" s="1932">
        <f t="shared" si="6"/>
        <v>0</v>
      </c>
      <c r="G124" s="1793">
        <f t="shared" si="16"/>
        <v>0</v>
      </c>
    </row>
    <row r="125" spans="1:7" hidden="1" x14ac:dyDescent="0.25">
      <c r="A125" s="1653"/>
      <c r="B125" s="1667"/>
      <c r="C125" s="1654"/>
      <c r="D125" s="1844"/>
      <c r="E125" s="1540">
        <f t="shared" si="15"/>
        <v>0</v>
      </c>
      <c r="F125" s="1932">
        <f t="shared" si="6"/>
        <v>0</v>
      </c>
      <c r="G125" s="1793">
        <f t="shared" si="16"/>
        <v>0</v>
      </c>
    </row>
    <row r="126" spans="1:7" hidden="1" x14ac:dyDescent="0.25">
      <c r="A126" s="1653"/>
      <c r="B126" s="1667"/>
      <c r="C126" s="1654"/>
      <c r="D126" s="1844"/>
      <c r="E126" s="1540">
        <f t="shared" ref="E126:E134" si="17">IF(D126&lt;=25000,D126,IF(D126&gt;25000,25000,0))</f>
        <v>0</v>
      </c>
      <c r="F126" s="1932">
        <f t="shared" si="6"/>
        <v>0</v>
      </c>
      <c r="G126" s="1793">
        <f t="shared" ref="G126:G134" si="18">IF(F126=0,0,D126-F126)</f>
        <v>0</v>
      </c>
    </row>
    <row r="127" spans="1:7" hidden="1" x14ac:dyDescent="0.25">
      <c r="A127" s="1653"/>
      <c r="B127" s="1667"/>
      <c r="C127" s="1654"/>
      <c r="D127" s="1844"/>
      <c r="E127" s="1540">
        <f t="shared" si="17"/>
        <v>0</v>
      </c>
      <c r="F127" s="1932">
        <f t="shared" si="6"/>
        <v>0</v>
      </c>
      <c r="G127" s="1793">
        <f t="shared" si="18"/>
        <v>0</v>
      </c>
    </row>
    <row r="128" spans="1:7" hidden="1" x14ac:dyDescent="0.25">
      <c r="A128" s="1653"/>
      <c r="B128" s="1667"/>
      <c r="C128" s="1654"/>
      <c r="D128" s="1844"/>
      <c r="E128" s="1540">
        <f t="shared" si="17"/>
        <v>0</v>
      </c>
      <c r="F128" s="1932">
        <f t="shared" si="6"/>
        <v>0</v>
      </c>
      <c r="G128" s="1793">
        <f t="shared" si="18"/>
        <v>0</v>
      </c>
    </row>
    <row r="129" spans="1:7" hidden="1" x14ac:dyDescent="0.25">
      <c r="A129" s="1653"/>
      <c r="B129" s="1667"/>
      <c r="C129" s="1654"/>
      <c r="D129" s="1844"/>
      <c r="E129" s="1540">
        <f t="shared" si="17"/>
        <v>0</v>
      </c>
      <c r="F129" s="1932">
        <f t="shared" si="6"/>
        <v>0</v>
      </c>
      <c r="G129" s="1793">
        <f t="shared" si="18"/>
        <v>0</v>
      </c>
    </row>
    <row r="130" spans="1:7" hidden="1" x14ac:dyDescent="0.25">
      <c r="A130" s="1653"/>
      <c r="B130" s="1667"/>
      <c r="C130" s="1654"/>
      <c r="D130" s="1844"/>
      <c r="E130" s="1540">
        <f t="shared" si="17"/>
        <v>0</v>
      </c>
      <c r="F130" s="1932">
        <f t="shared" si="6"/>
        <v>0</v>
      </c>
      <c r="G130" s="1793">
        <f t="shared" si="18"/>
        <v>0</v>
      </c>
    </row>
    <row r="131" spans="1:7" hidden="1"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16160</v>
      </c>
      <c r="E141" s="1541">
        <f t="shared" si="0"/>
        <v>16160</v>
      </c>
      <c r="F141" s="1933">
        <f>SUM(F17:F140)</f>
        <v>16160</v>
      </c>
      <c r="G141" s="179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6" t="s">
        <v>1976</v>
      </c>
      <c r="B11" s="2287"/>
      <c r="C11" s="2287"/>
      <c r="D11" s="2288"/>
      <c r="E11" s="977">
        <v>6634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1016010</v>
      </c>
      <c r="F19" s="1799"/>
      <c r="G19" s="1801">
        <f>'Expenditures 15-22'!K33-SUM('Expenditures 15-22'!G33,'Expenditures 15-22'!I33)+'Expenditures 15-22'!D229</f>
        <v>1016010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44154</v>
      </c>
      <c r="F21" s="1802"/>
      <c r="G21" s="1805">
        <f>'Expenditures 15-22'!K42-SUM('Expenditures 15-22'!G42,'Expenditures 15-22'!I42)+'Expenditures 15-22'!K120-SUM('Expenditures 15-22'!G120,'Expenditures 15-22'!I120)+'Expenditures 15-22'!K180-SUM('Expenditures 15-22'!G180,'Expenditures 15-22'!I180)+'Expenditures 15-22'!D238</f>
        <v>44154</v>
      </c>
      <c r="H21" s="987"/>
      <c r="I21" s="162"/>
    </row>
    <row r="22" spans="1:9" s="668" customFormat="1" ht="12" customHeight="1" x14ac:dyDescent="0.2">
      <c r="A22" s="994" t="s">
        <v>564</v>
      </c>
      <c r="B22" s="995"/>
      <c r="C22" s="993">
        <v>2200</v>
      </c>
      <c r="D22" s="1802"/>
      <c r="E22" s="1804">
        <f>'Expenditures 15-22'!K47-SUM('Expenditures 15-22'!G47,'Expenditures 15-22'!I47)+'Expenditures 15-22'!D243</f>
        <v>49241</v>
      </c>
      <c r="F22" s="1802"/>
      <c r="G22" s="1805">
        <f>'Expenditures 15-22'!K47-SUM('Expenditures 15-22'!G47,'Expenditures 15-22'!I47)+'Expenditures 15-22'!D243</f>
        <v>49241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199193</v>
      </c>
      <c r="F23" s="1802"/>
      <c r="G23" s="1804">
        <f>'Expenditures 15-22'!K53-SUM('Expenditures 15-22'!G53,'Expenditures 15-22'!I53)+'Expenditures 15-22'!D257+'Expenditures 15-22'!K330-SUM('Expenditures 15-22'!G330,'Expenditures 15-22'!I330)</f>
        <v>199193</v>
      </c>
      <c r="H23" s="987"/>
      <c r="I23" s="162"/>
    </row>
    <row r="24" spans="1:9" s="668" customFormat="1" ht="12" customHeight="1" x14ac:dyDescent="0.2">
      <c r="A24" s="994" t="s">
        <v>566</v>
      </c>
      <c r="B24" s="995"/>
      <c r="C24" s="993">
        <v>2400</v>
      </c>
      <c r="D24" s="1802"/>
      <c r="E24" s="1804">
        <f>'Expenditures 15-22'!K57-SUM('Expenditures 15-22'!G57,'Expenditures 15-22'!I57)+'Expenditures 15-22'!D261</f>
        <v>121253</v>
      </c>
      <c r="F24" s="1802"/>
      <c r="G24" s="1805">
        <f>'Expenditures 15-22'!K57-SUM('Expenditures 15-22'!G57,'Expenditures 15-22'!I57)+'Expenditures 15-22'!D261</f>
        <v>121253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51211</v>
      </c>
      <c r="E27" s="1804">
        <f>E8</f>
        <v>0</v>
      </c>
      <c r="F27" s="1804">
        <f>'Expenditures 15-22'!K60-SUM('Expenditures 15-22'!G60,'Expenditures 15-22'!I60)+'Expenditures 15-22'!D264-E8</f>
        <v>51211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211416</v>
      </c>
      <c r="F28" s="1806">
        <f>'Expenditures 15-22'!K61-SUM('Expenditures 15-22'!G61,'Expenditures 15-22'!I61)+'Expenditures 15-22'!K124-SUM('Expenditures 15-22'!G124,'Expenditures 15-22'!I124)+'Expenditures 15-22'!D266-E9</f>
        <v>211416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166039</v>
      </c>
      <c r="F29" s="1802"/>
      <c r="G29" s="1805">
        <f>'Expenditures 15-22'!K62-SUM('Expenditures 15-22'!G62,'Expenditures 15-22'!I62)+'Expenditures 15-22'!K125-SUM('Expenditures 15-22'!G125,'Expenditures 15-22'!I125)+'Expenditures 15-22'!K182-SUM('Expenditures 15-22'!G182,'Expenditures 15-22'!I182)+'Expenditures 15-22'!D267</f>
        <v>166039</v>
      </c>
      <c r="H29" s="985"/>
    </row>
    <row r="30" spans="1:9" ht="12" customHeight="1" x14ac:dyDescent="0.2">
      <c r="A30" s="994" t="s">
        <v>100</v>
      </c>
      <c r="B30" s="997"/>
      <c r="C30" s="993">
        <v>2560</v>
      </c>
      <c r="D30" s="1802"/>
      <c r="E30" s="1804">
        <f>'Expenditures 15-22'!K63-SUM('Expenditures 15-22'!G63,'Expenditures 15-22'!I63)+'Expenditures 15-22'!D268-E10</f>
        <v>117177</v>
      </c>
      <c r="F30" s="1802"/>
      <c r="G30" s="1804">
        <f>'Expenditures 15-22'!K63-SUM('Expenditures 15-22'!G63,'Expenditures 15-22'!I63)+'Expenditures 15-22'!D268-E10</f>
        <v>117177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128</v>
      </c>
      <c r="F38" s="1802"/>
      <c r="G38" s="1804">
        <f>'Expenditures 15-22'!K73-SUM('Expenditures 15-22'!G73,'Expenditures 15-22'!I73)+'Expenditures 15-22'!K128-SUM('Expenditures 15-22'!G128,'Expenditures 15-22'!I128)+'Expenditures 15-22'!K183-SUM('Expenditures 15-22'!G183,'Expenditures 15-22'!I183)+'Expenditures 15-22'!D278</f>
        <v>128</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1452</v>
      </c>
      <c r="F39" s="1802"/>
      <c r="G39" s="1804">
        <f>'Expenditures 15-22'!K75-SUM('Expenditures 15-22'!G75,'Expenditures 15-22'!I75)+'Expenditures 15-22'!K130-SUM('Expenditures 15-22'!G130,'Expenditures 15-22'!I130)+'Expenditures 15-22'!K185-SUM('Expenditures 15-22'!G185,'Expenditures 15-22'!I185)+'Expenditures 15-22'!D280</f>
        <v>1452</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51211</v>
      </c>
      <c r="E41" s="1806">
        <f>SUM(E19:E40)</f>
        <v>1926063</v>
      </c>
      <c r="F41" s="1806">
        <f>SUM(F19:F39)</f>
        <v>262627</v>
      </c>
      <c r="G41" s="1806">
        <f>SUM(G19:G40)</f>
        <v>1714647</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51211</v>
      </c>
      <c r="F43" s="1807" t="s">
        <v>473</v>
      </c>
      <c r="G43" s="1808">
        <f>F41</f>
        <v>262627</v>
      </c>
    </row>
    <row r="44" spans="1:7" ht="12" customHeight="1" x14ac:dyDescent="0.2">
      <c r="A44" s="987"/>
      <c r="B44" s="162"/>
      <c r="C44" s="1001"/>
      <c r="D44" s="1807" t="s">
        <v>474</v>
      </c>
      <c r="E44" s="1808">
        <f>E41</f>
        <v>1926063</v>
      </c>
      <c r="F44" s="1807" t="s">
        <v>474</v>
      </c>
      <c r="G44" s="1808">
        <f>G41</f>
        <v>1714647</v>
      </c>
    </row>
    <row r="45" spans="1:7" ht="12" customHeight="1" x14ac:dyDescent="0.2">
      <c r="A45" s="987"/>
      <c r="B45" s="162"/>
      <c r="C45" s="162"/>
      <c r="D45" s="1809" t="s">
        <v>1006</v>
      </c>
      <c r="E45" s="1810">
        <f>(E43/E44)</f>
        <v>2.6588434542379975E-2</v>
      </c>
      <c r="F45" s="1809" t="s">
        <v>1006</v>
      </c>
      <c r="G45" s="1810">
        <f>(G43/G44)</f>
        <v>0.15316680342951056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H32" sqref="H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Ladd CCSD 94</v>
      </c>
      <c r="D6" s="2307"/>
      <c r="E6" s="2307"/>
      <c r="F6" s="1852"/>
    </row>
    <row r="7" spans="1:10" ht="11.25" customHeight="1" thickBot="1" x14ac:dyDescent="0.3">
      <c r="A7" s="1850"/>
      <c r="B7" s="1851"/>
      <c r="C7" s="2308">
        <f>COVER!A13</f>
        <v>28006094004</v>
      </c>
      <c r="D7" s="2308"/>
      <c r="E7" s="230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2063</v>
      </c>
      <c r="D25" s="1865" t="s">
        <v>2063</v>
      </c>
      <c r="E25" s="1868"/>
      <c r="F25" s="1867" t="s">
        <v>2091</v>
      </c>
      <c r="H25" s="1878">
        <f t="shared" si="0"/>
        <v>5</v>
      </c>
      <c r="I25" s="1878">
        <f t="shared" si="1"/>
        <v>5</v>
      </c>
      <c r="J25" s="1878">
        <f t="shared" si="2"/>
        <v>0</v>
      </c>
    </row>
    <row r="26" spans="1:12" ht="12" customHeight="1" x14ac:dyDescent="0.2">
      <c r="A26" s="1863" t="s">
        <v>1534</v>
      </c>
      <c r="B26" s="1864"/>
      <c r="C26" s="1865" t="s">
        <v>2063</v>
      </c>
      <c r="D26" s="1865" t="s">
        <v>2063</v>
      </c>
      <c r="E26" s="1868"/>
      <c r="F26" s="1867" t="s">
        <v>2092</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2063</v>
      </c>
      <c r="D30" s="1865" t="s">
        <v>2063</v>
      </c>
      <c r="E30" s="1868"/>
      <c r="F30" s="1867" t="s">
        <v>2093</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Ladd CCSD 94</v>
      </c>
      <c r="J6" s="2317"/>
      <c r="Q6" s="1664"/>
    </row>
    <row r="7" spans="1:17" x14ac:dyDescent="0.2">
      <c r="A7" s="2318" t="s">
        <v>869</v>
      </c>
      <c r="B7" s="2319"/>
      <c r="C7" s="2319"/>
      <c r="D7" s="2319"/>
      <c r="E7" s="2320"/>
      <c r="F7" s="1017"/>
      <c r="G7" s="1009"/>
      <c r="H7" s="1016" t="s">
        <v>372</v>
      </c>
      <c r="I7" s="2321">
        <f>COVER!A13</f>
        <v>28006094004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138923</v>
      </c>
      <c r="F12" s="1039"/>
      <c r="G12" s="1811">
        <f t="shared" ref="G12:G18" si="0">SUM(E12:F12)</f>
        <v>138923</v>
      </c>
      <c r="H12" s="1040">
        <v>145869</v>
      </c>
      <c r="I12" s="1039"/>
      <c r="J12" s="1811">
        <f t="shared" ref="J12:J18" si="1">SUM(H12:I12)</f>
        <v>145869</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138923</v>
      </c>
      <c r="F19" s="1813">
        <f t="shared" si="2"/>
        <v>0</v>
      </c>
      <c r="G19" s="1813">
        <f t="shared" si="2"/>
        <v>138923</v>
      </c>
      <c r="H19" s="1813">
        <f t="shared" si="2"/>
        <v>145869</v>
      </c>
      <c r="I19" s="1813">
        <f t="shared" si="2"/>
        <v>0</v>
      </c>
      <c r="J19" s="1813">
        <f t="shared" si="2"/>
        <v>145869</v>
      </c>
    </row>
    <row r="20" spans="1:10" ht="13.5" thickTop="1" x14ac:dyDescent="0.2">
      <c r="A20" s="1035">
        <v>9</v>
      </c>
      <c r="B20" s="2328" t="s">
        <v>1980</v>
      </c>
      <c r="C20" s="2328"/>
      <c r="D20" s="2329"/>
      <c r="E20" s="1046"/>
      <c r="F20" s="1046"/>
      <c r="G20" s="1046"/>
      <c r="H20" s="1046"/>
      <c r="I20" s="1046"/>
      <c r="J20" s="1814">
        <f>IF(AND(G19&gt;0,J19&gt;0),(((J19-G19)/G19)),"Enter Budget Data")</f>
        <v>4.9998920265182871E-2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1982</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2094</v>
      </c>
    </row>
    <row r="6" spans="1:2" x14ac:dyDescent="0.2">
      <c r="A6" s="1068">
        <v>2</v>
      </c>
      <c r="B6" s="329" t="s">
        <v>2097</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Ladd CCSD 94</v>
      </c>
    </row>
    <row r="65" spans="2:2" x14ac:dyDescent="0.2">
      <c r="B65" s="1070">
        <f>COVER!A13</f>
        <v>28006094004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E38" sqref="E3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1986</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1987</v>
      </c>
      <c r="B4" s="2356"/>
      <c r="C4" s="2356"/>
      <c r="D4" s="2356"/>
      <c r="E4" s="2356"/>
      <c r="F4" s="2357"/>
      <c r="G4" s="1074"/>
      <c r="H4" s="1074"/>
    </row>
    <row r="5" spans="1:8" ht="14.25" customHeight="1" x14ac:dyDescent="0.2">
      <c r="A5" s="2358" t="s">
        <v>1983</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1609435</v>
      </c>
      <c r="C8" s="1815">
        <f>'Acct Summary 7-8'!D8</f>
        <v>113097</v>
      </c>
      <c r="D8" s="1815">
        <f>'Acct Summary 7-8'!F8</f>
        <v>174742</v>
      </c>
      <c r="E8" s="1815">
        <f>'Acct Summary 7-8'!I8</f>
        <v>19595</v>
      </c>
      <c r="F8" s="1815">
        <f>SUM(B8:E8)</f>
        <v>1916869</v>
      </c>
    </row>
    <row r="9" spans="1:8" s="1079" customFormat="1" ht="14.25" customHeight="1" thickBot="1" x14ac:dyDescent="0.25">
      <c r="A9" s="1078" t="s">
        <v>1369</v>
      </c>
      <c r="B9" s="1816">
        <f>'Acct Summary 7-8'!C17</f>
        <v>1600515</v>
      </c>
      <c r="C9" s="1816">
        <f>'Acct Summary 7-8'!D17</f>
        <v>213057</v>
      </c>
      <c r="D9" s="1816">
        <f>'Acct Summary 7-8'!F17</f>
        <v>165713</v>
      </c>
      <c r="E9" s="1815"/>
      <c r="F9" s="1815">
        <f>SUM(B9:E9)</f>
        <v>1979285</v>
      </c>
    </row>
    <row r="10" spans="1:8" s="1079" customFormat="1" ht="14.25" thickTop="1" thickBot="1" x14ac:dyDescent="0.25">
      <c r="A10" s="1080" t="s">
        <v>1370</v>
      </c>
      <c r="B10" s="1817">
        <f>(B8-B9)</f>
        <v>8920</v>
      </c>
      <c r="C10" s="1817">
        <f>(C8-C9)</f>
        <v>-99960</v>
      </c>
      <c r="D10" s="1817">
        <f>(D8-D9)</f>
        <v>9029</v>
      </c>
      <c r="E10" s="1816">
        <f>(E8-E9)</f>
        <v>19595</v>
      </c>
      <c r="F10" s="1818">
        <f>SUM(F8-F9)</f>
        <v>-62416</v>
      </c>
    </row>
    <row r="11" spans="1:8" s="1079" customFormat="1" ht="14.25" thickTop="1" thickBot="1" x14ac:dyDescent="0.25">
      <c r="A11" s="1081" t="s">
        <v>1984</v>
      </c>
      <c r="B11" s="1819">
        <f>'Acct Summary 7-8'!C81</f>
        <v>425885</v>
      </c>
      <c r="C11" s="1819">
        <f>'Acct Summary 7-8'!D81</f>
        <v>32597</v>
      </c>
      <c r="D11" s="1819">
        <f>'Acct Summary 7-8'!F81</f>
        <v>109181</v>
      </c>
      <c r="E11" s="1819">
        <f>'Acct Summary 7-8'!I81</f>
        <v>503283</v>
      </c>
      <c r="F11" s="1820">
        <f>SUM(B11:E11)</f>
        <v>1070946</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6" colorId="8" zoomScale="110" zoomScaleNormal="110" workbookViewId="0">
      <selection activeCell="C25" sqref="C2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28006094004</v>
      </c>
    </row>
    <row r="3" spans="1:2" x14ac:dyDescent="0.2">
      <c r="A3" t="s">
        <v>956</v>
      </c>
      <c r="B3" s="138" t="str">
        <f>COVER!A15</f>
        <v>Bureau</v>
      </c>
    </row>
    <row r="4" spans="1:2" x14ac:dyDescent="0.2">
      <c r="A4" t="s">
        <v>1007</v>
      </c>
      <c r="B4" s="138" t="str">
        <f>COVER!A17</f>
        <v>Ladd CCSD 94</v>
      </c>
    </row>
    <row r="5" spans="1:2" x14ac:dyDescent="0.2">
      <c r="A5" t="s">
        <v>704</v>
      </c>
      <c r="B5" s="138" t="str">
        <f>COVER!A38</f>
        <v>Michelle Zeko</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Hopkins &amp; Associates, CPAs</v>
      </c>
    </row>
    <row r="17" spans="1:2" x14ac:dyDescent="0.2">
      <c r="A17" t="s">
        <v>884</v>
      </c>
      <c r="B17" s="138" t="str">
        <f>COVER!T15</f>
        <v>Kim Bird</v>
      </c>
    </row>
    <row r="18" spans="1:2" x14ac:dyDescent="0.2">
      <c r="A18" t="s">
        <v>1150</v>
      </c>
      <c r="B18" s="138" t="str">
        <f>COVER!T17</f>
        <v>314 S McCoy St</v>
      </c>
    </row>
    <row r="19" spans="1:2" x14ac:dyDescent="0.2">
      <c r="A19" t="s">
        <v>886</v>
      </c>
      <c r="B19" s="138" t="str">
        <f>COVER!T25</f>
        <v>kim@hopkinsoffice.com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425910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v>
      </c>
      <c r="C91" s="2" t="s">
        <v>573</v>
      </c>
      <c r="D91" s="2" t="str">
        <f t="shared" si="0"/>
        <v>Error?</v>
      </c>
    </row>
    <row r="92" spans="1:4" x14ac:dyDescent="0.2">
      <c r="A92" s="5">
        <v>31</v>
      </c>
      <c r="B92" s="138">
        <f>'Assets-Liab 5-6'!C39</f>
        <v>425885</v>
      </c>
      <c r="D92" s="2" t="str">
        <f t="shared" si="0"/>
        <v>Error?</v>
      </c>
    </row>
    <row r="93" spans="1:4" x14ac:dyDescent="0.2">
      <c r="A93" s="5">
        <v>32</v>
      </c>
      <c r="B93" s="138">
        <f>'Assets-Liab 5-6'!C41</f>
        <v>425910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32597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32597</v>
      </c>
      <c r="D123" s="2" t="str">
        <f t="shared" si="0"/>
        <v>Error?</v>
      </c>
    </row>
    <row r="124" spans="1:4" x14ac:dyDescent="0.2">
      <c r="A124" s="5">
        <v>63</v>
      </c>
      <c r="B124" s="138">
        <f>'Assets-Liab 5-6'!D41</f>
        <v>32597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38207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38207</v>
      </c>
      <c r="D140" s="2" t="str">
        <f t="shared" si="1"/>
        <v>Error?</v>
      </c>
    </row>
    <row r="141" spans="1:4" x14ac:dyDescent="0.2">
      <c r="A141" s="5">
        <v>80</v>
      </c>
      <c r="B141" s="138">
        <f>'Assets-Liab 5-6'!E41</f>
        <v>38207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109181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109181</v>
      </c>
      <c r="D170" s="2" t="str">
        <f t="shared" si="1"/>
        <v>Error?</v>
      </c>
    </row>
    <row r="171" spans="1:4" x14ac:dyDescent="0.2">
      <c r="A171" s="5">
        <v>110</v>
      </c>
      <c r="B171" s="138">
        <f>'Assets-Liab 5-6'!F41</f>
        <v>109181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107251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99408</v>
      </c>
      <c r="D189" s="2" t="str">
        <f t="shared" si="1"/>
        <v>Error?</v>
      </c>
    </row>
    <row r="190" spans="1:4" x14ac:dyDescent="0.2">
      <c r="A190" s="5">
        <v>129</v>
      </c>
      <c r="B190" s="138">
        <f>'Assets-Liab 5-6'!G41</f>
        <v>107251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34890</v>
      </c>
      <c r="D273" s="2" t="str">
        <f t="shared" si="3"/>
        <v>Error?</v>
      </c>
    </row>
    <row r="274" spans="1:4" x14ac:dyDescent="0.2">
      <c r="A274" s="5">
        <v>213</v>
      </c>
      <c r="B274" s="138">
        <f>'Assets-Liab 5-6'!M17</f>
        <v>5969082</v>
      </c>
      <c r="D274" s="2" t="str">
        <f t="shared" si="3"/>
        <v>Error?</v>
      </c>
    </row>
    <row r="275" spans="1:4" x14ac:dyDescent="0.2">
      <c r="A275" s="5">
        <v>214</v>
      </c>
      <c r="B275" s="138">
        <f>'Assets-Liab 5-6'!M18</f>
        <v>140016</v>
      </c>
      <c r="D275" s="2" t="str">
        <f t="shared" si="3"/>
        <v>Error?</v>
      </c>
    </row>
    <row r="276" spans="1:4" x14ac:dyDescent="0.2">
      <c r="A276" s="5">
        <v>215</v>
      </c>
      <c r="B276" s="138">
        <f>'Assets-Liab 5-6'!M19</f>
        <v>500096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6644084</v>
      </c>
      <c r="C279" s="2" t="s">
        <v>573</v>
      </c>
      <c r="D279" s="2" t="str">
        <f t="shared" si="3"/>
        <v>Error?</v>
      </c>
    </row>
    <row r="280" spans="1:4" x14ac:dyDescent="0.2">
      <c r="A280" s="5">
        <v>219</v>
      </c>
      <c r="B280" s="138">
        <f>'Assets-Liab 5-6'!M40</f>
        <v>6644084</v>
      </c>
      <c r="D280" s="2" t="str">
        <f t="shared" si="3"/>
        <v>Error?</v>
      </c>
    </row>
    <row r="281" spans="1:4" x14ac:dyDescent="0.2">
      <c r="A281" s="5">
        <v>220</v>
      </c>
      <c r="B281" s="138">
        <f>'Assets-Liab 5-6'!M41</f>
        <v>6644084</v>
      </c>
      <c r="C281" s="2" t="s">
        <v>573</v>
      </c>
      <c r="D281" s="2" t="str">
        <f t="shared" si="3"/>
        <v>Error?</v>
      </c>
    </row>
    <row r="282" spans="1:4" x14ac:dyDescent="0.2">
      <c r="A282" s="5">
        <v>221</v>
      </c>
      <c r="B282" s="138">
        <f>'Assets-Liab 5-6'!N21</f>
        <v>38207</v>
      </c>
      <c r="D282" s="2" t="str">
        <f t="shared" si="3"/>
        <v>Error?</v>
      </c>
    </row>
    <row r="283" spans="1:4" x14ac:dyDescent="0.2">
      <c r="A283" s="5">
        <v>222</v>
      </c>
      <c r="B283" s="138">
        <f>'Assets-Liab 5-6'!N22</f>
        <v>646793</v>
      </c>
      <c r="D283" s="2" t="str">
        <f t="shared" si="3"/>
        <v>Error?</v>
      </c>
    </row>
    <row r="284" spans="1:4" x14ac:dyDescent="0.2">
      <c r="A284" s="5">
        <v>223</v>
      </c>
      <c r="B284" s="138">
        <f>'Assets-Liab 5-6'!N23</f>
        <v>685000</v>
      </c>
      <c r="C284" s="2" t="s">
        <v>573</v>
      </c>
      <c r="D284" s="2" t="str">
        <f t="shared" si="3"/>
        <v>Error?</v>
      </c>
    </row>
    <row r="285" spans="1:4" x14ac:dyDescent="0.2">
      <c r="A285" s="5">
        <v>224</v>
      </c>
      <c r="B285" s="138">
        <f>'Assets-Liab 5-6'!N36</f>
        <v>685000</v>
      </c>
      <c r="D285" s="2" t="str">
        <f t="shared" si="3"/>
        <v>Error?</v>
      </c>
    </row>
    <row r="286" spans="1:4" x14ac:dyDescent="0.2">
      <c r="A286" s="10">
        <v>225</v>
      </c>
      <c r="D286" s="2" t="str">
        <f t="shared" si="3"/>
        <v>OK</v>
      </c>
    </row>
    <row r="287" spans="1:4" x14ac:dyDescent="0.2">
      <c r="A287" s="5">
        <v>226</v>
      </c>
      <c r="B287" s="138">
        <f>'Assets-Liab 5-6'!N37</f>
        <v>685000</v>
      </c>
      <c r="C287" s="2" t="s">
        <v>573</v>
      </c>
      <c r="D287" s="2" t="str">
        <f t="shared" si="3"/>
        <v>Error?</v>
      </c>
    </row>
    <row r="288" spans="1:4" x14ac:dyDescent="0.2">
      <c r="A288" s="5">
        <v>227</v>
      </c>
      <c r="B288" s="138">
        <f>'Assets-Liab 5-6'!N41</f>
        <v>685000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533790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17466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702499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1125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1125</v>
      </c>
      <c r="C731" s="2" t="s">
        <v>573</v>
      </c>
      <c r="D731" s="2" t="str">
        <f t="shared" si="10"/>
        <v>Error?</v>
      </c>
    </row>
    <row r="732" spans="1:4" x14ac:dyDescent="0.2">
      <c r="A732" s="5">
        <v>671</v>
      </c>
      <c r="B732" s="138">
        <f>'Expenditures 15-22'!C49</f>
        <v>3840</v>
      </c>
      <c r="D732" s="2" t="str">
        <f t="shared" si="10"/>
        <v>Error?</v>
      </c>
    </row>
    <row r="733" spans="1:4" x14ac:dyDescent="0.2">
      <c r="A733" s="5">
        <v>672</v>
      </c>
      <c r="B733" s="138">
        <f>'Expenditures 15-22'!C50</f>
        <v>121203</v>
      </c>
      <c r="D733" s="2" t="str">
        <f t="shared" si="10"/>
        <v>Error?</v>
      </c>
    </row>
    <row r="734" spans="1:4" x14ac:dyDescent="0.2">
      <c r="A734" s="5">
        <v>673</v>
      </c>
      <c r="B734" s="138">
        <f>'Expenditures 15-22'!C53</f>
        <v>125043</v>
      </c>
      <c r="C734" s="2" t="s">
        <v>573</v>
      </c>
      <c r="D734" s="2" t="str">
        <f t="shared" si="10"/>
        <v>Error?</v>
      </c>
    </row>
    <row r="735" spans="1:4" x14ac:dyDescent="0.2">
      <c r="A735" s="5">
        <v>674</v>
      </c>
      <c r="B735" s="138">
        <f>'Expenditures 15-22'!C55</f>
        <v>91463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91463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33707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44789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78496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296127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998626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167727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224468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1500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1500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14752</v>
      </c>
      <c r="D791" s="2" t="str">
        <f t="shared" si="11"/>
        <v>Error?</v>
      </c>
    </row>
    <row r="792" spans="1:4" x14ac:dyDescent="0.2">
      <c r="A792" s="5">
        <v>731</v>
      </c>
      <c r="B792" s="138">
        <f>'Expenditures 15-22'!D53</f>
        <v>14752</v>
      </c>
      <c r="C792" s="2" t="s">
        <v>573</v>
      </c>
      <c r="D792" s="2" t="str">
        <f t="shared" si="11"/>
        <v>Error?</v>
      </c>
    </row>
    <row r="793" spans="1:4" x14ac:dyDescent="0.2">
      <c r="A793" s="5">
        <v>732</v>
      </c>
      <c r="B793" s="138">
        <f>'Expenditures 15-22'!D55</f>
        <v>23744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23744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12123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18665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30788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70784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295252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3620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8840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43160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43935</v>
      </c>
      <c r="C843" s="2" t="s">
        <v>573</v>
      </c>
      <c r="D843" s="2" t="str">
        <f t="shared" si="12"/>
        <v>Error?</v>
      </c>
    </row>
    <row r="844" spans="1:4" x14ac:dyDescent="0.2">
      <c r="A844" s="5">
        <v>783</v>
      </c>
      <c r="B844" s="138">
        <f>'Expenditures 15-22'!E44</f>
        <v>4971</v>
      </c>
      <c r="D844" s="2" t="str">
        <f t="shared" si="12"/>
        <v>Error?</v>
      </c>
    </row>
    <row r="845" spans="1:4" x14ac:dyDescent="0.2">
      <c r="A845" s="5">
        <v>784</v>
      </c>
      <c r="B845" s="138">
        <f>'Expenditures 15-22'!E45</f>
        <v>36912</v>
      </c>
      <c r="D845" s="2" t="str">
        <f t="shared" si="12"/>
        <v>Error?</v>
      </c>
    </row>
    <row r="846" spans="1:4" x14ac:dyDescent="0.2">
      <c r="A846" s="5">
        <v>785</v>
      </c>
      <c r="B846" s="138">
        <f>'Expenditures 15-22'!E46</f>
        <v>3220</v>
      </c>
      <c r="D846" s="2" t="str">
        <f t="shared" si="12"/>
        <v>Error?</v>
      </c>
    </row>
    <row r="847" spans="1:4" x14ac:dyDescent="0.2">
      <c r="A847" s="5">
        <v>786</v>
      </c>
      <c r="B847" s="138">
        <f>'Expenditures 15-22'!E47</f>
        <v>45103</v>
      </c>
      <c r="C847" s="2" t="s">
        <v>573</v>
      </c>
      <c r="D847" s="2" t="str">
        <f t="shared" si="12"/>
        <v>Error?</v>
      </c>
    </row>
    <row r="848" spans="1:4" x14ac:dyDescent="0.2">
      <c r="A848" s="5">
        <v>787</v>
      </c>
      <c r="B848" s="138">
        <f>'Expenditures 15-22'!E49</f>
        <v>17133</v>
      </c>
      <c r="D848" s="2" t="str">
        <f t="shared" si="12"/>
        <v>Error?</v>
      </c>
    </row>
    <row r="849" spans="1:4" x14ac:dyDescent="0.2">
      <c r="A849" s="5">
        <v>788</v>
      </c>
      <c r="B849" s="138">
        <f>'Expenditures 15-22'!E50</f>
        <v>1210</v>
      </c>
      <c r="D849" s="2" t="str">
        <f t="shared" si="12"/>
        <v>Error?</v>
      </c>
    </row>
    <row r="850" spans="1:4" x14ac:dyDescent="0.2">
      <c r="A850" s="5">
        <v>789</v>
      </c>
      <c r="B850" s="138">
        <f>'Expenditures 15-22'!E53</f>
        <v>18343</v>
      </c>
      <c r="C850" s="2" t="s">
        <v>573</v>
      </c>
      <c r="D850" s="2" t="str">
        <f t="shared" si="12"/>
        <v>Error?</v>
      </c>
    </row>
    <row r="851" spans="1:4" x14ac:dyDescent="0.2">
      <c r="A851" s="5">
        <v>790</v>
      </c>
      <c r="B851" s="138">
        <f>'Expenditures 15-22'!E55</f>
        <v>189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589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589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108159</v>
      </c>
      <c r="C871" s="2" t="s">
        <v>573</v>
      </c>
      <c r="D871" s="2" t="str">
        <f t="shared" si="12"/>
        <v>Error?</v>
      </c>
    </row>
    <row r="872" spans="1:4" x14ac:dyDescent="0.2">
      <c r="A872" s="5">
        <v>811</v>
      </c>
      <c r="B872" s="138">
        <f>'Expenditures 15-22'!E75</f>
        <v>1452</v>
      </c>
      <c r="D872" s="2" t="str">
        <f t="shared" si="12"/>
        <v>Error?</v>
      </c>
    </row>
    <row r="873" spans="1:4" x14ac:dyDescent="0.2">
      <c r="A873" s="5">
        <v>812</v>
      </c>
      <c r="B873" s="138">
        <f>'Expenditures 15-22'!E114</f>
        <v>142432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48603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1629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50832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195</v>
      </c>
      <c r="D899" s="2" t="str">
        <f t="shared" si="13"/>
        <v>Error?</v>
      </c>
    </row>
    <row r="900" spans="1:4" x14ac:dyDescent="0.2">
      <c r="A900" s="5">
        <v>839</v>
      </c>
      <c r="B900" s="138">
        <f>'Expenditures 15-22'!F41</f>
        <v>24</v>
      </c>
      <c r="D900" s="2" t="str">
        <f t="shared" si="13"/>
        <v>Error?</v>
      </c>
    </row>
    <row r="901" spans="1:4" x14ac:dyDescent="0.2">
      <c r="A901" s="5">
        <v>840</v>
      </c>
      <c r="B901" s="138">
        <f>'Expenditures 15-22'!F42</f>
        <v>219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1513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1513</v>
      </c>
      <c r="C905" s="2" t="s">
        <v>573</v>
      </c>
      <c r="D905" s="2" t="str">
        <f t="shared" si="13"/>
        <v>Error?</v>
      </c>
    </row>
    <row r="906" spans="1:4" x14ac:dyDescent="0.2">
      <c r="A906" s="5">
        <v>845</v>
      </c>
      <c r="B906" s="138">
        <f>'Expenditures 15-22'!F49</f>
        <v>2156</v>
      </c>
      <c r="D906" s="2" t="str">
        <f t="shared" si="13"/>
        <v>Error?</v>
      </c>
    </row>
    <row r="907" spans="1:4" x14ac:dyDescent="0.2">
      <c r="A907" s="5">
        <v>846</v>
      </c>
      <c r="B907" s="138">
        <f>'Expenditures 15-22'!F50</f>
        <v>507</v>
      </c>
      <c r="D907" s="2" t="str">
        <f t="shared" si="13"/>
        <v>Error?</v>
      </c>
    </row>
    <row r="908" spans="1:4" x14ac:dyDescent="0.2">
      <c r="A908" s="5">
        <v>847</v>
      </c>
      <c r="B908" s="138">
        <f>'Expenditures 15-22'!F53</f>
        <v>2663</v>
      </c>
      <c r="C908" s="2" t="s">
        <v>573</v>
      </c>
      <c r="D908" s="2" t="str">
        <f t="shared" si="13"/>
        <v>Error?</v>
      </c>
    </row>
    <row r="909" spans="1:4" x14ac:dyDescent="0.2">
      <c r="A909" s="5">
        <v>848</v>
      </c>
      <c r="B909" s="138">
        <f>'Expenditures 15-22'!F55</f>
        <v>506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754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47724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48478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128</v>
      </c>
      <c r="D928" s="2" t="str">
        <f t="shared" si="13"/>
        <v>Error?</v>
      </c>
    </row>
    <row r="929" spans="1:4" x14ac:dyDescent="0.2">
      <c r="A929" s="5">
        <v>868</v>
      </c>
      <c r="B929" s="138">
        <f>'Expenditures 15-22'!F74</f>
        <v>53507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104339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7130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7130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9500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9500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9500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16630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13464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115</v>
      </c>
      <c r="D1022" s="2" t="str">
        <f t="shared" si="14"/>
        <v>Error?</v>
      </c>
    </row>
    <row r="1023" spans="1:4" x14ac:dyDescent="0.2">
      <c r="A1023" s="5">
        <v>962</v>
      </c>
      <c r="B1023" s="138">
        <f>'Expenditures 15-22'!H50</f>
        <v>1251</v>
      </c>
      <c r="D1023" s="2" t="str">
        <f t="shared" ref="D1023:D1086" si="15">IF(ISBLANK(B1023),"OK",IF(A1023-B1023=0,"OK","Error?"))</f>
        <v>Error?</v>
      </c>
    </row>
    <row r="1024" spans="1:4" x14ac:dyDescent="0.2">
      <c r="A1024" s="5">
        <v>963</v>
      </c>
      <c r="B1024" s="138">
        <f>'Expenditures 15-22'!H53</f>
        <v>1366</v>
      </c>
      <c r="C1024" s="2" t="s">
        <v>573</v>
      </c>
      <c r="D1024" s="2" t="str">
        <f t="shared" si="15"/>
        <v>Error?</v>
      </c>
    </row>
    <row r="1025" spans="1:4" x14ac:dyDescent="0.2">
      <c r="A1025" s="5">
        <v>964</v>
      </c>
      <c r="B1025" s="138">
        <f>'Expenditures 15-22'!H55</f>
        <v>82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248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1696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28076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43236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762596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24385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1007233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775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43355</v>
      </c>
      <c r="C1113" s="2" t="s">
        <v>573</v>
      </c>
      <c r="D1113" s="2" t="str">
        <f t="shared" si="16"/>
        <v>Error?</v>
      </c>
    </row>
    <row r="1114" spans="1:4" x14ac:dyDescent="0.2">
      <c r="A1114" s="5">
        <v>1053</v>
      </c>
      <c r="B1114" s="138">
        <f>'Expenditures 15-22'!K41</f>
        <v>24</v>
      </c>
      <c r="C1114" s="2" t="s">
        <v>573</v>
      </c>
      <c r="D1114" s="2" t="str">
        <f t="shared" si="16"/>
        <v>Error?</v>
      </c>
    </row>
    <row r="1115" spans="1:4" x14ac:dyDescent="0.2">
      <c r="A1115" s="5">
        <v>1054</v>
      </c>
      <c r="B1115" s="138">
        <f>'Expenditures 15-22'!K42</f>
        <v>44154</v>
      </c>
      <c r="C1115" s="2" t="s">
        <v>573</v>
      </c>
      <c r="D1115" s="2" t="str">
        <f t="shared" si="16"/>
        <v>Error?</v>
      </c>
    </row>
    <row r="1116" spans="1:4" x14ac:dyDescent="0.2">
      <c r="A1116" s="5">
        <v>1055</v>
      </c>
      <c r="B1116" s="138">
        <f>'Expenditures 15-22'!K44</f>
        <v>7596</v>
      </c>
      <c r="C1116" s="2" t="s">
        <v>573</v>
      </c>
      <c r="D1116" s="2" t="str">
        <f t="shared" si="16"/>
        <v>Error?</v>
      </c>
    </row>
    <row r="1117" spans="1:4" x14ac:dyDescent="0.2">
      <c r="A1117" s="5">
        <v>1056</v>
      </c>
      <c r="B1117" s="138">
        <f>'Expenditures 15-22'!K45</f>
        <v>47925</v>
      </c>
      <c r="C1117" s="2" t="s">
        <v>573</v>
      </c>
      <c r="D1117" s="2" t="str">
        <f t="shared" si="16"/>
        <v>Error?</v>
      </c>
    </row>
    <row r="1118" spans="1:4" x14ac:dyDescent="0.2">
      <c r="A1118" s="5">
        <v>1057</v>
      </c>
      <c r="B1118" s="138">
        <f>'Expenditures 15-22'!K46</f>
        <v>3220</v>
      </c>
      <c r="C1118" s="2" t="s">
        <v>573</v>
      </c>
      <c r="D1118" s="2" t="str">
        <f t="shared" si="16"/>
        <v>Error?</v>
      </c>
    </row>
    <row r="1119" spans="1:4" x14ac:dyDescent="0.2">
      <c r="A1119" s="5">
        <v>1058</v>
      </c>
      <c r="B1119" s="138">
        <f>'Expenditures 15-22'!K47</f>
        <v>58741</v>
      </c>
      <c r="C1119" s="2" t="s">
        <v>573</v>
      </c>
      <c r="D1119" s="2" t="str">
        <f t="shared" si="16"/>
        <v>Error?</v>
      </c>
    </row>
    <row r="1120" spans="1:4" x14ac:dyDescent="0.2">
      <c r="A1120" s="5">
        <v>1059</v>
      </c>
      <c r="B1120" s="138">
        <f>'Expenditures 15-22'!K49</f>
        <v>23244</v>
      </c>
      <c r="C1120" s="2" t="s">
        <v>573</v>
      </c>
      <c r="D1120" s="2" t="str">
        <f t="shared" si="16"/>
        <v>Error?</v>
      </c>
    </row>
    <row r="1121" spans="1:4" x14ac:dyDescent="0.2">
      <c r="A1121" s="5">
        <v>1060</v>
      </c>
      <c r="B1121" s="138">
        <f>'Expenditures 15-22'!K50</f>
        <v>138923</v>
      </c>
      <c r="C1121" s="2" t="s">
        <v>573</v>
      </c>
      <c r="D1121" s="2" t="str">
        <f t="shared" si="16"/>
        <v>Error?</v>
      </c>
    </row>
    <row r="1122" spans="1:4" x14ac:dyDescent="0.2">
      <c r="A1122" s="5">
        <v>1061</v>
      </c>
      <c r="B1122" s="138">
        <f>'Expenditures 15-22'!K53</f>
        <v>162167</v>
      </c>
      <c r="C1122" s="2" t="s">
        <v>573</v>
      </c>
      <c r="D1122" s="2" t="str">
        <f t="shared" si="16"/>
        <v>Error?</v>
      </c>
    </row>
    <row r="1123" spans="1:4" x14ac:dyDescent="0.2">
      <c r="A1123" s="5">
        <v>1062</v>
      </c>
      <c r="B1123" s="138">
        <f>'Expenditures 15-22'!K55</f>
        <v>115984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115984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47173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111426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158599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128</v>
      </c>
      <c r="C1142" s="2" t="s">
        <v>573</v>
      </c>
      <c r="D1142" s="2" t="str">
        <f t="shared" si="16"/>
        <v>Error?</v>
      </c>
    </row>
    <row r="1143" spans="1:4" x14ac:dyDescent="0.2">
      <c r="A1143" s="5">
        <v>1082</v>
      </c>
      <c r="B1143" s="138">
        <f>'Expenditures 15-22'!K74</f>
        <v>539773</v>
      </c>
      <c r="C1143" s="2" t="s">
        <v>573</v>
      </c>
      <c r="D1143" s="2" t="str">
        <f t="shared" si="16"/>
        <v>Error?</v>
      </c>
    </row>
    <row r="1144" spans="1:4" x14ac:dyDescent="0.2">
      <c r="A1144" s="5">
        <v>1083</v>
      </c>
      <c r="B1144" s="138">
        <f>'Expenditures 15-22'!K75</f>
        <v>1452</v>
      </c>
      <c r="C1144" s="2" t="s">
        <v>573</v>
      </c>
      <c r="D1144" s="2" t="str">
        <f t="shared" si="16"/>
        <v>Error?</v>
      </c>
    </row>
    <row r="1145" spans="1:4" x14ac:dyDescent="0.2">
      <c r="A1145" s="5">
        <v>1084</v>
      </c>
      <c r="B1145" s="138">
        <f>'Expenditures 15-22'!K102</f>
        <v>52057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1600515</v>
      </c>
      <c r="C1152" s="2" t="s">
        <v>573</v>
      </c>
      <c r="D1152" s="2" t="str">
        <f t="shared" si="17"/>
        <v>Error?</v>
      </c>
    </row>
    <row r="1153" spans="1:4" x14ac:dyDescent="0.2">
      <c r="A1153" s="5">
        <v>1092</v>
      </c>
      <c r="B1153" s="138">
        <f>'Expenditures 15-22'!K115</f>
        <v>8920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47171</v>
      </c>
      <c r="D1221" s="2" t="str">
        <f t="shared" si="18"/>
        <v>Error?</v>
      </c>
    </row>
    <row r="1222" spans="1:4" x14ac:dyDescent="0.2">
      <c r="A1222" s="10">
        <v>1161</v>
      </c>
      <c r="D1222" s="2" t="str">
        <f t="shared" si="18"/>
        <v>OK</v>
      </c>
    </row>
    <row r="1223" spans="1:4" x14ac:dyDescent="0.2">
      <c r="A1223" s="5">
        <v>1162</v>
      </c>
      <c r="B1223" s="138">
        <f>'Expenditures 15-22'!C127</f>
        <v>47171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47171</v>
      </c>
      <c r="C1225" s="2" t="s">
        <v>573</v>
      </c>
      <c r="D1225" s="2" t="str">
        <f t="shared" si="18"/>
        <v>Error?</v>
      </c>
    </row>
    <row r="1226" spans="1:4" x14ac:dyDescent="0.2">
      <c r="A1226" s="5">
        <v>1165</v>
      </c>
      <c r="B1226" s="138">
        <f>'Expenditures 15-22'!C151</f>
        <v>47171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6034</v>
      </c>
      <c r="D1229" s="2" t="str">
        <f t="shared" si="18"/>
        <v>Error?</v>
      </c>
    </row>
    <row r="1230" spans="1:4" x14ac:dyDescent="0.2">
      <c r="A1230" s="10">
        <v>1169</v>
      </c>
      <c r="D1230" s="2" t="str">
        <f t="shared" si="18"/>
        <v>OK</v>
      </c>
    </row>
    <row r="1231" spans="1:4" x14ac:dyDescent="0.2">
      <c r="A1231" s="5">
        <v>1170</v>
      </c>
      <c r="B1231" s="138">
        <f>'Expenditures 15-22'!D127</f>
        <v>6034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6034</v>
      </c>
      <c r="C1233" s="2" t="s">
        <v>573</v>
      </c>
      <c r="D1233" s="2" t="str">
        <f t="shared" si="18"/>
        <v>Error?</v>
      </c>
    </row>
    <row r="1234" spans="1:4" x14ac:dyDescent="0.2">
      <c r="A1234" s="5">
        <v>1173</v>
      </c>
      <c r="B1234" s="138">
        <f>'Expenditures 15-22'!D151</f>
        <v>6034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64505</v>
      </c>
      <c r="D1237" s="2" t="str">
        <f t="shared" si="18"/>
        <v>Error?</v>
      </c>
    </row>
    <row r="1238" spans="1:4" x14ac:dyDescent="0.2">
      <c r="A1238" s="10">
        <v>1177</v>
      </c>
      <c r="D1238" s="2" t="str">
        <f t="shared" si="18"/>
        <v>OK</v>
      </c>
    </row>
    <row r="1239" spans="1:4" x14ac:dyDescent="0.2">
      <c r="A1239" s="5">
        <v>1178</v>
      </c>
      <c r="B1239" s="138">
        <f>'Expenditures 15-22'!E127</f>
        <v>64505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64505</v>
      </c>
      <c r="C1241" s="2" t="s">
        <v>573</v>
      </c>
      <c r="D1241" s="2" t="str">
        <f t="shared" si="18"/>
        <v>Error?</v>
      </c>
    </row>
    <row r="1242" spans="1:4" x14ac:dyDescent="0.2">
      <c r="A1242" s="5">
        <v>1181</v>
      </c>
      <c r="B1242" s="138">
        <f>'Expenditures 15-22'!E151</f>
        <v>64505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86992</v>
      </c>
      <c r="D1245" s="2" t="str">
        <f t="shared" si="18"/>
        <v>Error?</v>
      </c>
    </row>
    <row r="1246" spans="1:4" x14ac:dyDescent="0.2">
      <c r="A1246" s="10">
        <v>1185</v>
      </c>
      <c r="D1246" s="2" t="str">
        <f t="shared" si="18"/>
        <v>OK</v>
      </c>
    </row>
    <row r="1247" spans="1:4" x14ac:dyDescent="0.2">
      <c r="A1247" s="5">
        <v>1186</v>
      </c>
      <c r="B1247" s="138">
        <f>'Expenditures 15-22'!F127</f>
        <v>86992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86992</v>
      </c>
      <c r="C1249" s="2" t="s">
        <v>573</v>
      </c>
      <c r="D1249" s="2" t="str">
        <f t="shared" si="18"/>
        <v>Error?</v>
      </c>
    </row>
    <row r="1250" spans="1:4" x14ac:dyDescent="0.2">
      <c r="A1250" s="5">
        <v>1189</v>
      </c>
      <c r="B1250" s="138">
        <f>'Expenditures 15-22'!F151</f>
        <v>86992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8355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8355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8355</v>
      </c>
      <c r="C1258" s="2" t="s">
        <v>573</v>
      </c>
      <c r="D1258" s="2" t="str">
        <f t="shared" si="18"/>
        <v>Error?</v>
      </c>
    </row>
    <row r="1259" spans="1:4" x14ac:dyDescent="0.2">
      <c r="A1259" s="5">
        <v>1198</v>
      </c>
      <c r="B1259" s="138">
        <f>'Expenditures 15-22'!G151</f>
        <v>8355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213057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213057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213057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213057</v>
      </c>
      <c r="C1288" s="2" t="s">
        <v>573</v>
      </c>
      <c r="D1288" s="2" t="str">
        <f t="shared" si="19"/>
        <v>Error?</v>
      </c>
    </row>
    <row r="1289" spans="1:4" x14ac:dyDescent="0.2">
      <c r="A1289" s="5">
        <v>1228</v>
      </c>
      <c r="B1289" s="138">
        <f>'Expenditures 15-22'!K152</f>
        <v>-99960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32039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175000</v>
      </c>
      <c r="D1315" s="2" t="str">
        <f t="shared" si="19"/>
        <v>Error?</v>
      </c>
    </row>
    <row r="1316" spans="1:4" x14ac:dyDescent="0.2">
      <c r="A1316" s="5">
        <v>1255</v>
      </c>
      <c r="B1316" s="138">
        <f>'Expenditures 15-22'!H171</f>
        <v>1400</v>
      </c>
      <c r="D1316" s="2" t="str">
        <f t="shared" si="19"/>
        <v>Error?</v>
      </c>
    </row>
    <row r="1317" spans="1:4" x14ac:dyDescent="0.2">
      <c r="A1317" s="5">
        <v>1256</v>
      </c>
      <c r="B1317" s="138">
        <f>'Expenditures 15-22'!H172</f>
        <v>208439</v>
      </c>
      <c r="C1317" s="2" t="s">
        <v>573</v>
      </c>
      <c r="D1317" s="2" t="str">
        <f t="shared" si="19"/>
        <v>Error?</v>
      </c>
    </row>
    <row r="1318" spans="1:4" x14ac:dyDescent="0.2">
      <c r="A1318" s="5">
        <v>1257</v>
      </c>
      <c r="B1318" s="138">
        <f>'Expenditures 15-22'!H174</f>
        <v>208439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32039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175000</v>
      </c>
      <c r="C1329" s="2" t="s">
        <v>573</v>
      </c>
      <c r="D1329" s="2" t="str">
        <f t="shared" si="19"/>
        <v>Error?</v>
      </c>
    </row>
    <row r="1330" spans="1:4" x14ac:dyDescent="0.2">
      <c r="A1330" s="5">
        <v>1269</v>
      </c>
      <c r="B1330" s="138">
        <f>'Expenditures 15-22'!K171</f>
        <v>1400</v>
      </c>
      <c r="C1330" s="2" t="s">
        <v>573</v>
      </c>
      <c r="D1330" s="2" t="str">
        <f t="shared" si="19"/>
        <v>Error?</v>
      </c>
    </row>
    <row r="1331" spans="1:4" x14ac:dyDescent="0.2">
      <c r="A1331" s="5">
        <v>1270</v>
      </c>
      <c r="B1331" s="138">
        <f>'Expenditures 15-22'!K172</f>
        <v>208439</v>
      </c>
      <c r="C1331" s="2" t="s">
        <v>573</v>
      </c>
      <c r="D1331" s="2" t="str">
        <f t="shared" si="19"/>
        <v>Error?</v>
      </c>
    </row>
    <row r="1332" spans="1:4" x14ac:dyDescent="0.2">
      <c r="A1332" s="5">
        <v>1271</v>
      </c>
      <c r="B1332" s="138">
        <f>'Expenditures 15-22'!K174</f>
        <v>208439</v>
      </c>
      <c r="C1332" s="2" t="s">
        <v>573</v>
      </c>
      <c r="D1332" s="2" t="str">
        <f t="shared" si="19"/>
        <v>Error?</v>
      </c>
    </row>
    <row r="1333" spans="1:4" x14ac:dyDescent="0.2">
      <c r="A1333" s="5">
        <v>1272</v>
      </c>
      <c r="B1333" s="138">
        <f>'Expenditures 15-22'!K175</f>
        <v>-1769</v>
      </c>
      <c r="C1333" s="2" t="s">
        <v>573</v>
      </c>
      <c r="D1333" s="2" t="str">
        <f t="shared" si="19"/>
        <v>Error?</v>
      </c>
    </row>
    <row r="1334" spans="1:4" x14ac:dyDescent="0.2">
      <c r="A1334" s="10">
        <v>1273</v>
      </c>
      <c r="D1334" s="2" t="str">
        <f t="shared" si="19"/>
        <v>OK</v>
      </c>
    </row>
    <row r="1335" spans="1:4" x14ac:dyDescent="0.2">
      <c r="A1335" s="5">
        <v>1274</v>
      </c>
      <c r="B1335" s="138">
        <f>'Expenditures 15-22'!C182</f>
        <v>11062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11062</v>
      </c>
      <c r="C1339" s="2" t="s">
        <v>573</v>
      </c>
      <c r="D1339" s="2" t="str">
        <f t="shared" si="19"/>
        <v>Error?</v>
      </c>
    </row>
    <row r="1340" spans="1:4" x14ac:dyDescent="0.2">
      <c r="A1340" s="5">
        <v>1279</v>
      </c>
      <c r="B1340" s="138">
        <f>'Expenditures 15-22'!C210</f>
        <v>11062</v>
      </c>
      <c r="C1340" s="2" t="s">
        <v>573</v>
      </c>
      <c r="D1340" s="2" t="str">
        <f t="shared" si="19"/>
        <v>Error?</v>
      </c>
    </row>
    <row r="1341" spans="1:4" x14ac:dyDescent="0.2">
      <c r="A1341" s="5">
        <v>1280</v>
      </c>
      <c r="B1341" s="138">
        <f>'Expenditures 15-22'!D182</f>
        <v>1474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1474</v>
      </c>
      <c r="C1345" s="2" t="s">
        <v>573</v>
      </c>
      <c r="D1345" s="2" t="str">
        <f t="shared" si="20"/>
        <v>Error?</v>
      </c>
    </row>
    <row r="1346" spans="1:4" x14ac:dyDescent="0.2">
      <c r="A1346" s="5">
        <v>1285</v>
      </c>
      <c r="B1346" s="138">
        <f>'Expenditures 15-22'!D210</f>
        <v>1474</v>
      </c>
      <c r="C1346" s="2" t="s">
        <v>573</v>
      </c>
      <c r="D1346" s="2" t="str">
        <f t="shared" si="20"/>
        <v>Error?</v>
      </c>
    </row>
    <row r="1347" spans="1:4" x14ac:dyDescent="0.2">
      <c r="A1347" s="5">
        <v>1286</v>
      </c>
      <c r="B1347" s="138">
        <f>'Expenditures 15-22'!E182</f>
        <v>152827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152827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152827</v>
      </c>
      <c r="C1353" s="2" t="s">
        <v>573</v>
      </c>
      <c r="D1353" s="2" t="str">
        <f t="shared" si="20"/>
        <v>Error?</v>
      </c>
    </row>
    <row r="1354" spans="1:4" x14ac:dyDescent="0.2">
      <c r="A1354" s="5">
        <v>1293</v>
      </c>
      <c r="B1354" s="138">
        <f>'Expenditures 15-22'!F182</f>
        <v>350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350</v>
      </c>
      <c r="C1358" s="2" t="s">
        <v>573</v>
      </c>
      <c r="D1358" s="2" t="str">
        <f t="shared" si="20"/>
        <v>Error?</v>
      </c>
    </row>
    <row r="1359" spans="1:4" x14ac:dyDescent="0.2">
      <c r="A1359" s="5">
        <v>1298</v>
      </c>
      <c r="B1359" s="138">
        <f>'Expenditures 15-22'!F210</f>
        <v>350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165713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165713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165713</v>
      </c>
      <c r="C1388" s="2" t="s">
        <v>573</v>
      </c>
      <c r="D1388" s="2" t="str">
        <f t="shared" si="20"/>
        <v>Error?</v>
      </c>
    </row>
    <row r="1389" spans="1:4" x14ac:dyDescent="0.2">
      <c r="A1389" s="5">
        <v>1328</v>
      </c>
      <c r="B1389" s="138">
        <f>'Expenditures 15-22'!K211</f>
        <v>9029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910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15907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308</v>
      </c>
      <c r="D1422" s="2" t="str">
        <f t="shared" si="21"/>
        <v>Error?</v>
      </c>
    </row>
    <row r="1423" spans="1:4" x14ac:dyDescent="0.2">
      <c r="A1423" s="5">
        <v>1362</v>
      </c>
      <c r="B1423" s="138">
        <f>'Expenditures 15-22'!D246</f>
        <v>4870</v>
      </c>
      <c r="D1423" s="2" t="str">
        <f t="shared" si="21"/>
        <v>Error?</v>
      </c>
    </row>
    <row r="1424" spans="1:4" x14ac:dyDescent="0.2">
      <c r="A1424" s="5">
        <v>1363</v>
      </c>
      <c r="B1424" s="138">
        <f>'Expenditures 15-22'!D257</f>
        <v>5178</v>
      </c>
      <c r="C1424" s="2" t="s">
        <v>573</v>
      </c>
      <c r="D1424" s="2" t="str">
        <f t="shared" si="21"/>
        <v>Error?</v>
      </c>
    </row>
    <row r="1425" spans="1:4" x14ac:dyDescent="0.2">
      <c r="A1425" s="5">
        <v>1364</v>
      </c>
      <c r="B1425" s="138">
        <f>'Expenditures 15-22'!D259</f>
        <v>5269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5269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4038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6714</v>
      </c>
      <c r="D1431" s="2" t="str">
        <f t="shared" si="21"/>
        <v>Error?</v>
      </c>
    </row>
    <row r="1432" spans="1:4" x14ac:dyDescent="0.2">
      <c r="A1432" s="5">
        <v>1371</v>
      </c>
      <c r="B1432" s="138">
        <f>'Expenditures 15-22'!D267</f>
        <v>326</v>
      </c>
      <c r="D1432" s="2" t="str">
        <f t="shared" si="21"/>
        <v>Error?</v>
      </c>
    </row>
    <row r="1433" spans="1:4" x14ac:dyDescent="0.2">
      <c r="A1433" s="5">
        <v>1372</v>
      </c>
      <c r="B1433" s="138">
        <f>'Expenditures 15-22'!D268</f>
        <v>5751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16829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27276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43183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910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15907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308</v>
      </c>
      <c r="C1486" s="2" t="s">
        <v>573</v>
      </c>
      <c r="D1486" s="2" t="str">
        <f t="shared" si="22"/>
        <v>Error?</v>
      </c>
    </row>
    <row r="1487" spans="1:4" x14ac:dyDescent="0.2">
      <c r="A1487" s="5">
        <v>1426</v>
      </c>
      <c r="B1487" s="138">
        <f>'Expenditures 15-22'!K246</f>
        <v>4870</v>
      </c>
      <c r="C1487" s="2" t="s">
        <v>573</v>
      </c>
      <c r="D1487" s="2" t="str">
        <f t="shared" si="22"/>
        <v>Error?</v>
      </c>
    </row>
    <row r="1488" spans="1:4" x14ac:dyDescent="0.2">
      <c r="A1488" s="5">
        <v>1427</v>
      </c>
      <c r="B1488" s="138">
        <f>'Expenditures 15-22'!K257</f>
        <v>5178</v>
      </c>
      <c r="C1488" s="2" t="s">
        <v>573</v>
      </c>
      <c r="D1488" s="2" t="str">
        <f t="shared" si="22"/>
        <v>Error?</v>
      </c>
    </row>
    <row r="1489" spans="1:4" x14ac:dyDescent="0.2">
      <c r="A1489" s="5">
        <v>1428</v>
      </c>
      <c r="B1489" s="138">
        <f>'Expenditures 15-22'!K259</f>
        <v>5269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5269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4038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6714</v>
      </c>
      <c r="C1495" s="2" t="s">
        <v>573</v>
      </c>
      <c r="D1495" s="2" t="str">
        <f t="shared" si="22"/>
        <v>Error?</v>
      </c>
    </row>
    <row r="1496" spans="1:4" x14ac:dyDescent="0.2">
      <c r="A1496" s="5">
        <v>1435</v>
      </c>
      <c r="B1496" s="138">
        <f>'Expenditures 15-22'!K267</f>
        <v>326</v>
      </c>
      <c r="C1496" s="2" t="s">
        <v>573</v>
      </c>
      <c r="D1496" s="2" t="str">
        <f t="shared" si="22"/>
        <v>Error?</v>
      </c>
    </row>
    <row r="1497" spans="1:4" x14ac:dyDescent="0.2">
      <c r="A1497" s="5">
        <v>1436</v>
      </c>
      <c r="B1497" s="138">
        <f>'Expenditures 15-22'!K268</f>
        <v>5751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16829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27276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43183</v>
      </c>
      <c r="C1517" s="2" t="s">
        <v>573</v>
      </c>
      <c r="D1517" s="2" t="str">
        <f t="shared" si="22"/>
        <v>Error?</v>
      </c>
    </row>
    <row r="1518" spans="1:4" x14ac:dyDescent="0.2">
      <c r="A1518" s="5">
        <v>1457</v>
      </c>
      <c r="B1518" s="138">
        <f>'Expenditures 15-22'!K296</f>
        <v>5075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416965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425885</v>
      </c>
      <c r="C1630" s="2" t="s">
        <v>573</v>
      </c>
      <c r="D1630" s="2" t="str">
        <f t="shared" si="24"/>
        <v>Error?</v>
      </c>
    </row>
    <row r="1631" spans="1:4" x14ac:dyDescent="0.2">
      <c r="A1631" s="5">
        <v>1570</v>
      </c>
      <c r="B1631" s="138">
        <f>'Acct Summary 7-8'!D79</f>
        <v>85387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32597</v>
      </c>
      <c r="C1644" s="2" t="s">
        <v>573</v>
      </c>
      <c r="D1644" s="2" t="str">
        <f t="shared" si="24"/>
        <v>Error?</v>
      </c>
    </row>
    <row r="1645" spans="1:4" x14ac:dyDescent="0.2">
      <c r="A1645" s="5">
        <v>1584</v>
      </c>
      <c r="B1645" s="138">
        <f>'Acct Summary 7-8'!E79</f>
        <v>39976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38207</v>
      </c>
      <c r="C1658" s="2" t="s">
        <v>573</v>
      </c>
      <c r="D1658" s="2" t="str">
        <f t="shared" si="24"/>
        <v>Error?</v>
      </c>
    </row>
    <row r="1659" spans="1:4" x14ac:dyDescent="0.2">
      <c r="A1659" s="5">
        <v>1598</v>
      </c>
      <c r="B1659" s="138">
        <f>'Acct Summary 7-8'!F79</f>
        <v>65152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109181</v>
      </c>
      <c r="C1672" s="2" t="s">
        <v>573</v>
      </c>
      <c r="D1672" s="2" t="str">
        <f t="shared" si="25"/>
        <v>Error?</v>
      </c>
    </row>
    <row r="1673" spans="1:4" x14ac:dyDescent="0.2">
      <c r="A1673" s="5">
        <v>1612</v>
      </c>
      <c r="B1673" s="138">
        <f>'Acct Summary 7-8'!G79</f>
        <v>102176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107251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655027</v>
      </c>
      <c r="C1744" s="2" t="s">
        <v>573</v>
      </c>
      <c r="D1744" s="2" t="str">
        <f t="shared" si="26"/>
        <v>Error?</v>
      </c>
    </row>
    <row r="1745" spans="1:5" x14ac:dyDescent="0.2">
      <c r="A1745" s="5">
        <v>1684</v>
      </c>
      <c r="B1745" s="138">
        <f>'Tax Sched 23'!B5</f>
        <v>92001</v>
      </c>
      <c r="C1745" s="2" t="s">
        <v>573</v>
      </c>
      <c r="D1745" s="2" t="str">
        <f t="shared" si="26"/>
        <v>Error?</v>
      </c>
    </row>
    <row r="1746" spans="1:5" x14ac:dyDescent="0.2">
      <c r="A1746" s="5">
        <v>1685</v>
      </c>
      <c r="B1746" s="138">
        <f>'Tax Sched 23'!B6</f>
        <v>206414</v>
      </c>
      <c r="C1746" s="2" t="s">
        <v>573</v>
      </c>
      <c r="D1746" s="2" t="str">
        <f t="shared" si="26"/>
        <v>Error?</v>
      </c>
    </row>
    <row r="1747" spans="1:5" x14ac:dyDescent="0.2">
      <c r="A1747" s="5">
        <v>1686</v>
      </c>
      <c r="B1747" s="138">
        <f>'Tax Sched 23'!B7</f>
        <v>44160</v>
      </c>
      <c r="C1747" s="2" t="s">
        <v>573</v>
      </c>
      <c r="D1747" s="2" t="str">
        <f t="shared" si="26"/>
        <v>Error?</v>
      </c>
    </row>
    <row r="1748" spans="1:5" x14ac:dyDescent="0.2">
      <c r="A1748" s="5">
        <v>1687</v>
      </c>
      <c r="B1748" s="138">
        <f>'Tax Sched 23'!B8</f>
        <v>11041</v>
      </c>
      <c r="C1748" s="2" t="s">
        <v>573</v>
      </c>
      <c r="D1748" s="2" t="str">
        <f t="shared" si="26"/>
        <v>Error?</v>
      </c>
    </row>
    <row r="1749" spans="1:5" x14ac:dyDescent="0.2">
      <c r="A1749" s="5">
        <v>1688</v>
      </c>
      <c r="B1749" s="138">
        <f>'Tax Sched 23'!B10</f>
        <v>18400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59984</v>
      </c>
      <c r="C1752" s="2" t="s">
        <v>573</v>
      </c>
      <c r="D1752" s="2" t="str">
        <f t="shared" si="26"/>
        <v>Error?</v>
      </c>
    </row>
    <row r="1753" spans="1:5" x14ac:dyDescent="0.2">
      <c r="A1753" s="5">
        <v>1692</v>
      </c>
      <c r="B1753" s="138">
        <f>'Tax Sched 23'!B12</f>
        <v>18400</v>
      </c>
      <c r="C1753" s="2" t="s">
        <v>573</v>
      </c>
      <c r="D1753" s="2" t="str">
        <f t="shared" si="26"/>
        <v>Error?</v>
      </c>
    </row>
    <row r="1754" spans="1:5" x14ac:dyDescent="0.2">
      <c r="A1754" s="5">
        <v>1693</v>
      </c>
      <c r="B1754" s="138">
        <f>'Tax Sched 23'!B14</f>
        <v>7363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1167990</v>
      </c>
      <c r="C1759" s="2" t="s">
        <v>573</v>
      </c>
      <c r="D1759" s="2" t="str">
        <f t="shared" si="26"/>
        <v>Error?</v>
      </c>
    </row>
    <row r="1760" spans="1:5" x14ac:dyDescent="0.2">
      <c r="A1760" s="5">
        <v>1699</v>
      </c>
      <c r="B1760" s="138">
        <f>'Tax Sched 23'!D4</f>
        <v>655027</v>
      </c>
      <c r="C1760" s="2" t="s">
        <v>573</v>
      </c>
      <c r="D1760" s="2" t="str">
        <f t="shared" si="26"/>
        <v>Error?</v>
      </c>
    </row>
    <row r="1761" spans="1:5" x14ac:dyDescent="0.2">
      <c r="A1761" s="5">
        <v>1700</v>
      </c>
      <c r="B1761" s="138">
        <f>'Tax Sched 23'!D5</f>
        <v>92001</v>
      </c>
      <c r="C1761" s="2" t="s">
        <v>573</v>
      </c>
      <c r="D1761" s="2" t="str">
        <f t="shared" si="26"/>
        <v>Error?</v>
      </c>
    </row>
    <row r="1762" spans="1:5" s="8" customFormat="1" x14ac:dyDescent="0.2">
      <c r="A1762" s="5">
        <v>1701</v>
      </c>
      <c r="B1762" s="138">
        <f>'Tax Sched 23'!D6</f>
        <v>206414</v>
      </c>
      <c r="C1762" s="2" t="s">
        <v>573</v>
      </c>
      <c r="D1762" s="2" t="str">
        <f t="shared" si="26"/>
        <v>Error?</v>
      </c>
      <c r="E1762" s="9"/>
    </row>
    <row r="1763" spans="1:5" x14ac:dyDescent="0.2">
      <c r="A1763" s="5">
        <v>1702</v>
      </c>
      <c r="B1763" s="138">
        <f>'Tax Sched 23'!D7</f>
        <v>44160</v>
      </c>
      <c r="C1763" s="2" t="s">
        <v>573</v>
      </c>
      <c r="D1763" s="2" t="str">
        <f t="shared" si="26"/>
        <v>Error?</v>
      </c>
    </row>
    <row r="1764" spans="1:5" x14ac:dyDescent="0.2">
      <c r="A1764" s="5">
        <v>1703</v>
      </c>
      <c r="B1764" s="138">
        <f>'Tax Sched 23'!D8</f>
        <v>11041</v>
      </c>
      <c r="C1764" s="2" t="s">
        <v>573</v>
      </c>
      <c r="D1764" s="2" t="str">
        <f t="shared" si="26"/>
        <v>Error?</v>
      </c>
    </row>
    <row r="1765" spans="1:5" x14ac:dyDescent="0.2">
      <c r="A1765" s="5">
        <v>1704</v>
      </c>
      <c r="B1765" s="138">
        <f>'Tax Sched 23'!D10</f>
        <v>18400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59984</v>
      </c>
      <c r="C1768" s="2" t="s">
        <v>573</v>
      </c>
      <c r="D1768" s="2" t="str">
        <f t="shared" si="26"/>
        <v>Error?</v>
      </c>
    </row>
    <row r="1769" spans="1:5" x14ac:dyDescent="0.2">
      <c r="A1769" s="5">
        <v>1708</v>
      </c>
      <c r="B1769" s="138">
        <f>'Tax Sched 23'!D12</f>
        <v>18400</v>
      </c>
      <c r="C1769" s="2" t="s">
        <v>573</v>
      </c>
      <c r="D1769" s="2" t="str">
        <f t="shared" si="26"/>
        <v>Error?</v>
      </c>
    </row>
    <row r="1770" spans="1:5" x14ac:dyDescent="0.2">
      <c r="A1770" s="5">
        <v>1709</v>
      </c>
      <c r="B1770" s="138">
        <f>'Tax Sched 23'!D14</f>
        <v>7363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1167990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682285</v>
      </c>
      <c r="C1792" s="2" t="s">
        <v>573</v>
      </c>
      <c r="D1792" s="2" t="str">
        <f t="shared" si="27"/>
        <v>Error?</v>
      </c>
    </row>
    <row r="1793" spans="1:4" x14ac:dyDescent="0.2">
      <c r="A1793" s="5">
        <v>1732</v>
      </c>
      <c r="B1793" s="138">
        <f>'Tax Sched 23'!F5</f>
        <v>95827</v>
      </c>
      <c r="C1793" s="2" t="s">
        <v>573</v>
      </c>
      <c r="D1793" s="2" t="str">
        <f t="shared" si="27"/>
        <v>Error?</v>
      </c>
    </row>
    <row r="1794" spans="1:4" x14ac:dyDescent="0.2">
      <c r="A1794" s="5">
        <v>1733</v>
      </c>
      <c r="B1794" s="138">
        <f>'Tax Sched 23'!F6</f>
        <v>201237</v>
      </c>
      <c r="C1794" s="2" t="s">
        <v>573</v>
      </c>
      <c r="D1794" s="2" t="str">
        <f t="shared" si="27"/>
        <v>Error?</v>
      </c>
    </row>
    <row r="1795" spans="1:4" x14ac:dyDescent="0.2">
      <c r="A1795" s="5">
        <v>1734</v>
      </c>
      <c r="B1795" s="138">
        <f>'Tax Sched 23'!F7</f>
        <v>46000</v>
      </c>
      <c r="C1795" s="2" t="s">
        <v>573</v>
      </c>
      <c r="D1795" s="2" t="str">
        <f t="shared" si="27"/>
        <v>Error?</v>
      </c>
    </row>
    <row r="1796" spans="1:4" x14ac:dyDescent="0.2">
      <c r="A1796" s="5">
        <v>1735</v>
      </c>
      <c r="B1796" s="138">
        <f>'Tax Sched 23'!F8</f>
        <v>11500</v>
      </c>
      <c r="C1796" s="2" t="s">
        <v>573</v>
      </c>
      <c r="D1796" s="2" t="str">
        <f t="shared" si="27"/>
        <v>Error?</v>
      </c>
    </row>
    <row r="1797" spans="1:4" x14ac:dyDescent="0.2">
      <c r="A1797" s="5">
        <v>1736</v>
      </c>
      <c r="B1797" s="138">
        <f>'Tax Sched 23'!F10</f>
        <v>19165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62481</v>
      </c>
      <c r="C1800" s="2" t="s">
        <v>573</v>
      </c>
      <c r="D1800" s="2" t="str">
        <f t="shared" si="27"/>
        <v>Error?</v>
      </c>
    </row>
    <row r="1801" spans="1:4" x14ac:dyDescent="0.2">
      <c r="A1801" s="5">
        <v>1740</v>
      </c>
      <c r="B1801" s="138">
        <f>'Tax Sched 23'!F12</f>
        <v>19165</v>
      </c>
      <c r="C1801" s="2" t="s">
        <v>573</v>
      </c>
      <c r="D1801" s="2" t="str">
        <f t="shared" si="27"/>
        <v>Error?</v>
      </c>
    </row>
    <row r="1802" spans="1:4" x14ac:dyDescent="0.2">
      <c r="A1802" s="5">
        <v>1741</v>
      </c>
      <c r="B1802" s="138">
        <f>'Tax Sched 23'!F14</f>
        <v>7669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1202828</v>
      </c>
      <c r="C1807" s="2" t="s">
        <v>573</v>
      </c>
      <c r="D1807" s="2" t="str">
        <f t="shared" si="27"/>
        <v>Error?</v>
      </c>
    </row>
    <row r="1808" spans="1:4" x14ac:dyDescent="0.2">
      <c r="A1808" s="5">
        <v>1747</v>
      </c>
      <c r="B1808" s="138">
        <f>'Tax Sched 23'!E4</f>
        <v>682285</v>
      </c>
      <c r="D1808" s="2" t="str">
        <f t="shared" si="27"/>
        <v>Error?</v>
      </c>
    </row>
    <row r="1809" spans="1:4" x14ac:dyDescent="0.2">
      <c r="A1809" s="5">
        <v>1748</v>
      </c>
      <c r="B1809" s="138">
        <f>'Tax Sched 23'!E5</f>
        <v>95827</v>
      </c>
      <c r="D1809" s="2" t="str">
        <f t="shared" si="27"/>
        <v>Error?</v>
      </c>
    </row>
    <row r="1810" spans="1:4" x14ac:dyDescent="0.2">
      <c r="A1810" s="5">
        <v>1749</v>
      </c>
      <c r="B1810" s="138">
        <f>'Tax Sched 23'!E6</f>
        <v>201237</v>
      </c>
      <c r="D1810" s="2" t="str">
        <f t="shared" si="27"/>
        <v>Error?</v>
      </c>
    </row>
    <row r="1811" spans="1:4" x14ac:dyDescent="0.2">
      <c r="A1811" s="5">
        <v>1750</v>
      </c>
      <c r="B1811" s="138">
        <f>'Tax Sched 23'!E7</f>
        <v>46000</v>
      </c>
      <c r="D1811" s="2" t="str">
        <f t="shared" si="27"/>
        <v>Error?</v>
      </c>
    </row>
    <row r="1812" spans="1:4" x14ac:dyDescent="0.2">
      <c r="A1812" s="5">
        <v>1751</v>
      </c>
      <c r="B1812" s="138">
        <f>'Tax Sched 23'!E8</f>
        <v>11500</v>
      </c>
      <c r="D1812" s="2" t="str">
        <f t="shared" si="27"/>
        <v>Error?</v>
      </c>
    </row>
    <row r="1813" spans="1:4" x14ac:dyDescent="0.2">
      <c r="A1813" s="5">
        <v>1752</v>
      </c>
      <c r="B1813" s="138">
        <f>'Tax Sched 23'!E10</f>
        <v>19165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62481</v>
      </c>
      <c r="D1816" s="2" t="str">
        <f t="shared" si="27"/>
        <v>Error?</v>
      </c>
    </row>
    <row r="1817" spans="1:4" x14ac:dyDescent="0.2">
      <c r="A1817" s="5">
        <v>1756</v>
      </c>
      <c r="B1817" s="138">
        <f>'Tax Sched 23'!E12</f>
        <v>19165</v>
      </c>
      <c r="D1817" s="2" t="str">
        <f t="shared" si="27"/>
        <v>Error?</v>
      </c>
    </row>
    <row r="1818" spans="1:4" x14ac:dyDescent="0.2">
      <c r="A1818" s="5">
        <v>1757</v>
      </c>
      <c r="B1818" s="138">
        <f>'Tax Sched 23'!E14</f>
        <v>7669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1202828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860000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7363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7363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7363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34890</v>
      </c>
      <c r="D2008" s="2" t="str">
        <f t="shared" si="30"/>
        <v>Error?</v>
      </c>
    </row>
    <row r="2009" spans="1:4" x14ac:dyDescent="0.2">
      <c r="A2009" s="5">
        <v>1948</v>
      </c>
      <c r="B2009" s="138">
        <f>'Cap Outlay Deprec 26'!C8</f>
        <v>5962882</v>
      </c>
      <c r="D2009" s="2" t="str">
        <f t="shared" si="30"/>
        <v>Error?</v>
      </c>
    </row>
    <row r="2010" spans="1:4" x14ac:dyDescent="0.2">
      <c r="A2010" s="5">
        <v>1949</v>
      </c>
      <c r="B2010" s="138">
        <f>'Cap Outlay Deprec 26'!C10</f>
        <v>140016</v>
      </c>
      <c r="D2010" s="2" t="str">
        <f t="shared" si="30"/>
        <v>Error?</v>
      </c>
    </row>
    <row r="2011" spans="1:4" x14ac:dyDescent="0.2">
      <c r="A2011" s="5">
        <v>1950</v>
      </c>
      <c r="B2011" s="138">
        <f>'Cap Outlay Deprec 26'!C12</f>
        <v>343356</v>
      </c>
      <c r="D2011" s="2" t="str">
        <f t="shared" si="30"/>
        <v>Error?</v>
      </c>
    </row>
    <row r="2012" spans="1:4" x14ac:dyDescent="0.2">
      <c r="A2012" s="5">
        <v>1951</v>
      </c>
      <c r="B2012" s="138">
        <f>'Cap Outlay Deprec 26'!C13</f>
        <v>131755</v>
      </c>
      <c r="D2012" s="2" t="str">
        <f t="shared" si="30"/>
        <v>Error?</v>
      </c>
    </row>
    <row r="2013" spans="1:4" x14ac:dyDescent="0.2">
      <c r="A2013" s="5">
        <v>1952</v>
      </c>
      <c r="B2013" s="138">
        <f>'Cap Outlay Deprec 26'!C16</f>
        <v>6612899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6200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24985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31185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34890</v>
      </c>
      <c r="C2026" s="2" t="s">
        <v>573</v>
      </c>
      <c r="D2026" s="2" t="str">
        <f t="shared" si="30"/>
        <v>Error?</v>
      </c>
    </row>
    <row r="2027" spans="1:4" x14ac:dyDescent="0.2">
      <c r="A2027" s="5">
        <v>1966</v>
      </c>
      <c r="B2027" s="138">
        <f>'Cap Outlay Deprec 26'!F8</f>
        <v>5969082</v>
      </c>
      <c r="C2027" s="2" t="s">
        <v>573</v>
      </c>
      <c r="D2027" s="2" t="str">
        <f t="shared" si="30"/>
        <v>Error?</v>
      </c>
    </row>
    <row r="2028" spans="1:4" x14ac:dyDescent="0.2">
      <c r="A2028" s="5">
        <v>1967</v>
      </c>
      <c r="B2028" s="138">
        <f>'Cap Outlay Deprec 26'!F10</f>
        <v>140016</v>
      </c>
      <c r="C2028" s="2" t="s">
        <v>573</v>
      </c>
      <c r="D2028" s="2" t="str">
        <f t="shared" si="30"/>
        <v>Error?</v>
      </c>
    </row>
    <row r="2029" spans="1:4" x14ac:dyDescent="0.2">
      <c r="A2029" s="5">
        <v>1968</v>
      </c>
      <c r="B2029" s="138">
        <f>'Cap Outlay Deprec 26'!F12</f>
        <v>368341</v>
      </c>
      <c r="C2029" s="2" t="s">
        <v>573</v>
      </c>
      <c r="D2029" s="2" t="str">
        <f t="shared" si="30"/>
        <v>Error?</v>
      </c>
    </row>
    <row r="2030" spans="1:4" x14ac:dyDescent="0.2">
      <c r="A2030" s="5">
        <v>1969</v>
      </c>
      <c r="B2030" s="138">
        <f>'Cap Outlay Deprec 26'!F13</f>
        <v>131755</v>
      </c>
      <c r="C2030" s="2" t="s">
        <v>573</v>
      </c>
      <c r="D2030" s="2" t="str">
        <f t="shared" si="30"/>
        <v>Error?</v>
      </c>
    </row>
    <row r="2031" spans="1:4" x14ac:dyDescent="0.2">
      <c r="A2031" s="5">
        <v>1970</v>
      </c>
      <c r="B2031" s="138">
        <f>'Cap Outlay Deprec 26'!F16</f>
        <v>6644084</v>
      </c>
      <c r="C2031" s="2" t="s">
        <v>573</v>
      </c>
      <c r="D2031" s="2" t="str">
        <f t="shared" si="30"/>
        <v>Error?</v>
      </c>
    </row>
    <row r="2032" spans="1:4" x14ac:dyDescent="0.2">
      <c r="A2032" s="10">
        <v>1971</v>
      </c>
      <c r="D2032" s="2" t="str">
        <f t="shared" si="30"/>
        <v>OK</v>
      </c>
    </row>
    <row r="2033" spans="1:4" x14ac:dyDescent="0.2">
      <c r="A2033" s="5">
        <v>1972</v>
      </c>
      <c r="B2033" s="138">
        <f>'Cap Outlay Deprec 26'!H8</f>
        <v>1769445</v>
      </c>
      <c r="D2033" s="2" t="str">
        <f t="shared" si="30"/>
        <v>Error?</v>
      </c>
    </row>
    <row r="2034" spans="1:4" x14ac:dyDescent="0.2">
      <c r="A2034" s="5">
        <v>1973</v>
      </c>
      <c r="B2034" s="138">
        <f>'Cap Outlay Deprec 26'!H10</f>
        <v>111564</v>
      </c>
      <c r="D2034" s="2" t="str">
        <f t="shared" si="30"/>
        <v>Error?</v>
      </c>
    </row>
    <row r="2035" spans="1:4" x14ac:dyDescent="0.2">
      <c r="A2035" s="5">
        <v>1974</v>
      </c>
      <c r="B2035" s="138">
        <f>'Cap Outlay Deprec 26'!H12</f>
        <v>274984</v>
      </c>
      <c r="D2035" s="2" t="str">
        <f t="shared" si="30"/>
        <v>Error?</v>
      </c>
    </row>
    <row r="2036" spans="1:4" x14ac:dyDescent="0.2">
      <c r="A2036" s="5">
        <v>1975</v>
      </c>
      <c r="B2036" s="138">
        <f>'Cap Outlay Deprec 26'!H13</f>
        <v>126314</v>
      </c>
      <c r="D2036" s="2" t="str">
        <f t="shared" si="30"/>
        <v>Error?</v>
      </c>
    </row>
    <row r="2037" spans="1:4" x14ac:dyDescent="0.2">
      <c r="A2037" s="5">
        <v>1976</v>
      </c>
      <c r="B2037" s="138">
        <f>'Cap Outlay Deprec 26'!H16</f>
        <v>2282307</v>
      </c>
      <c r="C2037" s="2" t="s">
        <v>573</v>
      </c>
      <c r="D2037" s="2" t="str">
        <f t="shared" si="30"/>
        <v>Error?</v>
      </c>
    </row>
    <row r="2038" spans="1:4" x14ac:dyDescent="0.2">
      <c r="A2038" s="10">
        <v>1977</v>
      </c>
      <c r="D2038" s="2" t="str">
        <f t="shared" si="30"/>
        <v>OK</v>
      </c>
    </row>
    <row r="2039" spans="1:4" x14ac:dyDescent="0.2">
      <c r="A2039" s="5">
        <v>1978</v>
      </c>
      <c r="B2039" s="138">
        <f>'Cap Outlay Deprec 26'!I8</f>
        <v>120341</v>
      </c>
      <c r="D2039" s="2" t="str">
        <f t="shared" si="30"/>
        <v>Error?</v>
      </c>
    </row>
    <row r="2040" spans="1:4" x14ac:dyDescent="0.2">
      <c r="A2040" s="5">
        <v>1979</v>
      </c>
      <c r="B2040" s="138">
        <f>'Cap Outlay Deprec 26'!I10</f>
        <v>3060</v>
      </c>
      <c r="D2040" s="2" t="str">
        <f t="shared" si="30"/>
        <v>Error?</v>
      </c>
    </row>
    <row r="2041" spans="1:4" x14ac:dyDescent="0.2">
      <c r="A2041" s="5">
        <v>1980</v>
      </c>
      <c r="B2041" s="138">
        <f>'Cap Outlay Deprec 26'!I12</f>
        <v>16198</v>
      </c>
      <c r="D2041" s="2" t="str">
        <f t="shared" si="30"/>
        <v>Error?</v>
      </c>
    </row>
    <row r="2042" spans="1:4" x14ac:dyDescent="0.2">
      <c r="A2042" s="5">
        <v>1981</v>
      </c>
      <c r="B2042" s="138">
        <f>'Cap Outlay Deprec 26'!I13</f>
        <v>1495</v>
      </c>
      <c r="D2042" s="2" t="str">
        <f t="shared" si="30"/>
        <v>Error?</v>
      </c>
    </row>
    <row r="2043" spans="1:4" x14ac:dyDescent="0.2">
      <c r="A2043" s="5">
        <v>1982</v>
      </c>
      <c r="B2043" s="138">
        <f>'Cap Outlay Deprec 26'!I16</f>
        <v>141094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1889786</v>
      </c>
      <c r="C2051" s="2" t="s">
        <v>573</v>
      </c>
      <c r="D2051" s="2" t="str">
        <f t="shared" si="31"/>
        <v>Error?</v>
      </c>
    </row>
    <row r="2052" spans="1:4" x14ac:dyDescent="0.2">
      <c r="A2052" s="5">
        <v>1991</v>
      </c>
      <c r="B2052" s="138">
        <f>'Cap Outlay Deprec 26'!K10</f>
        <v>114624</v>
      </c>
      <c r="C2052" s="2" t="s">
        <v>573</v>
      </c>
      <c r="D2052" s="2" t="str">
        <f t="shared" si="31"/>
        <v>Error?</v>
      </c>
    </row>
    <row r="2053" spans="1:4" x14ac:dyDescent="0.2">
      <c r="A2053" s="5">
        <v>1992</v>
      </c>
      <c r="B2053" s="138">
        <f>'Cap Outlay Deprec 26'!K12</f>
        <v>291182</v>
      </c>
      <c r="C2053" s="2" t="s">
        <v>573</v>
      </c>
      <c r="D2053" s="2" t="str">
        <f t="shared" si="31"/>
        <v>Error?</v>
      </c>
    </row>
    <row r="2054" spans="1:4" x14ac:dyDescent="0.2">
      <c r="A2054" s="5">
        <v>1993</v>
      </c>
      <c r="B2054" s="138">
        <f>'Cap Outlay Deprec 26'!K13</f>
        <v>127809</v>
      </c>
      <c r="C2054" s="2" t="s">
        <v>573</v>
      </c>
      <c r="D2054" s="2" t="str">
        <f t="shared" si="31"/>
        <v>Error?</v>
      </c>
    </row>
    <row r="2055" spans="1:4" x14ac:dyDescent="0.2">
      <c r="A2055" s="5">
        <v>1994</v>
      </c>
      <c r="B2055" s="138">
        <f>'Cap Outlay Deprec 26'!K16</f>
        <v>2423401</v>
      </c>
      <c r="C2055" s="2" t="s">
        <v>573</v>
      </c>
      <c r="D2055" s="2" t="str">
        <f t="shared" si="31"/>
        <v>Error?</v>
      </c>
    </row>
    <row r="2056" spans="1:4" x14ac:dyDescent="0.2">
      <c r="A2056" s="5">
        <v>1995</v>
      </c>
      <c r="B2056" s="138">
        <f>'Cap Outlay Deprec 26'!L5</f>
        <v>34890</v>
      </c>
      <c r="C2056" s="2" t="s">
        <v>573</v>
      </c>
      <c r="D2056" s="2" t="str">
        <f t="shared" si="31"/>
        <v>Error?</v>
      </c>
    </row>
    <row r="2057" spans="1:4" x14ac:dyDescent="0.2">
      <c r="A2057" s="5">
        <v>1996</v>
      </c>
      <c r="B2057" s="138">
        <f>'Cap Outlay Deprec 26'!L8</f>
        <v>4079296</v>
      </c>
      <c r="C2057" s="2" t="s">
        <v>573</v>
      </c>
      <c r="D2057" s="2" t="str">
        <f t="shared" si="31"/>
        <v>Error?</v>
      </c>
    </row>
    <row r="2058" spans="1:4" x14ac:dyDescent="0.2">
      <c r="A2058" s="5">
        <v>1997</v>
      </c>
      <c r="B2058" s="138">
        <f>'Cap Outlay Deprec 26'!L10</f>
        <v>25392</v>
      </c>
      <c r="C2058" s="2" t="s">
        <v>573</v>
      </c>
      <c r="D2058" s="2" t="str">
        <f t="shared" si="31"/>
        <v>Error?</v>
      </c>
    </row>
    <row r="2059" spans="1:4" x14ac:dyDescent="0.2">
      <c r="A2059" s="5">
        <v>1998</v>
      </c>
      <c r="B2059" s="138">
        <f>'Cap Outlay Deprec 26'!L12</f>
        <v>77159</v>
      </c>
      <c r="C2059" s="2" t="s">
        <v>573</v>
      </c>
      <c r="D2059" s="2" t="str">
        <f t="shared" si="31"/>
        <v>Error?</v>
      </c>
    </row>
    <row r="2060" spans="1:4" x14ac:dyDescent="0.2">
      <c r="A2060" s="5">
        <v>1999</v>
      </c>
      <c r="B2060" s="138">
        <f>'Cap Outlay Deprec 26'!L13</f>
        <v>3946</v>
      </c>
      <c r="C2060" s="2" t="s">
        <v>573</v>
      </c>
      <c r="D2060" s="2" t="str">
        <f t="shared" si="31"/>
        <v>Error?</v>
      </c>
    </row>
    <row r="2061" spans="1:4" x14ac:dyDescent="0.2">
      <c r="A2061" s="5">
        <v>2000</v>
      </c>
      <c r="B2061" s="138">
        <f>'Cap Outlay Deprec 26'!L16</f>
        <v>4220683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23981</v>
      </c>
      <c r="C2088" s="2" t="s">
        <v>573</v>
      </c>
      <c r="D2088" s="2" t="str">
        <f t="shared" si="31"/>
        <v>Error?</v>
      </c>
    </row>
    <row r="2089" spans="1:4" x14ac:dyDescent="0.2">
      <c r="A2089" s="5">
        <v>2028</v>
      </c>
      <c r="B2089" s="138">
        <f>'Expenditures 15-22'!K92</f>
        <v>28076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82170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7843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867758</v>
      </c>
      <c r="C2551" s="2" t="s">
        <v>573</v>
      </c>
      <c r="D2551" s="2" t="str">
        <f t="shared" si="38"/>
        <v>Error?</v>
      </c>
    </row>
    <row r="2552" spans="1:4" x14ac:dyDescent="0.2">
      <c r="A2552" s="10">
        <v>2491</v>
      </c>
      <c r="D2552" s="2" t="str">
        <f t="shared" si="38"/>
        <v>OK</v>
      </c>
    </row>
    <row r="2553" spans="1:4" x14ac:dyDescent="0.2">
      <c r="A2553" s="5">
        <v>2492</v>
      </c>
      <c r="B2553" s="138">
        <f>'Acct Summary 7-8'!C6</f>
        <v>526156</v>
      </c>
      <c r="C2553" s="2" t="s">
        <v>573</v>
      </c>
      <c r="D2553" s="2" t="str">
        <f t="shared" si="38"/>
        <v>Error?</v>
      </c>
    </row>
    <row r="2554" spans="1:4" x14ac:dyDescent="0.2">
      <c r="A2554" s="5">
        <v>2493</v>
      </c>
      <c r="B2554" s="138">
        <f>'Acct Summary 7-8'!C7</f>
        <v>215521</v>
      </c>
      <c r="C2554" s="2" t="s">
        <v>573</v>
      </c>
      <c r="D2554" s="2" t="str">
        <f t="shared" si="38"/>
        <v>Error?</v>
      </c>
    </row>
    <row r="2555" spans="1:4" x14ac:dyDescent="0.2">
      <c r="A2555" s="5">
        <v>2494</v>
      </c>
      <c r="B2555" s="138">
        <f>'Acct Summary 7-8'!C8</f>
        <v>1609435</v>
      </c>
      <c r="C2555" s="2" t="s">
        <v>573</v>
      </c>
      <c r="D2555" s="2" t="str">
        <f t="shared" si="38"/>
        <v>Error?</v>
      </c>
    </row>
    <row r="2556" spans="1:4" x14ac:dyDescent="0.2">
      <c r="A2556" s="5">
        <v>2495</v>
      </c>
      <c r="B2556" s="138">
        <f>'Acct Summary 7-8'!C12</f>
        <v>1007233</v>
      </c>
      <c r="C2556" s="2" t="s">
        <v>573</v>
      </c>
      <c r="D2556" s="2" t="str">
        <f t="shared" si="38"/>
        <v>Error?</v>
      </c>
    </row>
    <row r="2557" spans="1:4" x14ac:dyDescent="0.2">
      <c r="A2557" s="5">
        <v>2496</v>
      </c>
      <c r="B2557" s="138">
        <f>'Acct Summary 7-8'!C13</f>
        <v>539773</v>
      </c>
      <c r="C2557" s="2" t="s">
        <v>573</v>
      </c>
      <c r="D2557" s="2" t="str">
        <f t="shared" si="38"/>
        <v>Error?</v>
      </c>
    </row>
    <row r="2558" spans="1:4" x14ac:dyDescent="0.2">
      <c r="A2558" s="5">
        <v>2497</v>
      </c>
      <c r="B2558" s="138">
        <f>'Acct Summary 7-8'!C14</f>
        <v>1452</v>
      </c>
      <c r="C2558" s="2" t="s">
        <v>573</v>
      </c>
      <c r="D2558" s="2" t="str">
        <f t="shared" si="38"/>
        <v>Error?</v>
      </c>
    </row>
    <row r="2559" spans="1:4" x14ac:dyDescent="0.2">
      <c r="A2559" s="5">
        <v>2498</v>
      </c>
      <c r="B2559" s="138">
        <f>'Acct Summary 7-8'!C15</f>
        <v>52057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1600515</v>
      </c>
      <c r="C2561" s="2" t="s">
        <v>573</v>
      </c>
      <c r="D2561" s="2" t="str">
        <f t="shared" si="39"/>
        <v>Error?</v>
      </c>
    </row>
    <row r="2562" spans="1:4" x14ac:dyDescent="0.2">
      <c r="A2562" s="5">
        <v>2501</v>
      </c>
      <c r="B2562" s="138">
        <f>'Acct Summary 7-8'!C20</f>
        <v>8920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113097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113097</v>
      </c>
      <c r="C2568" s="2" t="s">
        <v>573</v>
      </c>
      <c r="D2568" s="2" t="str">
        <f t="shared" si="39"/>
        <v>Error?</v>
      </c>
    </row>
    <row r="2569" spans="1:4" x14ac:dyDescent="0.2">
      <c r="A2569" s="5">
        <v>2508</v>
      </c>
      <c r="B2569" s="138">
        <f>'Acct Summary 7-8'!D13</f>
        <v>213057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213057</v>
      </c>
      <c r="C2573" s="2" t="s">
        <v>573</v>
      </c>
      <c r="D2573" s="2" t="str">
        <f t="shared" si="39"/>
        <v>Error?</v>
      </c>
    </row>
    <row r="2574" spans="1:4" x14ac:dyDescent="0.2">
      <c r="A2574" s="5">
        <v>2513</v>
      </c>
      <c r="B2574" s="138">
        <f>'Acct Summary 7-8'!D20</f>
        <v>-99960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46498</v>
      </c>
      <c r="C2591" s="2" t="s">
        <v>573</v>
      </c>
      <c r="D2591" s="2" t="str">
        <f t="shared" si="39"/>
        <v>Error?</v>
      </c>
    </row>
    <row r="2592" spans="1:4" x14ac:dyDescent="0.2">
      <c r="A2592" s="10">
        <v>2531</v>
      </c>
      <c r="D2592" s="2" t="str">
        <f t="shared" si="39"/>
        <v>OK</v>
      </c>
    </row>
    <row r="2593" spans="1:4" x14ac:dyDescent="0.2">
      <c r="A2593" s="5">
        <v>2532</v>
      </c>
      <c r="B2593" s="138">
        <f>'Acct Summary 7-8'!F6</f>
        <v>128244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174742</v>
      </c>
      <c r="C2595" s="2" t="s">
        <v>573</v>
      </c>
      <c r="D2595" s="2" t="str">
        <f t="shared" si="39"/>
        <v>Error?</v>
      </c>
    </row>
    <row r="2596" spans="1:4" x14ac:dyDescent="0.2">
      <c r="A2596" s="5">
        <v>2535</v>
      </c>
      <c r="B2596" s="138">
        <f>'Acct Summary 7-8'!F13</f>
        <v>165713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165713</v>
      </c>
      <c r="C2600" s="2" t="s">
        <v>573</v>
      </c>
      <c r="D2600" s="2" t="str">
        <f t="shared" si="39"/>
        <v>Error?</v>
      </c>
    </row>
    <row r="2601" spans="1:4" x14ac:dyDescent="0.2">
      <c r="A2601" s="5">
        <v>2540</v>
      </c>
      <c r="B2601" s="138">
        <f>'Acct Summary 7-8'!F20</f>
        <v>9029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48258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48258</v>
      </c>
      <c r="C2606" s="2" t="s">
        <v>573</v>
      </c>
      <c r="D2606" s="2" t="str">
        <f t="shared" si="39"/>
        <v>Error?</v>
      </c>
    </row>
    <row r="2607" spans="1:4" x14ac:dyDescent="0.2">
      <c r="A2607" s="5">
        <v>2546</v>
      </c>
      <c r="B2607" s="138">
        <f>'Acct Summary 7-8'!G12</f>
        <v>15907</v>
      </c>
      <c r="C2607" s="2" t="s">
        <v>573</v>
      </c>
      <c r="D2607" s="2" t="str">
        <f t="shared" si="39"/>
        <v>Error?</v>
      </c>
    </row>
    <row r="2608" spans="1:4" x14ac:dyDescent="0.2">
      <c r="A2608" s="5">
        <v>2547</v>
      </c>
      <c r="B2608" s="138">
        <f>'Acct Summary 7-8'!G13</f>
        <v>27276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43183</v>
      </c>
      <c r="C2612" s="2" t="s">
        <v>573</v>
      </c>
      <c r="D2612" s="2" t="str">
        <f t="shared" si="39"/>
        <v>Error?</v>
      </c>
    </row>
    <row r="2613" spans="1:4" x14ac:dyDescent="0.2">
      <c r="A2613" s="5">
        <v>2552</v>
      </c>
      <c r="B2613" s="138">
        <f>'Acct Summary 7-8'!G20</f>
        <v>5075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206670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206670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208439</v>
      </c>
      <c r="C2634" s="2" t="s">
        <v>573</v>
      </c>
      <c r="D2634" s="2" t="str">
        <f t="shared" si="40"/>
        <v>Error?</v>
      </c>
    </row>
    <row r="2635" spans="1:4" x14ac:dyDescent="0.2">
      <c r="A2635" s="5">
        <v>2574</v>
      </c>
      <c r="B2635" s="138">
        <f>'Acct Summary 7-8'!E17</f>
        <v>208439</v>
      </c>
      <c r="C2635" s="2" t="s">
        <v>573</v>
      </c>
      <c r="D2635" s="2" t="str">
        <f t="shared" si="40"/>
        <v>Error?</v>
      </c>
    </row>
    <row r="2636" spans="1:4" x14ac:dyDescent="0.2">
      <c r="A2636" s="5">
        <v>2575</v>
      </c>
      <c r="B2636" s="138">
        <f>'Acct Summary 7-8'!E20</f>
        <v>-1769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23981</v>
      </c>
      <c r="C2789" s="2" t="s">
        <v>573</v>
      </c>
      <c r="D2789" s="2" t="str">
        <f t="shared" si="42"/>
        <v>Error?</v>
      </c>
    </row>
    <row r="2790" spans="1:4" x14ac:dyDescent="0.2">
      <c r="A2790" s="5">
        <v>2729</v>
      </c>
      <c r="B2790" s="138">
        <f>'Expenditures 15-22'!E102</f>
        <v>23981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503283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503283</v>
      </c>
      <c r="D2912" s="2" t="str">
        <f t="shared" si="44"/>
        <v>Error?</v>
      </c>
    </row>
    <row r="2913" spans="1:4" x14ac:dyDescent="0.2">
      <c r="A2913" s="5">
        <v>2852</v>
      </c>
      <c r="B2913" s="138">
        <f>'Assets-Liab 5-6'!I41</f>
        <v>503283</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21981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21981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19595</v>
      </c>
      <c r="C3225" s="2" t="s">
        <v>573</v>
      </c>
      <c r="D3225" s="2" t="str">
        <f t="shared" si="49"/>
        <v>Error?</v>
      </c>
    </row>
    <row r="3226" spans="1:4" x14ac:dyDescent="0.2">
      <c r="A3226" s="5">
        <v>3165</v>
      </c>
      <c r="B3226" s="138">
        <f>'Acct Summary 7-8'!I8</f>
        <v>19595</v>
      </c>
      <c r="C3226" s="2" t="s">
        <v>573</v>
      </c>
      <c r="D3226" s="2" t="str">
        <f t="shared" si="49"/>
        <v>Error?</v>
      </c>
    </row>
    <row r="3227" spans="1:4" x14ac:dyDescent="0.2">
      <c r="A3227" s="5">
        <v>3166</v>
      </c>
      <c r="B3227" s="138">
        <f>'Acct Summary 7-8'!I20</f>
        <v>19595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8920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47170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47170</v>
      </c>
      <c r="C3238" s="2" t="s">
        <v>573</v>
      </c>
      <c r="D3238" s="2" t="str">
        <f t="shared" si="49"/>
        <v>Error?</v>
      </c>
    </row>
    <row r="3239" spans="1:4" x14ac:dyDescent="0.2">
      <c r="A3239" s="5">
        <v>3178</v>
      </c>
      <c r="B3239" s="138">
        <f>'Acct Summary 7-8'!D78</f>
        <v>-52790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35000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35000</v>
      </c>
      <c r="C3255" s="2" t="s">
        <v>573</v>
      </c>
      <c r="D3255" s="2" t="str">
        <f t="shared" si="49"/>
        <v>Error?</v>
      </c>
    </row>
    <row r="3256" spans="1:4" x14ac:dyDescent="0.2">
      <c r="A3256" s="5">
        <v>3195</v>
      </c>
      <c r="B3256" s="138">
        <f>'Acct Summary 7-8'!F78</f>
        <v>44029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5075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-1769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82170</v>
      </c>
      <c r="C3318" s="2" t="s">
        <v>573</v>
      </c>
      <c r="D3318" s="2" t="str">
        <f t="shared" si="50"/>
        <v>Error?</v>
      </c>
    </row>
    <row r="3319" spans="1:4" x14ac:dyDescent="0.2">
      <c r="A3319" s="5">
        <v>3258</v>
      </c>
      <c r="B3319" s="138">
        <f>'Acct Summary 7-8'!I77</f>
        <v>-82170</v>
      </c>
      <c r="C3319" s="2" t="s">
        <v>573</v>
      </c>
      <c r="D3319" s="2" t="str">
        <f t="shared" si="50"/>
        <v>Error?</v>
      </c>
    </row>
    <row r="3320" spans="1:4" x14ac:dyDescent="0.2">
      <c r="A3320" s="5">
        <v>3259</v>
      </c>
      <c r="B3320" s="138">
        <f>'Acct Summary 7-8'!I78</f>
        <v>-62575</v>
      </c>
      <c r="C3320" s="2" t="s">
        <v>573</v>
      </c>
      <c r="D3320" s="2" t="str">
        <f t="shared" si="50"/>
        <v>Error?</v>
      </c>
    </row>
    <row r="3321" spans="1:4" x14ac:dyDescent="0.2">
      <c r="A3321" s="5">
        <v>3260</v>
      </c>
      <c r="B3321" s="138">
        <f>'Acct Summary 7-8'!I79</f>
        <v>565858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503283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100940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32808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134152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10147</v>
      </c>
      <c r="D3387" s="2" t="str">
        <f t="shared" si="51"/>
        <v>Error?</v>
      </c>
    </row>
    <row r="3388" spans="1:4" x14ac:dyDescent="0.2">
      <c r="A3388" s="5">
        <v>3327</v>
      </c>
      <c r="B3388" s="138">
        <f>'Expenditures 15-22'!D217</f>
        <v>3443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10147</v>
      </c>
      <c r="C3390" s="2" t="s">
        <v>573</v>
      </c>
      <c r="D3390" s="2" t="str">
        <f t="shared" si="51"/>
        <v>Error?</v>
      </c>
    </row>
    <row r="3391" spans="1:4" x14ac:dyDescent="0.2">
      <c r="A3391" s="5">
        <v>3330</v>
      </c>
      <c r="B3391" s="138">
        <f>'Expenditures 15-22'!K217</f>
        <v>3443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425910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32597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38207</v>
      </c>
      <c r="D3417" s="2" t="str">
        <f t="shared" si="52"/>
        <v>Error?</v>
      </c>
    </row>
    <row r="3418" spans="1:4" x14ac:dyDescent="0.2">
      <c r="A3418" s="10">
        <v>3357</v>
      </c>
      <c r="D3418" s="2" t="str">
        <f t="shared" si="52"/>
        <v>OK</v>
      </c>
    </row>
    <row r="3419" spans="1:4" x14ac:dyDescent="0.2">
      <c r="A3419" s="5">
        <v>3358</v>
      </c>
      <c r="B3419" s="138">
        <f>'Assets-Liab 5-6'!F4</f>
        <v>109181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107251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503283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36800</v>
      </c>
      <c r="C3446" s="2" t="s">
        <v>573</v>
      </c>
      <c r="D3446" s="2" t="str">
        <f t="shared" si="52"/>
        <v>Error?</v>
      </c>
    </row>
    <row r="3447" spans="1:4" x14ac:dyDescent="0.2">
      <c r="A3447" s="5">
        <v>3386</v>
      </c>
      <c r="B3447" s="138">
        <f>'Tax Sched 23'!D16</f>
        <v>36800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38334</v>
      </c>
      <c r="C3449" s="2" t="s">
        <v>573</v>
      </c>
      <c r="D3449" s="2" t="str">
        <f t="shared" si="52"/>
        <v>Error?</v>
      </c>
    </row>
    <row r="3450" spans="1:4" x14ac:dyDescent="0.2">
      <c r="A3450" s="5">
        <v>3389</v>
      </c>
      <c r="B3450" s="138">
        <f>'Tax Sched 23'!E16</f>
        <v>38334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69158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69158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69158</v>
      </c>
      <c r="D3567" s="2" t="str">
        <f t="shared" si="54"/>
        <v>Error?</v>
      </c>
    </row>
    <row r="3568" spans="1:4" x14ac:dyDescent="0.2">
      <c r="A3568" s="5">
        <v>3507</v>
      </c>
      <c r="B3568" s="138">
        <f>'Assets-Liab 5-6'!K41</f>
        <v>69158</v>
      </c>
      <c r="C3568" s="2" t="s">
        <v>573</v>
      </c>
      <c r="D3568" s="2" t="str">
        <f t="shared" si="54"/>
        <v>Error?</v>
      </c>
    </row>
    <row r="3569" spans="1:4" x14ac:dyDescent="0.2">
      <c r="A3569" s="5">
        <v>3508</v>
      </c>
      <c r="B3569" s="138">
        <f>'Acct Summary 7-8'!K4</f>
        <v>18543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18543</v>
      </c>
      <c r="C3571" s="2" t="s">
        <v>573</v>
      </c>
      <c r="D3571" s="2" t="str">
        <f t="shared" si="54"/>
        <v>Error?</v>
      </c>
    </row>
    <row r="3572" spans="1:4" x14ac:dyDescent="0.2">
      <c r="A3572" s="5">
        <v>3511</v>
      </c>
      <c r="B3572" s="138">
        <f>'Acct Summary 7-8'!K13</f>
        <v>6200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6200</v>
      </c>
      <c r="C3575" s="2" t="s">
        <v>573</v>
      </c>
      <c r="D3575" s="2" t="str">
        <f t="shared" si="54"/>
        <v>Error?</v>
      </c>
    </row>
    <row r="3576" spans="1:4" x14ac:dyDescent="0.2">
      <c r="A3576" s="5">
        <v>3515</v>
      </c>
      <c r="B3576" s="138">
        <f>'Acct Summary 7-8'!K20</f>
        <v>12343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12343</v>
      </c>
      <c r="C3588" s="2" t="s">
        <v>573</v>
      </c>
      <c r="D3588" s="2" t="str">
        <f t="shared" si="55"/>
        <v>Error?</v>
      </c>
    </row>
    <row r="3589" spans="1:4" x14ac:dyDescent="0.2">
      <c r="A3589" s="5">
        <v>3528</v>
      </c>
      <c r="B3589" s="138">
        <f>'Acct Summary 7-8'!K79</f>
        <v>56815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69158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6200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6200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6200</v>
      </c>
      <c r="C3649" s="2" t="s">
        <v>573</v>
      </c>
      <c r="D3649" s="2" t="str">
        <f t="shared" si="56"/>
        <v>Error?</v>
      </c>
    </row>
    <row r="3650" spans="1:4" x14ac:dyDescent="0.2">
      <c r="A3650" s="5">
        <v>3589</v>
      </c>
      <c r="B3650" s="138">
        <f>'Expenditures 15-22'!G367</f>
        <v>6200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6200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6200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6200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12343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18400</v>
      </c>
      <c r="C3725" s="2" t="s">
        <v>573</v>
      </c>
      <c r="D3725" s="2" t="str">
        <f t="shared" si="57"/>
        <v>Error?</v>
      </c>
    </row>
    <row r="3726" spans="1:4" x14ac:dyDescent="0.2">
      <c r="A3726" s="5">
        <v>3665</v>
      </c>
      <c r="B3726" s="138">
        <f>'Tax Sched 23'!D13</f>
        <v>18400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19165</v>
      </c>
      <c r="C3728" s="2" t="s">
        <v>573</v>
      </c>
      <c r="D3728" s="2" t="str">
        <f t="shared" si="57"/>
        <v>Error?</v>
      </c>
    </row>
    <row r="3729" spans="1:4" x14ac:dyDescent="0.2">
      <c r="A3729" s="5">
        <v>3668</v>
      </c>
      <c r="B3729" s="138">
        <f>'Tax Sched 23'!E13</f>
        <v>19165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626945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2236380</v>
      </c>
      <c r="C4122" s="2" t="s">
        <v>573</v>
      </c>
      <c r="D4122" s="2" t="str">
        <f t="shared" si="63"/>
        <v>Error?</v>
      </c>
    </row>
    <row r="4123" spans="1:4" x14ac:dyDescent="0.2">
      <c r="A4123" s="5">
        <v>4062</v>
      </c>
      <c r="B4123" s="138">
        <f>'Acct Summary 7-8'!D10</f>
        <v>113097</v>
      </c>
      <c r="C4123" s="2" t="s">
        <v>573</v>
      </c>
      <c r="D4123" s="2" t="str">
        <f t="shared" si="63"/>
        <v>Error?</v>
      </c>
    </row>
    <row r="4124" spans="1:4" x14ac:dyDescent="0.2">
      <c r="A4124" s="5">
        <v>4063</v>
      </c>
      <c r="B4124" s="138">
        <f>'Acct Summary 7-8'!E10</f>
        <v>206670</v>
      </c>
      <c r="C4124" s="2" t="s">
        <v>573</v>
      </c>
      <c r="D4124" s="2" t="str">
        <f t="shared" si="63"/>
        <v>Error?</v>
      </c>
    </row>
    <row r="4125" spans="1:4" x14ac:dyDescent="0.2">
      <c r="A4125" s="5">
        <v>4064</v>
      </c>
      <c r="B4125" s="138">
        <f>'Acct Summary 7-8'!F10</f>
        <v>174742</v>
      </c>
      <c r="C4125" s="2" t="s">
        <v>573</v>
      </c>
      <c r="D4125" s="2" t="str">
        <f t="shared" si="63"/>
        <v>Error?</v>
      </c>
    </row>
    <row r="4126" spans="1:4" x14ac:dyDescent="0.2">
      <c r="A4126" s="5">
        <v>4065</v>
      </c>
      <c r="B4126" s="138">
        <f>'Acct Summary 7-8'!G10</f>
        <v>48258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19595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18543</v>
      </c>
      <c r="C4130" s="2" t="s">
        <v>573</v>
      </c>
      <c r="D4130" s="2" t="str">
        <f t="shared" si="63"/>
        <v>Error?</v>
      </c>
    </row>
    <row r="4131" spans="1:4" x14ac:dyDescent="0.2">
      <c r="A4131" s="5">
        <v>4070</v>
      </c>
      <c r="B4131" s="138">
        <f>'Acct Summary 7-8'!C18</f>
        <v>626945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2227460</v>
      </c>
      <c r="C4136" s="2" t="s">
        <v>573</v>
      </c>
      <c r="D4136" s="2" t="str">
        <f t="shared" si="63"/>
        <v>Error?</v>
      </c>
    </row>
    <row r="4137" spans="1:4" x14ac:dyDescent="0.2">
      <c r="A4137" s="5">
        <v>4076</v>
      </c>
      <c r="B4137" s="138">
        <f>'Acct Summary 7-8'!D19</f>
        <v>213057</v>
      </c>
      <c r="C4137" s="2" t="s">
        <v>573</v>
      </c>
      <c r="D4137" s="2" t="str">
        <f t="shared" si="63"/>
        <v>Error?</v>
      </c>
    </row>
    <row r="4138" spans="1:4" x14ac:dyDescent="0.2">
      <c r="A4138" s="5">
        <v>4077</v>
      </c>
      <c r="B4138" s="138">
        <f>'Acct Summary 7-8'!E19</f>
        <v>208439</v>
      </c>
      <c r="C4138" s="2" t="s">
        <v>573</v>
      </c>
      <c r="D4138" s="2" t="str">
        <f t="shared" si="63"/>
        <v>Error?</v>
      </c>
    </row>
    <row r="4139" spans="1:4" x14ac:dyDescent="0.2">
      <c r="A4139" s="5">
        <v>4078</v>
      </c>
      <c r="B4139" s="138">
        <f>'Acct Summary 7-8'!F19</f>
        <v>165713</v>
      </c>
      <c r="C4139" s="2" t="s">
        <v>573</v>
      </c>
      <c r="D4139" s="2" t="str">
        <f t="shared" si="63"/>
        <v>Error?</v>
      </c>
    </row>
    <row r="4140" spans="1:4" x14ac:dyDescent="0.2">
      <c r="A4140" s="5">
        <v>4079</v>
      </c>
      <c r="B4140" s="138">
        <f>'Acct Summary 7-8'!G19</f>
        <v>43183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6200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685000</v>
      </c>
      <c r="C4171" s="2" t="s">
        <v>573</v>
      </c>
      <c r="D4171" s="2" t="str">
        <f t="shared" si="64"/>
        <v>Error?</v>
      </c>
    </row>
    <row r="4172" spans="1:4" x14ac:dyDescent="0.2">
      <c r="A4172" s="5">
        <v>4111</v>
      </c>
      <c r="B4172" s="138">
        <f>'Short-Term Long-Term Debt 24'!J49</f>
        <v>646793</v>
      </c>
      <c r="C4172" s="2" t="s">
        <v>573</v>
      </c>
      <c r="D4172" s="2" t="str">
        <f t="shared" si="64"/>
        <v>Error?</v>
      </c>
    </row>
    <row r="4173" spans="1:4" x14ac:dyDescent="0.2">
      <c r="A4173" s="5">
        <v>4112</v>
      </c>
      <c r="B4173" s="138">
        <f>'Short-Term Long-Term Debt 24'!H49</f>
        <v>175000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1773.9399999999998</v>
      </c>
      <c r="C4265" s="2" t="s">
        <v>573</v>
      </c>
      <c r="D4265" s="2" t="str">
        <f t="shared" si="65"/>
        <v>Error?</v>
      </c>
      <c r="E4265" s="128"/>
    </row>
    <row r="4266" spans="1:5" x14ac:dyDescent="0.2">
      <c r="A4266" s="12">
        <v>4205</v>
      </c>
      <c r="B4266" s="138">
        <f>('FP Info 3'!F10)*100000</f>
        <v>249.14999999999998</v>
      </c>
      <c r="C4266" s="2" t="s">
        <v>573</v>
      </c>
      <c r="D4266" s="2" t="str">
        <f t="shared" si="65"/>
        <v>Error?</v>
      </c>
      <c r="E4266" s="128"/>
    </row>
    <row r="4267" spans="1:5" x14ac:dyDescent="0.2">
      <c r="A4267" s="12">
        <v>4206</v>
      </c>
      <c r="B4267" s="138">
        <f>('FP Info 3'!H10)*100000</f>
        <v>119.60000000000001</v>
      </c>
      <c r="C4267" s="2" t="s">
        <v>573</v>
      </c>
      <c r="D4267" s="2" t="str">
        <f t="shared" si="65"/>
        <v>Error?</v>
      </c>
      <c r="E4267" s="128"/>
    </row>
    <row r="4268" spans="1:5" x14ac:dyDescent="0.2">
      <c r="A4268" s="12">
        <v>4207</v>
      </c>
      <c r="B4268" s="138">
        <f>('FP Info 3'!J10)*100000</f>
        <v>2143</v>
      </c>
      <c r="C4268" s="2" t="s">
        <v>573</v>
      </c>
      <c r="D4268" s="2" t="str">
        <f t="shared" si="65"/>
        <v>Error?</v>
      </c>
    </row>
    <row r="4269" spans="1:5" x14ac:dyDescent="0.2">
      <c r="A4269" s="12">
        <v>4208</v>
      </c>
      <c r="B4269" s="138">
        <f>'FP Info 3'!J16</f>
        <v>1070946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4226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25634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20044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20044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18395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49.830000000000005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35419313</v>
      </c>
      <c r="D4995" s="2" t="str">
        <f t="shared" si="77"/>
        <v>Error?</v>
      </c>
    </row>
    <row r="4996" spans="1:4" x14ac:dyDescent="0.2">
      <c r="A4996" s="12">
        <v>4935</v>
      </c>
      <c r="B4996" s="138">
        <f>'FP Info 3'!H31</f>
        <v>2443932.5970000001</v>
      </c>
      <c r="D4996" s="2" t="str">
        <f t="shared" si="77"/>
        <v>Error?</v>
      </c>
    </row>
    <row r="4997" spans="1:4" x14ac:dyDescent="0.2">
      <c r="A4997" s="12">
        <v>4936</v>
      </c>
      <c r="B4997" s="138">
        <f>'FP Info 3'!H37</f>
        <v>685000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18400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655027</v>
      </c>
      <c r="D5061" s="2" t="str">
        <f t="shared" si="78"/>
        <v>Error?</v>
      </c>
    </row>
    <row r="5062" spans="1:4" x14ac:dyDescent="0.2">
      <c r="A5062" s="10">
        <v>5001</v>
      </c>
      <c r="D5062" s="2" t="str">
        <f t="shared" si="78"/>
        <v>OK</v>
      </c>
    </row>
    <row r="5063" spans="1:4" x14ac:dyDescent="0.2">
      <c r="A5063" s="5">
        <v>5002</v>
      </c>
      <c r="B5063" s="138">
        <f>'Revenues 9-14'!C7</f>
        <v>7363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680790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59771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59771</v>
      </c>
      <c r="C5071" s="2" t="s">
        <v>573</v>
      </c>
      <c r="D5071" s="2" t="str">
        <f t="shared" si="78"/>
        <v>Error?</v>
      </c>
    </row>
    <row r="5072" spans="1:4" x14ac:dyDescent="0.2">
      <c r="A5072" s="5">
        <v>5011</v>
      </c>
      <c r="B5072" s="138">
        <f>'Revenues 9-14'!C20</f>
        <v>22200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22200</v>
      </c>
      <c r="C5087" s="2" t="s">
        <v>573</v>
      </c>
      <c r="D5087" s="2" t="str">
        <f t="shared" si="78"/>
        <v>Error?</v>
      </c>
    </row>
    <row r="5088" spans="1:4" x14ac:dyDescent="0.2">
      <c r="A5088" s="5">
        <v>5027</v>
      </c>
      <c r="B5088" s="138">
        <f>'Revenues 9-14'!C65</f>
        <v>1827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1827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1304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222</v>
      </c>
      <c r="D5094" s="2" t="str">
        <f t="shared" si="78"/>
        <v>Error?</v>
      </c>
    </row>
    <row r="5095" spans="1:4" x14ac:dyDescent="0.2">
      <c r="A5095" s="5">
        <v>5034</v>
      </c>
      <c r="B5095" s="138">
        <f>'Revenues 9-14'!C74</f>
        <v>66</v>
      </c>
      <c r="D5095" s="2" t="str">
        <f t="shared" si="78"/>
        <v>Error?</v>
      </c>
    </row>
    <row r="5096" spans="1:4" x14ac:dyDescent="0.2">
      <c r="A5096" s="5">
        <v>5035</v>
      </c>
      <c r="B5096" s="138">
        <f>'Revenues 9-14'!C75</f>
        <v>29679</v>
      </c>
      <c r="C5096" s="2" t="s">
        <v>573</v>
      </c>
      <c r="D5096" s="2" t="str">
        <f t="shared" si="78"/>
        <v>Error?</v>
      </c>
    </row>
    <row r="5097" spans="1:4" x14ac:dyDescent="0.2">
      <c r="A5097" s="5">
        <v>5036</v>
      </c>
      <c r="B5097" s="138">
        <f>'Revenues 9-14'!C77</f>
        <v>5762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5762</v>
      </c>
      <c r="C5102" s="2" t="s">
        <v>573</v>
      </c>
      <c r="D5102" s="2" t="str">
        <f t="shared" si="78"/>
        <v>Error?</v>
      </c>
    </row>
    <row r="5103" spans="1:4" x14ac:dyDescent="0.2">
      <c r="A5103" s="5">
        <v>5042</v>
      </c>
      <c r="B5103" s="138">
        <f>'Revenues 9-14'!C84</f>
        <v>15765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15765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8603</v>
      </c>
      <c r="D5114" s="2" t="str">
        <f t="shared" si="78"/>
        <v>Error?</v>
      </c>
    </row>
    <row r="5115" spans="1:4" x14ac:dyDescent="0.2">
      <c r="A5115" s="5">
        <v>5054</v>
      </c>
      <c r="B5115" s="138">
        <f>'Revenues 9-14'!C98</f>
        <v>21424</v>
      </c>
      <c r="D5115" s="2" t="str">
        <f t="shared" si="78"/>
        <v>Error?</v>
      </c>
    </row>
    <row r="5116" spans="1:4" x14ac:dyDescent="0.2">
      <c r="A5116" s="5">
        <v>5055</v>
      </c>
      <c r="B5116" s="138">
        <f>'Revenues 9-14'!C99</f>
        <v>126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13333</v>
      </c>
      <c r="D5119" s="2" t="str">
        <f t="shared" ref="D5119:D5182" si="79">IF(ISBLANK(B5119),"OK",IF(A5119-B5119=0,"OK","Error?"))</f>
        <v>Error?</v>
      </c>
    </row>
    <row r="5120" spans="1:4" x14ac:dyDescent="0.2">
      <c r="A5120" s="5">
        <v>5059</v>
      </c>
      <c r="B5120" s="138">
        <f>'Revenues 9-14'!C108</f>
        <v>51964</v>
      </c>
      <c r="C5120" s="2" t="s">
        <v>573</v>
      </c>
      <c r="D5120" s="2" t="str">
        <f t="shared" si="79"/>
        <v>Error?</v>
      </c>
    </row>
    <row r="5121" spans="1:4" x14ac:dyDescent="0.2">
      <c r="A5121" s="5">
        <v>5060</v>
      </c>
      <c r="B5121" s="138">
        <f>'Revenues 9-14'!C109</f>
        <v>867758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479511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479511</v>
      </c>
      <c r="C5132" s="2" t="s">
        <v>573</v>
      </c>
      <c r="D5132" s="2" t="str">
        <f t="shared" si="79"/>
        <v>Error?</v>
      </c>
    </row>
    <row r="5133" spans="1:4" x14ac:dyDescent="0.2">
      <c r="A5133" s="5">
        <v>5072</v>
      </c>
      <c r="B5133" s="138">
        <f>'Revenues 9-14'!C125</f>
        <v>20997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20997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1345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24303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46645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526156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48769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20221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68990</v>
      </c>
      <c r="C5246" s="2" t="s">
        <v>573</v>
      </c>
      <c r="D5246" s="2" t="str">
        <f t="shared" si="80"/>
        <v>Error?</v>
      </c>
    </row>
    <row r="5247" spans="1:4" x14ac:dyDescent="0.2">
      <c r="A5247" s="5">
        <v>5186</v>
      </c>
      <c r="B5247" s="138">
        <f>'Revenues 9-14'!C200</f>
        <v>78232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78232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215521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215521</v>
      </c>
      <c r="C5326" s="2" t="s">
        <v>573</v>
      </c>
      <c r="D5326" s="2" t="str">
        <f t="shared" si="82"/>
        <v>Error?</v>
      </c>
    </row>
    <row r="5327" spans="1:5" x14ac:dyDescent="0.2">
      <c r="A5327" s="5">
        <v>5266</v>
      </c>
      <c r="B5327" s="138">
        <f>'Revenues 9-14'!C268</f>
        <v>1609435</v>
      </c>
      <c r="C5327" s="2" t="s">
        <v>573</v>
      </c>
      <c r="D5327" s="2" t="str">
        <f t="shared" si="82"/>
        <v>Error?</v>
      </c>
    </row>
    <row r="5328" spans="1:5" x14ac:dyDescent="0.2">
      <c r="A5328" s="5">
        <v>5267</v>
      </c>
      <c r="B5328" s="138">
        <f>'Revenues 9-14'!D5</f>
        <v>92001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92001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20950</v>
      </c>
      <c r="D5354" s="2" t="str">
        <f t="shared" si="82"/>
        <v>Error?</v>
      </c>
    </row>
    <row r="5355" spans="1:4" x14ac:dyDescent="0.2">
      <c r="A5355" s="5">
        <v>5294</v>
      </c>
      <c r="B5355" s="138">
        <f>'Revenues 9-14'!D108</f>
        <v>20950</v>
      </c>
      <c r="C5355" s="2" t="s">
        <v>573</v>
      </c>
      <c r="D5355" s="2" t="str">
        <f t="shared" si="82"/>
        <v>Error?</v>
      </c>
    </row>
    <row r="5356" spans="1:4" x14ac:dyDescent="0.2">
      <c r="A5356" s="5">
        <v>5295</v>
      </c>
      <c r="B5356" s="138">
        <f>'Revenues 9-14'!D109</f>
        <v>113097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113097</v>
      </c>
      <c r="C5508" s="2" t="s">
        <v>573</v>
      </c>
      <c r="D5508" s="2" t="str">
        <f t="shared" si="85"/>
        <v>Error?</v>
      </c>
    </row>
    <row r="5509" spans="1:4" x14ac:dyDescent="0.2">
      <c r="A5509" s="5">
        <v>5448</v>
      </c>
      <c r="B5509" s="138">
        <f>'Revenues 9-14'!E5</f>
        <v>206414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206414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206670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206670</v>
      </c>
      <c r="C5552" s="2" t="s">
        <v>573</v>
      </c>
      <c r="D5552" s="2" t="str">
        <f t="shared" si="85"/>
        <v>Error?</v>
      </c>
    </row>
    <row r="5553" spans="1:4" x14ac:dyDescent="0.2">
      <c r="A5553" s="5">
        <v>5492</v>
      </c>
      <c r="B5553" s="138">
        <f>'Revenues 9-14'!F5</f>
        <v>44160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44160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1988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1988</v>
      </c>
      <c r="C5579" s="2" t="s">
        <v>573</v>
      </c>
      <c r="D5579" s="2" t="str">
        <f t="shared" si="86"/>
        <v>Error?</v>
      </c>
    </row>
    <row r="5580" spans="1:4" x14ac:dyDescent="0.2">
      <c r="A5580" s="5">
        <v>5519</v>
      </c>
      <c r="B5580" s="138">
        <f>'Revenues 9-14'!F65</f>
        <v>132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218</v>
      </c>
      <c r="D5586" s="2" t="str">
        <f t="shared" si="86"/>
        <v>Error?</v>
      </c>
    </row>
    <row r="5587" spans="1:4" x14ac:dyDescent="0.2">
      <c r="A5587" s="5">
        <v>5526</v>
      </c>
      <c r="B5587" s="138">
        <f>'Revenues 9-14'!F108</f>
        <v>218</v>
      </c>
      <c r="C5587" s="2" t="s">
        <v>573</v>
      </c>
      <c r="D5587" s="2" t="str">
        <f t="shared" si="86"/>
        <v>Error?</v>
      </c>
    </row>
    <row r="5588" spans="1:4" x14ac:dyDescent="0.2">
      <c r="A5588" s="5">
        <v>5527</v>
      </c>
      <c r="B5588" s="138">
        <f>'Revenues 9-14'!F109</f>
        <v>46498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47528</v>
      </c>
      <c r="D5615" s="2" t="str">
        <f t="shared" si="86"/>
        <v>Error?</v>
      </c>
    </row>
    <row r="5616" spans="1:4" x14ac:dyDescent="0.2">
      <c r="A5616" s="10">
        <v>5555</v>
      </c>
      <c r="D5616" s="2" t="str">
        <f t="shared" si="86"/>
        <v>OK</v>
      </c>
    </row>
    <row r="5617" spans="1:5" x14ac:dyDescent="0.2">
      <c r="A5617" s="5">
        <v>5556</v>
      </c>
      <c r="B5617" s="138">
        <f>'Revenues 9-14'!F153</f>
        <v>80716</v>
      </c>
      <c r="D5617" s="2" t="str">
        <f t="shared" si="86"/>
        <v>Error?</v>
      </c>
    </row>
    <row r="5618" spans="1:5" x14ac:dyDescent="0.2">
      <c r="A5618" s="5">
        <v>5557</v>
      </c>
      <c r="B5618" s="138">
        <f>'Revenues 9-14'!F155</f>
        <v>128244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128244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128244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174742</v>
      </c>
      <c r="C5720" s="2" t="s">
        <v>573</v>
      </c>
      <c r="D5720" s="2" t="str">
        <f t="shared" si="88"/>
        <v>Error?</v>
      </c>
    </row>
    <row r="5721" spans="1:4" x14ac:dyDescent="0.2">
      <c r="A5721" s="5">
        <v>5660</v>
      </c>
      <c r="B5721" s="138">
        <f>'Revenues 9-14'!G5</f>
        <v>11041</v>
      </c>
      <c r="D5721" s="2" t="str">
        <f t="shared" si="88"/>
        <v>Error?</v>
      </c>
    </row>
    <row r="5722" spans="1:4" x14ac:dyDescent="0.2">
      <c r="A5722" s="5">
        <v>5661</v>
      </c>
      <c r="B5722" s="138">
        <f>'Revenues 9-14'!G7</f>
        <v>0</v>
      </c>
      <c r="D5722" s="2" t="str">
        <f t="shared" si="88"/>
        <v>Error?</v>
      </c>
    </row>
    <row r="5723" spans="1:4" x14ac:dyDescent="0.2">
      <c r="A5723" s="5">
        <v>5662</v>
      </c>
      <c r="B5723" s="138">
        <f>'Revenues 9-14'!G8</f>
        <v>36800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47841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v>
      </c>
      <c r="C5730" s="2" t="s">
        <v>573</v>
      </c>
      <c r="D5730" s="2" t="str">
        <f t="shared" si="88"/>
        <v>Error?</v>
      </c>
    </row>
    <row r="5731" spans="1:4" x14ac:dyDescent="0.2">
      <c r="A5731" s="5">
        <v>5670</v>
      </c>
      <c r="B5731" s="138">
        <f>'Revenues 9-14'!G65</f>
        <v>247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48258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18400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18400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1195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1195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19595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18400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18400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143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18543</v>
      </c>
      <c r="C6023" s="2" t="s">
        <v>573</v>
      </c>
      <c r="D6023" s="2" t="str">
        <f t="shared" si="93"/>
        <v>Error?</v>
      </c>
    </row>
    <row r="6024" spans="1:5" x14ac:dyDescent="0.2">
      <c r="A6024" s="5">
        <v>5963</v>
      </c>
      <c r="B6024" s="138">
        <f>'Revenues 9-14'!G109</f>
        <v>48258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19595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18543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28087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6634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184.5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200602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25</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200602</v>
      </c>
      <c r="D6215" s="2" t="str">
        <f t="shared" si="96"/>
        <v>Error?</v>
      </c>
      <c r="E6215" s="2" t="s">
        <v>190</v>
      </c>
    </row>
    <row r="6216" spans="1:5" x14ac:dyDescent="0.2">
      <c r="A6216">
        <v>6155</v>
      </c>
      <c r="B6216" s="138">
        <f>'Assets-Liab 5-6'!J41</f>
        <v>200602</v>
      </c>
      <c r="D6216" s="2" t="str">
        <f t="shared" si="96"/>
        <v>Error?</v>
      </c>
      <c r="E6216" s="2" t="s">
        <v>190</v>
      </c>
    </row>
    <row r="6217" spans="1:5" x14ac:dyDescent="0.2">
      <c r="A6217">
        <v>6156</v>
      </c>
      <c r="B6217" s="138">
        <f>'Assets-Liab 5-6'!J4</f>
        <v>200602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60375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60375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60375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31848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31848</v>
      </c>
      <c r="D6229" s="2" t="str">
        <f t="shared" si="96"/>
        <v>Error?</v>
      </c>
      <c r="E6229" s="2" t="s">
        <v>190</v>
      </c>
    </row>
    <row r="6230" spans="1:5" x14ac:dyDescent="0.2">
      <c r="A6230">
        <v>6169</v>
      </c>
      <c r="B6230" s="138">
        <f>'Acct Summary 7-8'!J20</f>
        <v>28527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28527</v>
      </c>
      <c r="D6263" s="2" t="str">
        <f t="shared" si="96"/>
        <v>Error?</v>
      </c>
      <c r="E6263" s="2" t="s">
        <v>190</v>
      </c>
    </row>
    <row r="6264" spans="1:5" x14ac:dyDescent="0.2">
      <c r="A6264">
        <v>6203</v>
      </c>
      <c r="B6264" s="138">
        <f>'Acct Summary 7-8'!J79</f>
        <v>172075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200602</v>
      </c>
      <c r="D6266" s="2" t="str">
        <f t="shared" si="96"/>
        <v>Error?</v>
      </c>
      <c r="E6266" s="2" t="s">
        <v>190</v>
      </c>
    </row>
    <row r="6267" spans="1:5" x14ac:dyDescent="0.2">
      <c r="A6267">
        <v>6206</v>
      </c>
      <c r="B6267" s="138">
        <f>'Acct Summary 7-8'!C82</f>
        <v>8920</v>
      </c>
      <c r="D6267" s="2" t="str">
        <f t="shared" si="96"/>
        <v>Error?</v>
      </c>
      <c r="E6267" s="2" t="s">
        <v>190</v>
      </c>
    </row>
    <row r="6268" spans="1:5" x14ac:dyDescent="0.2">
      <c r="A6268">
        <v>6207</v>
      </c>
      <c r="B6268" s="138">
        <f>'Acct Summary 7-8'!D82</f>
        <v>-52790</v>
      </c>
      <c r="D6268" s="2" t="str">
        <f t="shared" si="96"/>
        <v>Error?</v>
      </c>
      <c r="E6268" s="2" t="s">
        <v>190</v>
      </c>
    </row>
    <row r="6269" spans="1:5" x14ac:dyDescent="0.2">
      <c r="A6269">
        <v>6208</v>
      </c>
      <c r="B6269" s="138">
        <f>'Acct Summary 7-8'!E82</f>
        <v>-1769</v>
      </c>
      <c r="D6269" s="2" t="str">
        <f t="shared" si="96"/>
        <v>Error?</v>
      </c>
      <c r="E6269" s="2" t="s">
        <v>190</v>
      </c>
    </row>
    <row r="6270" spans="1:5" x14ac:dyDescent="0.2">
      <c r="A6270">
        <v>6209</v>
      </c>
      <c r="B6270" s="138">
        <f>'Acct Summary 7-8'!F82</f>
        <v>44029</v>
      </c>
      <c r="D6270" s="2" t="str">
        <f t="shared" si="96"/>
        <v>Error?</v>
      </c>
      <c r="E6270" s="2" t="s">
        <v>190</v>
      </c>
    </row>
    <row r="6271" spans="1:5" x14ac:dyDescent="0.2">
      <c r="A6271">
        <v>6210</v>
      </c>
      <c r="B6271" s="138">
        <f>'Acct Summary 7-8'!G82</f>
        <v>5075</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-62575</v>
      </c>
      <c r="D6273" s="2" t="str">
        <f t="shared" si="97"/>
        <v>Error?</v>
      </c>
      <c r="E6273" s="2" t="s">
        <v>190</v>
      </c>
    </row>
    <row r="6274" spans="1:5" x14ac:dyDescent="0.2">
      <c r="A6274">
        <v>6213</v>
      </c>
      <c r="B6274" s="138">
        <f>'Acct Summary 7-8'!J82</f>
        <v>28527</v>
      </c>
      <c r="D6274" s="2" t="str">
        <f t="shared" si="97"/>
        <v>Error?</v>
      </c>
      <c r="E6274" s="2" t="s">
        <v>190</v>
      </c>
    </row>
    <row r="6275" spans="1:5" x14ac:dyDescent="0.2">
      <c r="A6275">
        <v>6214</v>
      </c>
      <c r="B6275" s="138">
        <f>'Acct Summary 7-8'!K82</f>
        <v>12343</v>
      </c>
      <c r="D6275" s="2" t="str">
        <f t="shared" si="97"/>
        <v>Error?</v>
      </c>
      <c r="E6275" s="2" t="s">
        <v>190</v>
      </c>
    </row>
    <row r="6276" spans="1:5" x14ac:dyDescent="0.2">
      <c r="A6276">
        <v>6215</v>
      </c>
      <c r="B6276" s="138">
        <f>'Acct Summary 7-8'!C83</f>
        <v>2.0944621200558837E-2</v>
      </c>
      <c r="D6276" s="2" t="str">
        <f t="shared" si="97"/>
        <v>Error?</v>
      </c>
      <c r="E6276" s="2" t="s">
        <v>190</v>
      </c>
    </row>
    <row r="6277" spans="1:5" x14ac:dyDescent="0.2">
      <c r="A6277">
        <v>6216</v>
      </c>
      <c r="B6277" s="138">
        <f>'Acct Summary 7-8'!D83</f>
        <v>-1.6194741847409271</v>
      </c>
      <c r="D6277" s="2" t="str">
        <f t="shared" si="97"/>
        <v>Error?</v>
      </c>
      <c r="E6277" s="2" t="s">
        <v>190</v>
      </c>
    </row>
    <row r="6278" spans="1:5" x14ac:dyDescent="0.2">
      <c r="A6278">
        <v>6217</v>
      </c>
      <c r="B6278" s="138">
        <f>'Acct Summary 7-8'!E83</f>
        <v>-4.6300416154107883E-2</v>
      </c>
      <c r="D6278" s="2" t="str">
        <f t="shared" si="97"/>
        <v>Error?</v>
      </c>
      <c r="E6278" s="2" t="s">
        <v>190</v>
      </c>
    </row>
    <row r="6279" spans="1:5" x14ac:dyDescent="0.2">
      <c r="A6279">
        <v>6218</v>
      </c>
      <c r="B6279" s="138">
        <f>'Acct Summary 7-8'!F83</f>
        <v>0.40326613604931261</v>
      </c>
      <c r="D6279" s="2" t="str">
        <f t="shared" si="97"/>
        <v>Error?</v>
      </c>
      <c r="E6279" s="2" t="s">
        <v>190</v>
      </c>
    </row>
    <row r="6280" spans="1:5" x14ac:dyDescent="0.2">
      <c r="A6280">
        <v>6219</v>
      </c>
      <c r="B6280" s="138">
        <f>'Acct Summary 7-8'!G83</f>
        <v>4.731890611742548E-2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-0.12433362541552169</v>
      </c>
      <c r="D6282" s="2" t="str">
        <f t="shared" si="97"/>
        <v>Error?</v>
      </c>
      <c r="E6282" s="2" t="s">
        <v>190</v>
      </c>
    </row>
    <row r="6283" spans="1:5" x14ac:dyDescent="0.2">
      <c r="A6283">
        <v>6222</v>
      </c>
      <c r="B6283" s="138">
        <f>'Acct Summary 7-8'!J83</f>
        <v>0.14220695705925165</v>
      </c>
      <c r="D6283" s="2" t="str">
        <f t="shared" si="97"/>
        <v>Error?</v>
      </c>
      <c r="E6283" s="2" t="s">
        <v>190</v>
      </c>
    </row>
    <row r="6284" spans="1:5" x14ac:dyDescent="0.2">
      <c r="A6284">
        <v>6223</v>
      </c>
      <c r="B6284" s="138">
        <f>'Acct Summary 7-8'!K83</f>
        <v>0.17847537522773937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59984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59984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391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391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8478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60375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50303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74311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11789</v>
      </c>
      <c r="D6880" s="2" t="str">
        <f t="shared" si="106"/>
        <v>Error?</v>
      </c>
    </row>
    <row r="6881" spans="1:4" x14ac:dyDescent="0.2">
      <c r="A6881">
        <v>6820</v>
      </c>
      <c r="B6881" s="138">
        <f>'Expenditures 15-22'!K22</f>
        <v>11789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28076</v>
      </c>
      <c r="D6983" s="2" t="str">
        <f t="shared" si="108"/>
        <v>Error?</v>
      </c>
    </row>
    <row r="6984" spans="1:4" x14ac:dyDescent="0.2">
      <c r="A6984">
        <v>6923</v>
      </c>
      <c r="B6984" s="138">
        <f>'Expenditures 15-22'!K86</f>
        <v>28076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28076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31848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60375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1407</v>
      </c>
      <c r="D7073" s="2" t="str">
        <f t="shared" si="109"/>
        <v>Error?</v>
      </c>
    </row>
    <row r="7074" spans="1:4" x14ac:dyDescent="0.2">
      <c r="A7074">
        <v>7013</v>
      </c>
      <c r="B7074" s="138">
        <f>'Expenditures 15-22'!K216</f>
        <v>1407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9715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9715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18975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18975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3158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31848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31848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31848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31848</v>
      </c>
      <c r="D7224" s="2" t="str">
        <f t="shared" si="111"/>
        <v>Error?</v>
      </c>
    </row>
    <row r="7225" spans="1:4" x14ac:dyDescent="0.2">
      <c r="A7225">
        <v>7164</v>
      </c>
      <c r="B7225" s="138">
        <f>'Expenditures 15-22'!K343</f>
        <v>28527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23783</v>
      </c>
      <c r="D7246" s="2" t="str">
        <f t="shared" si="112"/>
        <v>Error?</v>
      </c>
    </row>
    <row r="7247" spans="1:4" x14ac:dyDescent="0.2">
      <c r="A7247">
        <f t="shared" si="113"/>
        <v>7186</v>
      </c>
      <c r="B7247" s="138">
        <f>'Expenditures 15-22'!E7</f>
        <v>29</v>
      </c>
      <c r="D7247" s="2" t="str">
        <f t="shared" si="112"/>
        <v>Error?</v>
      </c>
    </row>
    <row r="7248" spans="1:4" x14ac:dyDescent="0.2">
      <c r="A7248">
        <f t="shared" si="113"/>
        <v>7187</v>
      </c>
      <c r="B7248" s="138">
        <f>'Expenditures 15-22'!F7</f>
        <v>196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141094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7363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47170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35000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16160</v>
      </c>
      <c r="D7797" s="2" t="str">
        <f t="shared" si="127"/>
        <v>Error?</v>
      </c>
      <c r="E7797" s="4" t="s">
        <v>1903</v>
      </c>
    </row>
    <row r="7798" spans="1:5" x14ac:dyDescent="0.2">
      <c r="A7798">
        <v>7737</v>
      </c>
      <c r="B7798" s="138">
        <f>'Contracts Paid in CY 29'!F141</f>
        <v>16160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1988</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Ladd CCSD 94</v>
      </c>
      <c r="B7" s="2384"/>
      <c r="C7" s="2384"/>
      <c r="D7" s="2421"/>
      <c r="E7" s="2422">
        <f>COVER!A13</f>
        <v>28006094004</v>
      </c>
      <c r="F7" s="2423"/>
      <c r="G7" s="2390" t="str">
        <f>COVER!T23</f>
        <v>066-004501</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Hopkins &amp; Associates, CPAs</v>
      </c>
      <c r="H9" s="2397"/>
      <c r="I9" s="2397"/>
      <c r="J9" s="2397"/>
      <c r="K9" s="2397"/>
      <c r="L9" s="2398"/>
    </row>
    <row r="10" spans="1:29" ht="13.5" customHeight="1" x14ac:dyDescent="0.2">
      <c r="A10" s="2380" t="str">
        <f>COVER!A38</f>
        <v>Michelle Zeko</v>
      </c>
      <c r="B10" s="2381"/>
      <c r="C10" s="2381"/>
      <c r="D10" s="2381"/>
      <c r="E10" s="2381"/>
      <c r="F10" s="2382"/>
      <c r="G10" s="2396" t="str">
        <f>COVER!T17</f>
        <v>314 S McCoy St</v>
      </c>
      <c r="H10" s="2409"/>
      <c r="I10" s="2409"/>
      <c r="J10" s="2409"/>
      <c r="K10" s="2409"/>
      <c r="L10" s="2410"/>
    </row>
    <row r="11" spans="1:29" ht="13.5" customHeight="1" x14ac:dyDescent="0.2">
      <c r="A11" s="1184" t="s">
        <v>1519</v>
      </c>
      <c r="B11" s="1185"/>
      <c r="C11" s="1186"/>
      <c r="D11" s="1191"/>
      <c r="E11" s="1186"/>
      <c r="F11" s="1190"/>
      <c r="G11" s="2396" t="str">
        <f>COVER!T19</f>
        <v>Granville</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kim@hopkinsoffice.com</v>
      </c>
      <c r="J13" s="2418"/>
      <c r="K13" s="2418"/>
      <c r="L13" s="2419"/>
    </row>
    <row r="14" spans="1:29" ht="13.5" customHeight="1" x14ac:dyDescent="0.2">
      <c r="A14" s="2396" t="str">
        <f>COVER!A19</f>
        <v>322 East Clevland St.</v>
      </c>
      <c r="B14" s="2409"/>
      <c r="C14" s="2409"/>
      <c r="D14" s="2409"/>
      <c r="E14" s="2409"/>
      <c r="F14" s="2410"/>
      <c r="G14" s="1195" t="s">
        <v>1185</v>
      </c>
      <c r="H14" s="1193"/>
      <c r="I14" s="1193"/>
      <c r="J14" s="1193"/>
      <c r="K14" s="1193"/>
      <c r="L14" s="1194"/>
    </row>
    <row r="15" spans="1:29" ht="13.5" customHeight="1" x14ac:dyDescent="0.2">
      <c r="A15" s="2396" t="str">
        <f>COVER!A21</f>
        <v xml:space="preserve">Ladd  </v>
      </c>
      <c r="B15" s="2409"/>
      <c r="C15" s="2409"/>
      <c r="D15" s="2409"/>
      <c r="E15" s="2409"/>
      <c r="F15" s="2410"/>
      <c r="G15" s="2406" t="str">
        <f>COVER!T15</f>
        <v>Kim Bird</v>
      </c>
      <c r="H15" s="2407"/>
      <c r="I15" s="2407"/>
      <c r="J15" s="2407"/>
      <c r="K15" s="2407"/>
      <c r="L15" s="2408"/>
    </row>
    <row r="16" spans="1:29" ht="12.2" customHeight="1" x14ac:dyDescent="0.2">
      <c r="A16" s="2386">
        <f>COVER!A25</f>
        <v>61329</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815-339-6630</v>
      </c>
      <c r="H18" s="2384"/>
      <c r="I18" s="2384"/>
      <c r="J18" s="2384"/>
      <c r="K18" s="2383" t="str">
        <f>COVER!X21</f>
        <v>815-339-6643</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Ladd CCSD 94</v>
      </c>
      <c r="B1" s="2420"/>
      <c r="C1" s="2420"/>
      <c r="D1" s="2420"/>
    </row>
    <row r="2" spans="1:11" s="1212" customFormat="1" ht="12.75" x14ac:dyDescent="0.2">
      <c r="A2" s="2425">
        <f>'Single Audit Cover'!E7</f>
        <v>28006094004</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Ladd CCSD 94</v>
      </c>
      <c r="B1" s="2428"/>
      <c r="C1" s="2428"/>
      <c r="D1" s="2428"/>
      <c r="E1" s="2428"/>
    </row>
    <row r="2" spans="1:5" x14ac:dyDescent="0.2">
      <c r="A2" s="2429">
        <f>'Single Audit Cover'!E7</f>
        <v>28006094004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215521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6634</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-25634</v>
      </c>
    </row>
    <row r="19" spans="1:4" ht="13.5" thickBot="1" x14ac:dyDescent="0.25">
      <c r="A19" s="1262" t="s">
        <v>1235</v>
      </c>
      <c r="D19" s="1263">
        <f>SUM(D10:D17)</f>
        <v>196521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196521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196521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Ladd CCSD 94</v>
      </c>
      <c r="C1" s="2432"/>
      <c r="D1" s="2432"/>
      <c r="E1" s="2432"/>
      <c r="F1" s="2432"/>
      <c r="G1" s="2432"/>
      <c r="H1" s="2432"/>
      <c r="I1" s="2432"/>
      <c r="J1" s="2432"/>
      <c r="K1" s="2432"/>
      <c r="L1" s="2432"/>
      <c r="M1" s="2432"/>
    </row>
    <row r="2" spans="2:14" ht="15" x14ac:dyDescent="0.2">
      <c r="B2" s="2433">
        <f>'Single Audit Cover'!E7</f>
        <v>28006094004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Ladd CCSD 94</v>
      </c>
      <c r="B1" s="2437"/>
      <c r="C1" s="2437"/>
      <c r="D1" s="2437"/>
      <c r="E1" s="2437"/>
      <c r="F1" s="2437"/>
    </row>
    <row r="2" spans="1:7" ht="13.5" customHeight="1" x14ac:dyDescent="0.2">
      <c r="A2" s="2433">
        <f>'Single Audit Cover'!E7</f>
        <v>28006094004</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Ladd CCSD 94</v>
      </c>
      <c r="C1" s="2453"/>
      <c r="D1" s="2453"/>
      <c r="E1" s="2453"/>
      <c r="F1" s="2453"/>
      <c r="G1" s="2453"/>
      <c r="H1" s="2453"/>
      <c r="I1" s="2453"/>
      <c r="J1" s="1406"/>
    </row>
    <row r="2" spans="2:10" s="317" customFormat="1" ht="12.75" customHeight="1" x14ac:dyDescent="0.2">
      <c r="B2" s="2454">
        <f>'Single Audit Cover'!E7</f>
        <v>28006094004</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2095</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Ladd CCSD 94</v>
      </c>
      <c r="C1" s="2452"/>
      <c r="D1" s="2452"/>
      <c r="E1" s="2452"/>
      <c r="F1" s="2452"/>
      <c r="G1" s="2452"/>
      <c r="H1" s="2452"/>
      <c r="I1" s="2452"/>
      <c r="J1" s="2452"/>
      <c r="K1" s="2452"/>
      <c r="L1" s="1371"/>
      <c r="M1" s="1371"/>
    </row>
    <row r="2" spans="1:13" ht="12" customHeight="1" x14ac:dyDescent="0.2">
      <c r="B2" s="2454">
        <f>'Single Audit Cover'!E7</f>
        <v>28006094004</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Ladd CCSD 94</v>
      </c>
      <c r="C1" s="2479"/>
      <c r="D1" s="2479"/>
      <c r="E1" s="2479"/>
      <c r="F1" s="2479"/>
      <c r="G1" s="2479"/>
      <c r="H1" s="2479"/>
      <c r="I1" s="2479"/>
      <c r="J1" s="2479"/>
      <c r="K1" s="2479"/>
      <c r="L1" s="1449"/>
    </row>
    <row r="2" spans="1:12" ht="12.75" customHeight="1" x14ac:dyDescent="0.2">
      <c r="B2" s="2480">
        <f>'Single Audit Cover'!E7</f>
        <v>28006094004</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Ladd CCSD 94</v>
      </c>
      <c r="C1" s="2452"/>
      <c r="D1" s="2452"/>
      <c r="E1" s="1469"/>
    </row>
    <row r="2" spans="2:5" s="1279" customFormat="1" ht="12.75" customHeight="1" x14ac:dyDescent="0.2">
      <c r="B2" s="2454">
        <f>'Single Audit Cover'!E7</f>
        <v>28006094004</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schemas.microsoft.com/sharepoint/v3"/>
    <ds:schemaRef ds:uri="http://schemas.openxmlformats.org/package/2006/metadata/core-properties"/>
    <ds:schemaRef ds:uri="http://purl.org/dc/elements/1.1/"/>
    <ds:schemaRef ds:uri="http://purl.org/dc/dcmitype/"/>
    <ds:schemaRef ds:uri="http://www.w3.org/XML/1998/namespace"/>
    <ds:schemaRef ds:uri="d21dc803-237d-4c68-8692-8d731fd29118"/>
    <ds:schemaRef ds:uri="6ce3111e-7420-4802-b50a-75d4e9a0b980"/>
    <ds:schemaRef ds:uri="http://schemas.microsoft.com/office/infopath/2007/PartnerControls"/>
    <ds:schemaRef ds:uri="4d435f69-8686-490b-bd6d-b153bf22ab50"/>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2019-08-20T17:57:54Z</cp:lastPrinted>
  <dcterms:created xsi:type="dcterms:W3CDTF">2003-10-29T19:06:34Z</dcterms:created>
  <dcterms:modified xsi:type="dcterms:W3CDTF">2019-11-08T17:10:03Z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