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New Emails\09042019\"/>
    </mc:Choice>
  </mc:AlternateContent>
  <xr:revisionPtr revIDLastSave="0" documentId="8_{241A9843-5850-4B4C-B9F7-CA0B53EB490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AC32" sheetId="145" r:id="rId17"/>
    <sheet name="Itemization 33" sheetId="127" r:id="rId18"/>
    <sheet name="REF 34" sheetId="117" r:id="rId19"/>
    <sheet name="Opinion-Notes 35" sheetId="129" r:id="rId20"/>
    <sheet name="DeficitAFRSum Calc 36" sheetId="146" r:id="rId21"/>
    <sheet name="AUDITCHECK" sheetId="36" r:id="rId22"/>
    <sheet name="AFR19" sheetId="106" state="hidden" r:id="rId23"/>
    <sheet name="Single Audit Cover" sheetId="169" r:id="rId24"/>
    <sheet name="Single Audit Checklist" sheetId="170" r:id="rId25"/>
    <sheet name="SEFA Reconcile" sheetId="171" r:id="rId26"/>
    <sheet name=" SEFA" sheetId="179" r:id="rId27"/>
    <sheet name="SEFA NOTES" sheetId="173" r:id="rId28"/>
    <sheet name="SF&amp;QC Sec-1" sheetId="174" r:id="rId29"/>
    <sheet name="SF&amp;QC Sec-2" sheetId="175" r:id="rId30"/>
    <sheet name="SF&amp;QC Sec-3" sheetId="176" r:id="rId31"/>
    <sheet name="SSPAF" sheetId="177" r:id="rId32"/>
  </sheets>
  <externalReferences>
    <externalReference r:id="rId33"/>
  </externalReferences>
  <definedNames>
    <definedName name="_xlnm.Print_Area" localSheetId="26">' SEFA'!$B$1:$M$46</definedName>
    <definedName name="_xlnm.Print_Area" localSheetId="27">'SEFA NOTES'!$A$1:$F$52</definedName>
    <definedName name="_xlnm.Print_Area" localSheetId="25">'SEFA Reconcile'!$A$1:$E$49</definedName>
    <definedName name="_xlnm.Print_Area" localSheetId="28">'SF&amp;QC Sec-1'!$A$1:$J$63</definedName>
    <definedName name="_xlnm.Print_Area" localSheetId="30">'SF&amp;QC Sec-3'!$A$1:$K$48</definedName>
    <definedName name="_xlnm.Print_Area" localSheetId="24">'Single Audit Checklist'!$A$1:$D$124</definedName>
    <definedName name="_xlnm.Print_Area" localSheetId="23">'Single Audit Cover'!$A$1:$L$51</definedName>
    <definedName name="_xlnm.Print_Titles" localSheetId="6">'Acct Summary 7-8'!$A:$B,'Acct Summary 7-8'!$1:$2</definedName>
    <definedName name="_xlnm.Print_Titles" localSheetId="5">'Assets-Liab 5-6'!$A:$B,'Assets-Liab 5-6'!$1:$2</definedName>
    <definedName name="_xlnm.Print_Titles" localSheetId="21">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4">'Single Audit Checklist'!$1:$4</definedName>
    <definedName name="SCHADDRS" localSheetId="26">#REF!</definedName>
    <definedName name="SCHADDRS" localSheetId="16">#REF!</definedName>
    <definedName name="SCHADDRS" localSheetId="20">#REF!</definedName>
    <definedName name="SCHADDRS" localSheetId="4">#REF!</definedName>
    <definedName name="SCHADDRS" localSheetId="27">#REF!</definedName>
    <definedName name="SCHADDRS" localSheetId="25">#REF!</definedName>
    <definedName name="SCHADDRS" localSheetId="28">#REF!</definedName>
    <definedName name="SCHADDRS" localSheetId="29">#REF!</definedName>
    <definedName name="SCHADDRS" localSheetId="30">#REF!</definedName>
    <definedName name="SCHADDRS" localSheetId="24">#REF!</definedName>
    <definedName name="SCHADDRS" localSheetId="23">#REF!</definedName>
    <definedName name="SCHADDRS" localSheetId="31">#REF!</definedName>
    <definedName name="SCHADDRS">#REF!</definedName>
    <definedName name="SCHCTY" localSheetId="26">#REF!</definedName>
    <definedName name="SCHCTY" localSheetId="16">#REF!</definedName>
    <definedName name="SCHCTY" localSheetId="20">#REF!</definedName>
    <definedName name="SCHCTY" localSheetId="4">#REF!</definedName>
    <definedName name="SCHCTY" localSheetId="27">#REF!</definedName>
    <definedName name="SCHCTY" localSheetId="25">#REF!</definedName>
    <definedName name="SCHCTY" localSheetId="28">#REF!</definedName>
    <definedName name="SCHCTY" localSheetId="29">#REF!</definedName>
    <definedName name="SCHCTY" localSheetId="30">#REF!</definedName>
    <definedName name="SCHCTY" localSheetId="24">#REF!</definedName>
    <definedName name="SCHCTY" localSheetId="23">#REF!</definedName>
    <definedName name="SCHCTY" localSheetId="31">#REF!</definedName>
    <definedName name="SCHCTY">#REF!</definedName>
    <definedName name="SCHNMBR" localSheetId="26">#REF!</definedName>
    <definedName name="SCHNMBR" localSheetId="16">#REF!</definedName>
    <definedName name="SCHNMBR" localSheetId="20">#REF!</definedName>
    <definedName name="SCHNMBR" localSheetId="4">#REF!</definedName>
    <definedName name="SCHNMBR" localSheetId="27">#REF!</definedName>
    <definedName name="SCHNMBR" localSheetId="25">#REF!</definedName>
    <definedName name="SCHNMBR" localSheetId="28">#REF!</definedName>
    <definedName name="SCHNMBR" localSheetId="29">#REF!</definedName>
    <definedName name="SCHNMBR" localSheetId="30">#REF!</definedName>
    <definedName name="SCHNMBR" localSheetId="24">#REF!</definedName>
    <definedName name="SCHNMBR" localSheetId="23">#REF!</definedName>
    <definedName name="SCHNMBR" localSheetId="31">#REF!</definedName>
    <definedName name="SCHNMBR">#REF!</definedName>
    <definedName name="SCHNME" localSheetId="26">#REF!</definedName>
    <definedName name="SCHNME" localSheetId="16">#REF!</definedName>
    <definedName name="SCHNME" localSheetId="20">#REF!</definedName>
    <definedName name="SCHNME" localSheetId="4">#REF!</definedName>
    <definedName name="SCHNME" localSheetId="27">#REF!</definedName>
    <definedName name="SCHNME" localSheetId="25">#REF!</definedName>
    <definedName name="SCHNME" localSheetId="28">#REF!</definedName>
    <definedName name="SCHNME" localSheetId="29">#REF!</definedName>
    <definedName name="SCHNME" localSheetId="30">#REF!</definedName>
    <definedName name="SCHNME" localSheetId="24">#REF!</definedName>
    <definedName name="SCHNME" localSheetId="23">#REF!</definedName>
    <definedName name="SCHNME" localSheetId="31">#REF!</definedName>
    <definedName name="SCHNME">#REF!</definedName>
    <definedName name="SUPT" localSheetId="26">#REF!</definedName>
    <definedName name="SUPT" localSheetId="16">#REF!</definedName>
    <definedName name="SUPT" localSheetId="20">#REF!</definedName>
    <definedName name="SUPT" localSheetId="4">#REF!</definedName>
    <definedName name="SUPT" localSheetId="27">#REF!</definedName>
    <definedName name="SUPT" localSheetId="25">#REF!</definedName>
    <definedName name="SUPT" localSheetId="28">#REF!</definedName>
    <definedName name="SUPT" localSheetId="29">#REF!</definedName>
    <definedName name="SUPT" localSheetId="30">#REF!</definedName>
    <definedName name="SUPT" localSheetId="24">#REF!</definedName>
    <definedName name="SUPT" localSheetId="23">#REF!</definedName>
    <definedName name="SUPT" localSheetId="31">#REF!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C39" i="3" l="1"/>
  <c r="M19" i="3" l="1"/>
  <c r="C4" i="3" l="1"/>
  <c r="D267" i="29" l="1"/>
  <c r="D266" i="29"/>
  <c r="D264" i="29"/>
  <c r="D259" i="29"/>
  <c r="D254" i="29"/>
  <c r="D246" i="29"/>
  <c r="D245" i="29"/>
  <c r="D223" i="29"/>
  <c r="D217" i="29"/>
  <c r="D216" i="29"/>
  <c r="D215" i="29"/>
  <c r="F124" i="29"/>
  <c r="E124"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D81" i="36" l="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31" i="108"/>
  <c r="F36" i="108"/>
  <c r="F37" i="108"/>
  <c r="G28" i="108"/>
  <c r="E29" i="108"/>
  <c r="G29"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33" i="118"/>
  <c r="D11" i="37"/>
  <c r="D22" i="37"/>
  <c r="J22" i="37"/>
  <c r="L22" i="37"/>
  <c r="D24" i="37"/>
  <c r="B4270" i="106" s="1"/>
  <c r="D4270" i="106" s="1"/>
  <c r="D9" i="7"/>
  <c r="B1767" i="106" s="1"/>
  <c r="D1767" i="106" s="1"/>
  <c r="B5752" i="106"/>
  <c r="D5752" i="106" s="1"/>
  <c r="D17" i="7"/>
  <c r="B4104" i="106" s="1"/>
  <c r="D4104" i="106" s="1"/>
  <c r="K76" i="4" l="1"/>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G30" i="108"/>
  <c r="F34" i="34"/>
  <c r="L342" i="29"/>
  <c r="K184" i="29"/>
  <c r="F13" i="4" s="1"/>
  <c r="B2596" i="106" s="1"/>
  <c r="D2596" i="106" s="1"/>
  <c r="G210" i="29"/>
  <c r="G15" i="145"/>
  <c r="B7235" i="106"/>
  <c r="D7235" i="106" s="1"/>
  <c r="K41" i="3"/>
  <c r="L15" i="11"/>
  <c r="B3459" i="106" s="1"/>
  <c r="D3459" i="106" s="1"/>
  <c r="C129" i="29"/>
  <c r="L367" i="29"/>
  <c r="C352" i="29"/>
  <c r="B1308" i="106"/>
  <c r="D1308" i="106" s="1"/>
  <c r="E174" i="29"/>
  <c r="B1309" i="106" s="1"/>
  <c r="D130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6" i="106" l="1"/>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D8" i="146" l="1"/>
  <c r="J20" i="4"/>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<sst xmlns="http://schemas.openxmlformats.org/spreadsheetml/2006/main" count="5030" uniqueCount="2058">
  <si>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</si>
  <si>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</si>
  <si>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</si>
  <si>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</si>
  <si>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</si>
  <si>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</si>
  <si>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</si>
  <si>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</si>
  <si>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</si>
  <si>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</si>
  <si>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</si>
  <si>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</si>
  <si>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</si>
  <si>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</si>
  <si>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</si>
  <si>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</si>
  <si>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</si>
  <si>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</si>
  <si>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</si>
  <si>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</si>
  <si>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</si>
  <si>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</si>
  <si>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</si>
  <si>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</si>
  <si>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</si>
  <si>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</si>
  <si>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</si>
  <si>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</si>
  <si>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</si>
  <si>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</si>
  <si>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</si>
  <si>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</si>
  <si>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</si>
  <si>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</si>
  <si>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</si>
  <si>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</si>
  <si>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</si>
  <si>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</si>
  <si>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</si>
  <si>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</si>
  <si>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</si>
  <si>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</si>
  <si>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</si>
  <si>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</si>
  <si>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</si>
  <si>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</si>
  <si>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</si>
  <si>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</si>
  <si>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</si>
  <si>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</si>
  <si>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</si>
  <si>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</si>
  <si>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</si>
  <si>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</si>
  <si>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</si>
  <si>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</si>
  <si>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</si>
  <si>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</si>
  <si>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</si>
  <si>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</si>
  <si>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</si>
  <si>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</si>
  <si>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</si>
  <si>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</si>
  <si>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</si>
  <si>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</si>
  <si>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</si>
  <si>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</si>
  <si>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</si>
  <si>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</si>
  <si>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</si>
  <si>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</si>
  <si>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</si>
  <si>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</si>
  <si>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</si>
  <si>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</si>
  <si>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</si>
  <si>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</si>
  <si>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</si>
  <si>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</si>
  <si>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</si>
  <si>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</si>
  <si>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</si>
  <si>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</si>
  <si>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</si>
  <si>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</si>
  <si>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</si>
  <si>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</si>
  <si>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</si>
  <si>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</si>
  <si>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</si>
  <si>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</si>
  <si>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</si>
  <si>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</si>
  <si>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</si>
  <si>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</si>
  <si>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</si>
  <si>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</si>
  <si>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</si>
  <si>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</si>
  <si>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</si>
  <si>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</si>
  <si>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</si>
  <si>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</si>
  <si>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</si>
  <si>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</si>
  <si>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</si>
  <si>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</si>
  <si>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</si>
  <si>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</si>
  <si>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</si>
  <si>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</si>
  <si>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</si>
  <si>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</si>
  <si>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</si>
  <si>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</si>
  <si>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</si>
  <si>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</si>
  <si>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</si>
  <si>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</si>
  <si>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</si>
  <si>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</si>
  <si>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</si>
  <si>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</si>
  <si>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</si>
  <si>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</si>
  <si>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</si>
  <si>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</si>
  <si>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</si>
  <si>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</si>
  <si>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</si>
  <si>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</si>
  <si>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</si>
  <si>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</si>
  <si>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</si>
  <si>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</si>
  <si>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</si>
  <si>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</si>
  <si>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</si>
  <si>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</si>
  <si>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</si>
  <si>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</si>
  <si>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</si>
  <si>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</si>
  <si>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</si>
  <si>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</si>
  <si>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</si>
  <si>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</si>
  <si>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</si>
  <si>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</si>
  <si>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</si>
  <si>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</si>
  <si>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</si>
  <si>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</si>
  <si>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</si>
  <si>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</si>
  <si>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</si>
  <si>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</si>
  <si>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</si>
  <si>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</si>
  <si>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</si>
  <si>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</si>
  <si>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</si>
  <si>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</si>
  <si>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</si>
  <si>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</si>
  <si>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</si>
  <si>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</si>
  <si>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</si>
  <si>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</si>
  <si>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</si>
  <si>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</si>
  <si>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</si>
  <si>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</si>
  <si>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</si>
  <si>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</si>
  <si>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</si>
  <si>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</si>
  <si>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</si>
  <si>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</si>
  <si>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</si>
  <si>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</si>
  <si>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</si>
  <si>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</si>
  <si>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</si>
  <si>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</si>
  <si>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</si>
  <si>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</si>
  <si>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</si>
  <si>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</si>
  <si>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</si>
  <si>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</si>
  <si>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</si>
  <si>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</si>
  <si>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</si>
  <si>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</si>
  <si>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</si>
  <si>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</si>
  <si>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</si>
  <si>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</si>
  <si>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</si>
  <si>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</si>
  <si>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</si>
  <si>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</si>
  <si>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</si>
  <si>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</si>
  <si>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</si>
  <si>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</si>
  <si>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</si>
  <si>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</si>
  <si>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</si>
  <si>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</si>
  <si>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</si>
  <si>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</si>
  <si>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</si>
  <si>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</si>
  <si>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</si>
  <si>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</si>
  <si>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</si>
  <si>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</si>
  <si>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</si>
  <si>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</si>
  <si>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</si>
  <si>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</si>
  <si>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</si>
  <si>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</si>
  <si>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</si>
  <si>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</si>
  <si>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</si>
  <si>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</si>
  <si>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</si>
  <si>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</si>
  <si>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</si>
  <si>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</si>
  <si>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</si>
  <si>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</si>
  <si>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</si>
  <si>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</si>
  <si>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</si>
  <si>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</si>
  <si>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</si>
  <si>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</si>
  <si>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</si>
  <si>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</si>
  <si>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</si>
  <si>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</si>
  <si>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</si>
  <si>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</si>
  <si>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</si>
  <si>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</si>
  <si>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</si>
  <si>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</si>
  <si>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</si>
  <si>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</si>
  <si>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</si>
  <si>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</si>
  <si>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</si>
  <si>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</si>
  <si>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</si>
  <si>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</si>
  <si>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</si>
  <si>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</si>
  <si>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</si>
  <si>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</si>
  <si>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</si>
  <si>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</si>
  <si>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</si>
  <si>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</si>
  <si>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</si>
  <si>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</si>
  <si>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</si>
  <si>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</si>
  <si>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</si>
  <si>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</si>
  <si>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</si>
  <si>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</si>
  <si>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</si>
  <si>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</si>
  <si>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</si>
  <si>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</si>
  <si>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</si>
  <si>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</si>
  <si>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</si>
  <si>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</si>
  <si>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</si>
  <si>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</si>
  <si>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</si>
  <si>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</si>
  <si>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</si>
  <si>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</si>
  <si>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</si>
  <si>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</si>
  <si>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</si>
  <si>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</si>
  <si>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</si>
  <si>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</si>
  <si>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</si>
  <si>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</si>
  <si>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</si>
  <si>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</si>
  <si>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</si>
  <si>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</si>
  <si>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</si>
  <si>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</si>
  <si>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</si>
  <si>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</si>
  <si>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</si>
  <si>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</si>
  <si>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</si>
  <si>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</si>
  <si>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</si>
  <si>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</si>
  <si>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</si>
  <si>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</si>
  <si>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</si>
  <si>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</si>
  <si>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</si>
  <si>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</si>
  <si>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</si>
  <si>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</si>
  <si>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</si>
  <si>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</si>
  <si>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</si>
  <si>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</si>
  <si>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</si>
  <si>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</si>
  <si>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</si>
  <si>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</si>
  <si>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</si>
  <si>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</si>
  <si>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</si>
  <si>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</si>
  <si>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</si>
  <si>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</si>
  <si>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</si>
  <si>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</si>
  <si>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</si>
  <si>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</si>
  <si>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</si>
  <si>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</si>
  <si>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</si>
  <si>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</si>
  <si>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</si>
  <si>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</si>
  <si>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</si>
  <si>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</si>
  <si>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</si>
  <si>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</si>
  <si>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</si>
  <si>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</si>
  <si>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</si>
  <si>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</si>
  <si>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</si>
  <si>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</si>
  <si>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</si>
  <si>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</si>
  <si>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</si>
  <si>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</si>
  <si>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</si>
  <si>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</si>
  <si>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</si>
  <si>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</si>
  <si>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</si>
  <si>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</si>
  <si>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</si>
  <si>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</si>
  <si>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</si>
  <si>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</si>
  <si>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</si>
  <si>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</si>
  <si>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</si>
  <si>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</si>
  <si>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</si>
  <si>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</si>
  <si>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</si>
  <si>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</si>
  <si>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</si>
  <si>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</si>
  <si>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</si>
  <si>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</si>
  <si>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</si>
  <si>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</si>
  <si>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</si>
  <si>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</si>
  <si>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</si>
  <si>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</si>
  <si>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</si>
  <si>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</si>
  <si>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</si>
  <si>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</si>
  <si>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</si>
  <si>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</si>
  <si>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</si>
  <si>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</si>
  <si>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</si>
  <si>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</si>
  <si>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</si>
  <si>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</si>
  <si>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</si>
  <si>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</si>
  <si>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</si>
  <si>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</si>
  <si>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</si>
  <si>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</si>
  <si>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</si>
  <si>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</si>
  <si>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</si>
  <si>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</si>
  <si>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</si>
  <si>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</si>
  <si>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</si>
  <si>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</si>
  <si>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</si>
  <si>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</si>
  <si>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</si>
  <si>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</si>
  <si>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</si>
  <si>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</si>
  <si>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</si>
  <si>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</si>
  <si>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</si>
  <si>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</si>
  <si>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</si>
  <si>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</si>
  <si>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</si>
  <si>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</si>
  <si>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</si>
  <si>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</si>
  <si>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</si>
  <si>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</si>
  <si>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</si>
  <si>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</si>
  <si>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</si>
  <si>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</si>
  <si>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</si>
  <si>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</si>
  <si>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</si>
  <si>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</si>
  <si>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</si>
  <si>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</si>
  <si>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</si>
  <si>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</si>
  <si>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</si>
  <si>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</si>
  <si>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</si>
  <si>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</si>
  <si>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</si>
  <si>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</si>
  <si>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</si>
  <si>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</si>
  <si>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</si>
  <si>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</si>
  <si>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</si>
  <si>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</si>
  <si>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</si>
  <si>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</si>
  <si>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</si>
  <si>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</si>
  <si>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</si>
  <si>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</si>
  <si>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</si>
  <si>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</si>
  <si>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</si>
  <si>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</si>
  <si>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</si>
  <si>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</si>
  <si>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</si>
  <si>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</si>
  <si>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</si>
  <si>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</si>
  <si>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</si>
  <si>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</si>
  <si>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</si>
  <si>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</si>
  <si>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</si>
  <si>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</si>
  <si>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</si>
  <si>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</si>
  <si>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</si>
  <si>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</si>
  <si>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</si>
  <si>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</si>
  <si>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</si>
  <si>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</si>
  <si>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</si>
  <si>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</si>
  <si>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</si>
  <si>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</si>
  <si>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</si>
  <si>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</si>
  <si>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</si>
  <si>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</si>
  <si>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</si>
  <si>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</si>
  <si>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</si>
  <si>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</si>
  <si>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</si>
  <si>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</si>
  <si>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</si>
  <si>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</si>
  <si>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</si>
  <si>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</si>
  <si>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</si>
  <si>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</si>
  <si>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</si>
  <si>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</si>
  <si>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</si>
  <si>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</si>
  <si>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</si>
  <si>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</si>
  <si>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</si>
  <si>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</si>
  <si>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</si>
  <si>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</si>
  <si>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</si>
  <si>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</si>
  <si>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</si>
  <si>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</si>
  <si>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</si>
  <si>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</si>
  <si>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</si>
  <si>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</si>
  <si>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</si>
  <si>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</si>
  <si>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</si>
  <si>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</si>
  <si>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</si>
  <si>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</si>
  <si>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</si>
  <si>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</si>
  <si>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</si>
  <si>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</si>
  <si>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</si>
  <si>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</si>
  <si>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</si>
  <si>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</si>
  <si>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</si>
  <si>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</si>
  <si>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</si>
  <si>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</si>
  <si>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</si>
  <si>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</si>
  <si>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</si>
  <si>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</si>
  <si>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</si>
  <si>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</si>
  <si>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</si>
  <si>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</si>
  <si>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</si>
  <si>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</si>
  <si>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</si>
  <si>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</si>
  <si>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</si>
  <si>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</si>
  <si>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</si>
  <si>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</si>
  <si>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</si>
  <si>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</si>
  <si>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</si>
  <si>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</si>
  <si>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</si>
  <si>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</si>
  <si>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</si>
  <si>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</si>
  <si>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</si>
  <si>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</si>
  <si>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</si>
  <si>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</si>
  <si>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</si>
  <si>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</si>
  <si>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</si>
  <si>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</si>
  <si>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</si>
  <si>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</si>
  <si>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</si>
  <si>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</si>
  <si>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</si>
  <si>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</si>
  <si>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</si>
  <si>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</si>
  <si>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</si>
  <si>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</si>
  <si>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</si>
  <si>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</si>
  <si>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</si>
  <si>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</si>
  <si>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</si>
  <si>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</si>
  <si>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</si>
  <si>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</si>
  <si>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</si>
  <si>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</si>
  <si>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</si>
  <si>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</si>
  <si>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</si>
  <si>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</si>
  <si>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</si>
  <si>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</si>
  <si>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</si>
  <si>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</si>
  <si>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</si>
  <si>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</si>
  <si>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</si>
  <si>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</si>
  <si>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</si>
  <si>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</si>
  <si>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</si>
  <si>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</si>
  <si>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</si>
  <si>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</si>
  <si>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</si>
  <si>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</si>
  <si>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</si>
  <si>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</si>
  <si>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</si>
  <si>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</si>
  <si>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</si>
  <si>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</si>
  <si>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</si>
  <si>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</si>
  <si>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</si>
  <si>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</si>
  <si>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</si>
  <si>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</si>
  <si>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</si>
  <si>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</si>
  <si>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</si>
  <si>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</si>
  <si>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</si>
  <si>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</si>
  <si>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</si>
  <si>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</si>
  <si>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</si>
  <si>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</si>
  <si>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</si>
  <si>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</si>
  <si>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</si>
  <si>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</si>
  <si>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</si>
  <si>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</si>
  <si>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</si>
  <si>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</si>
  <si>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</si>
  <si>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</si>
  <si>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</si>
  <si>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</si>
  <si>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</si>
  <si>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</si>
  <si>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</si>
  <si>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</si>
  <si>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</si>
  <si>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</si>
  <si>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</si>
  <si>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</si>
  <si>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</si>
  <si>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</si>
  <si>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</si>
  <si>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</si>
  <si>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</si>
  <si>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</si>
  <si>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</si>
  <si>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</si>
  <si>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</si>
  <si>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</si>
  <si>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</si>
  <si>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</si>
  <si>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</si>
  <si>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</si>
  <si>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</si>
  <si>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</si>
  <si>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</si>
  <si>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</si>
  <si>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</si>
  <si>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</si>
  <si>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</si>
  <si>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</si>
  <si>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</si>
  <si>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</si>
  <si>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</si>
  <si>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</si>
  <si>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</si>
  <si>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</si>
  <si>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</si>
  <si>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</si>
  <si>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</si>
  <si>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</si>
  <si>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</si>
  <si>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</si>
  <si>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</si>
  <si>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</si>
  <si>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</si>
  <si>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</si>
  <si>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</si>
  <si>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</si>
  <si>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</si>
  <si>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</si>
  <si>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</si>
  <si>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</si>
  <si>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</si>
  <si>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</si>
  <si>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</si>
  <si>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</si>
  <si>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</si>
  <si>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</si>
  <si>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</si>
  <si>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</si>
  <si>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</si>
  <si>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</si>
  <si>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</si>
  <si>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</si>
  <si>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</si>
  <si>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</si>
  <si>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</si>
  <si>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</si>
  <si>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</si>
  <si>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</si>
  <si>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</si>
  <si>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</si>
  <si>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</si>
  <si>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</si>
  <si>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</si>
  <si>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</si>
  <si>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</si>
  <si>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</si>
  <si>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</si>
  <si>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</si>
  <si>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</si>
  <si>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</si>
  <si>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</si>
  <si>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</si>
  <si>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</si>
  <si>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</si>
  <si>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</si>
  <si>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</si>
  <si>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</si>
  <si>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</si>
  <si>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</si>
  <si>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</si>
  <si>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</si>
  <si>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</si>
  <si>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</si>
  <si>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</si>
  <si>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</si>
  <si>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</si>
  <si>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</si>
  <si>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</si>
  <si>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</si>
  <si>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</si>
  <si>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</si>
  <si>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</si>
  <si>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</si>
  <si>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</si>
  <si>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</si>
  <si>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</si>
  <si>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</si>
  <si>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</si>
  <si>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</si>
  <si>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</si>
  <si>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</si>
  <si>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</si>
  <si>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</si>
  <si>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</si>
  <si>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</si>
  <si>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</si>
  <si>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</si>
  <si>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</si>
  <si>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</si>
  <si>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</si>
  <si>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</si>
  <si>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</si>
  <si>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</si>
  <si>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</si>
  <si>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</si>
  <si>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</si>
  <si>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</si>
  <si>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</si>
  <si>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</si>
  <si>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</si>
  <si>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</si>
  <si>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</si>
  <si>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</si>
  <si>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</si>
  <si>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</si>
  <si>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</si>
  <si>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</si>
  <si>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</si>
  <si>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</si>
  <si>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</si>
  <si>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</si>
  <si>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</si>
  <si>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</si>
  <si>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</si>
  <si>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</si>
  <si>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</si>
  <si>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</si>
  <si>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</si>
  <si>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</si>
  <si>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</si>
  <si>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</si>
  <si>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</si>
  <si>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</si>
  <si>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</si>
  <si>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</si>
  <si>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</si>
  <si>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</si>
  <si>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</si>
  <si>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</si>
  <si>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</si>
  <si>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</si>
  <si>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</si>
  <si>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</si>
  <si>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</si>
  <si>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</si>
  <si>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</si>
  <si>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</si>
  <si>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</si>
  <si>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</si>
  <si>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</si>
  <si>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</si>
  <si>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</si>
  <si>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</si>
  <si>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</si>
  <si>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</si>
  <si>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</si>
  <si>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</si>
  <si>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</si>
  <si>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</si>
  <si>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</si>
  <si>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</si>
  <si>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</si>
  <si>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</si>
  <si>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</si>
  <si>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</si>
  <si>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</si>
  <si>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</si>
  <si>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</si>
  <si>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</si>
  <si>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</si>
  <si>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</si>
  <si>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</si>
  <si>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</si>
  <si>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</si>
  <si>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</si>
  <si>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</si>
  <si>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</si>
  <si>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</si>
  <si>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</si>
  <si>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</si>
  <si>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</si>
  <si>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</si>
  <si>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</si>
  <si>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</si>
  <si>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</si>
  <si>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</si>
  <si>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</si>
  <si>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</si>
  <si>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</si>
  <si>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</si>
  <si>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</si>
  <si>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</si>
  <si>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</si>
  <si>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</si>
  <si>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</si>
  <si>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</si>
  <si>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</si>
  <si>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</si>
  <si>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</si>
  <si>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</si>
  <si>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</si>
  <si>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</si>
  <si>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</si>
  <si>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</si>
  <si>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</si>
  <si>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</si>
  <si>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</si>
  <si>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</si>
  <si>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</si>
  <si>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</si>
  <si>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</si>
  <si>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</si>
  <si>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</si>
  <si>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</si>
  <si>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</si>
  <si>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</si>
  <si>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</si>
  <si>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</si>
  <si>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</si>
  <si>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</si>
  <si>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</si>
  <si>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</si>
  <si>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</si>
  <si>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</si>
  <si>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</si>
  <si>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</si>
  <si>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</si>
  <si>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</si>
  <si>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</si>
  <si>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</si>
  <si>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</si>
  <si>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</si>
  <si>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</si>
  <si>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</si>
  <si>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</si>
  <si>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</si>
  <si>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</si>
  <si>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</si>
  <si>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</si>
  <si>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</si>
  <si>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</si>
  <si>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</si>
  <si>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</si>
  <si>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</si>
  <si>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</si>
  <si>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</si>
  <si>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</si>
  <si>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</si>
  <si>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</si>
  <si>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</si>
  <si>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</si>
  <si>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</si>
  <si>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</si>
  <si>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</si>
  <si>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</si>
  <si>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</si>
  <si>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</si>
  <si>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</si>
  <si>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</si>
  <si>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</si>
  <si>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</si>
  <si>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</si>
  <si>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</si>
  <si>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</si>
  <si>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</si>
  <si>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</si>
  <si>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</si>
  <si>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</si>
  <si>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</si>
  <si>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</si>
  <si>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</si>
  <si>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</si>
  <si>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</si>
  <si>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</si>
  <si>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</si>
  <si>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</si>
  <si>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</si>
  <si>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</si>
  <si>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</si>
  <si>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</si>
  <si>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</si>
  <si>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</si>
  <si>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</si>
  <si>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</si>
  <si>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</si>
  <si>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</si>
  <si>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</si>
  <si>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</si>
  <si>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</si>
  <si>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</si>
  <si>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</si>
  <si>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</si>
  <si>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</si>
  <si>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</si>
  <si>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</si>
  <si>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</si>
  <si>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</si>
  <si>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</si>
  <si>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</si>
  <si>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</si>
  <si>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</si>
  <si>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</si>
  <si>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</si>
  <si>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</si>
  <si>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</si>
  <si>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</si>
  <si>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</si>
  <si>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</si>
  <si>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</si>
  <si>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</si>
  <si>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</si>
  <si>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</si>
  <si>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</si>
  <si>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</si>
  <si>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</si>
  <si>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</si>
  <si>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</si>
  <si>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</si>
  <si>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</si>
  <si>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</si>
  <si>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</si>
  <si>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</si>
  <si>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</si>
  <si>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</si>
  <si>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</si>
  <si>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</si>
  <si>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</si>
  <si>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</si>
  <si>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</si>
  <si>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</si>
  <si>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</si>
  <si>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</si>
  <si>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</si>
  <si>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</si>
  <si>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</si>
  <si>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</si>
  <si>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</si>
  <si>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</si>
  <si>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</si>
  <si>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</si>
  <si>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</si>
  <si>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</si>
  <si>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</si>
  <si>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</si>
  <si>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</si>
  <si>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</si>
  <si>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</si>
  <si>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</si>
  <si>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</si>
  <si>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</si>
  <si>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</si>
  <si>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</si>
  <si>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</si>
  <si>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</si>
  <si>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</si>
  <si>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</si>
  <si>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</si>
  <si>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</si>
  <si>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</si>
  <si>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</si>
  <si>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</si>
  <si>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</si>
  <si>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</si>
  <si>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</si>
  <si>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</si>
  <si>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</si>
  <si>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</si>
  <si>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</si>
  <si>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</si>
  <si>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</si>
  <si>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</si>
  <si>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</si>
  <si>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</si>
  <si>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</si>
  <si>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</si>
  <si>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</si>
  <si>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</si>
  <si>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</si>
  <si>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</si>
  <si>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</si>
  <si>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</si>
  <si>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</si>
  <si>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</si>
  <si>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</si>
  <si>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</si>
  <si>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</si>
  <si>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</si>
  <si>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</si>
  <si>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</si>
  <si>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</si>
  <si>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</si>
  <si>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</si>
  <si>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</si>
  <si>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</si>
  <si>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</si>
  <si>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</si>
  <si>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</si>
  <si>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</si>
  <si>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</si>
  <si>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</si>
  <si>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</si>
  <si>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</si>
  <si>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</si>
  <si>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</si>
  <si>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</si>
  <si>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</si>
  <si>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</si>
  <si>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</si>
  <si>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</si>
  <si>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</si>
  <si>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</si>
  <si>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</si>
  <si>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</si>
  <si>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</si>
  <si>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</si>
  <si>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</si>
  <si>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</si>
  <si>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</si>
  <si>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</si>
  <si>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</si>
  <si>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</si>
  <si>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</si>
  <si>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</si>
  <si>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</si>
  <si>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</si>
  <si>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</si>
  <si>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</si>
  <si>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</si>
  <si>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</si>
  <si>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</si>
  <si>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</si>
  <si>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</si>
  <si>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</si>
  <si>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</si>
  <si>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</si>
  <si>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</si>
  <si>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</si>
  <si>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</si>
  <si>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</si>
  <si>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</si>
  <si>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</si>
  <si>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</si>
  <si>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</si>
  <si>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</si>
  <si>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</si>
  <si>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</si>
  <si>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</si>
  <si>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</si>
  <si>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</si>
  <si>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</si>
  <si>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</si>
  <si>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</si>
  <si>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</si>
  <si>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</si>
  <si>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</si>
  <si>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</si>
  <si>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</si>
  <si>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</si>
  <si>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</si>
  <si>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</si>
  <si>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</si>
  <si>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</si>
  <si>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</si>
  <si>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</si>
  <si>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</si>
  <si>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</si>
  <si>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</si>
  <si>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</si>
  <si>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</si>
  <si>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</si>
  <si>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</si>
  <si>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</si>
  <si>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</si>
  <si>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</si>
  <si>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</si>
  <si>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</si>
  <si>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</si>
  <si>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</si>
  <si>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</si>
  <si>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</si>
  <si>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</si>
  <si>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</si>
  <si>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</si>
  <si>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</si>
  <si>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</si>
  <si>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</si>
  <si>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</si>
  <si>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</si>
  <si>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</si>
  <si>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</si>
  <si>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</si>
  <si>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</si>
  <si>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</si>
  <si>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</si>
  <si>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</si>
  <si>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</si>
  <si>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</si>
  <si>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</si>
  <si>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</si>
  <si>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</si>
  <si>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</si>
  <si>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</si>
  <si>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</si>
  <si>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</si>
  <si>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</si>
  <si>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</si>
  <si>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</si>
  <si>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</si>
  <si>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</si>
  <si>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</si>
  <si>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</si>
  <si>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</si>
  <si>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</si>
  <si>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</si>
  <si>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</si>
  <si>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</si>
  <si>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</si>
  <si>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</si>
  <si>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</si>
  <si>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</si>
  <si>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</si>
  <si>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</si>
  <si>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</si>
  <si>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</si>
  <si>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</si>
  <si>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</si>
  <si>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</si>
  <si>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</si>
  <si>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</si>
  <si>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</si>
  <si>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</si>
  <si>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</si>
  <si>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</si>
  <si>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</si>
  <si>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</si>
  <si>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</si>
  <si>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</si>
  <si>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</si>
  <si>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</si>
  <si>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</si>
  <si>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</si>
  <si>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</si>
  <si>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</si>
  <si>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</si>
  <si>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</si>
  <si>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</si>
  <si>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</si>
  <si>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</si>
  <si>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</si>
  <si>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</si>
  <si>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</si>
  <si>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</si>
  <si>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</si>
  <si>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</si>
  <si>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</si>
  <si>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</si>
  <si>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</si>
  <si>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</si>
  <si>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</si>
  <si>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</si>
  <si>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</si>
  <si>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</si>
  <si>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</si>
  <si>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</si>
  <si>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</si>
  <si>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</si>
  <si>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</si>
  <si>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</si>
  <si>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</si>
  <si>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</si>
  <si>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</si>
  <si>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</si>
  <si>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</si>
  <si>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</si>
  <si>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</si>
  <si>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</si>
  <si>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</si>
  <si>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</si>
  <si>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</si>
  <si>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</si>
  <si>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</si>
  <si>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</si>
  <si>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</si>
  <si>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</si>
  <si>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</si>
  <si>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</si>
  <si>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</si>
  <si>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</si>
  <si>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</si>
  <si>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</si>
  <si>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</si>
  <si>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</si>
  <si>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</si>
  <si>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</si>
  <si>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</si>
  <si>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</si>
  <si>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</si>
  <si>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</si>
  <si>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</si>
  <si>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</si>
  <si>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</si>
  <si>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</si>
  <si>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</si>
  <si>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</si>
  <si>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</si>
  <si>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</si>
  <si>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</si>
  <si>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</si>
  <si>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</si>
  <si>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</si>
  <si>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</si>
  <si>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</si>
  <si>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</si>
  <si>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</si>
  <si>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</si>
  <si>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</si>
  <si>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</si>
  <si>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</si>
  <si>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</si>
  <si>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</si>
  <si>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</si>
  <si>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</si>
  <si>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</si>
  <si>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</si>
  <si>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</si>
  <si>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</si>
  <si>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</si>
  <si>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</si>
  <si>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</si>
  <si>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</si>
  <si>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</si>
  <si>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</si>
  <si>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</si>
  <si>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</si>
  <si>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</si>
  <si>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</si>
  <si>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</si>
  <si>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</si>
  <si>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</si>
  <si>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</si>
  <si>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</si>
  <si>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</si>
  <si>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</si>
  <si>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</si>
  <si>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</si>
  <si>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</si>
  <si>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</si>
  <si>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</si>
  <si>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</si>
  <si>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</si>
  <si>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</si>
  <si>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</si>
  <si>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</si>
  <si>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</si>
  <si>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</si>
  <si>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</si>
  <si>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</si>
  <si>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</si>
  <si>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</si>
  <si>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</si>
  <si>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</si>
  <si>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</si>
  <si>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</si>
  <si>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</si>
  <si>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</si>
  <si>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</si>
  <si>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</si>
  <si>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</si>
  <si>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</si>
  <si>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</si>
  <si>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</si>
  <si>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</si>
  <si>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</si>
  <si>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</si>
  <si>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</si>
  <si>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</si>
  <si>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</si>
  <si>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</si>
  <si>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</si>
  <si>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</si>
  <si>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</si>
  <si>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</si>
  <si>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</si>
  <si>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</si>
  <si>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</si>
  <si>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</si>
  <si>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</si>
  <si>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</si>
  <si>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</si>
  <si>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</si>
  <si>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</si>
  <si>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</si>
  <si>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</si>
  <si>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</si>
  <si>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</si>
  <si>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</si>
  <si>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</si>
  <si>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</si>
  <si>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</si>
  <si>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</si>
  <si>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</si>
  <si>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</si>
  <si>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</si>
  <si>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</si>
  <si>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</si>
  <si>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</si>
  <si>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</si>
  <si>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</si>
  <si>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</si>
  <si>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</si>
  <si>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</si>
  <si>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</si>
  <si>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</si>
  <si>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</si>
  <si>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</si>
  <si>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</si>
  <si>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</si>
  <si>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</si>
  <si>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</si>
  <si>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</si>
  <si>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</si>
  <si>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</si>
  <si>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</si>
  <si>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</si>
  <si>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</si>
  <si>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</si>
  <si>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</si>
  <si>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</si>
  <si>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</si>
  <si>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</si>
  <si>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</si>
  <si>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</si>
  <si>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</si>
  <si>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</si>
  <si>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</si>
  <si>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</si>
  <si>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</si>
  <si>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</si>
  <si>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</si>
  <si>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</si>
  <si>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</si>
  <si>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</si>
  <si>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</si>
  <si>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</si>
  <si>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</si>
  <si>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</si>
  <si>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</si>
  <si>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</si>
  <si>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</si>
  <si>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</si>
  <si>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</si>
  <si>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</si>
  <si>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</si>
  <si>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</si>
  <si>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</si>
  <si>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</si>
  <si>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</si>
  <si>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</si>
  <si>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</si>
  <si>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</si>
  <si>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</si>
  <si>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</si>
  <si>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</si>
  <si>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</si>
  <si>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</si>
  <si>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</si>
  <si>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</si>
  <si>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</si>
  <si>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</si>
  <si>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</si>
  <si>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</si>
  <si>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</si>
  <si>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</si>
  <si>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</si>
  <si>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</si>
  <si>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</si>
  <si>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</si>
  <si>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</si>
  <si>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</si>
  <si>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</si>
  <si>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</si>
  <si>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</si>
  <si>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</si>
  <si>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</si>
  <si>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</si>
  <si>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</si>
  <si>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</si>
  <si>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</si>
  <si>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</si>
  <si>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</si>
  <si>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</si>
  <si>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</si>
  <si>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</si>
  <si>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</si>
  <si>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</si>
  <si>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</si>
  <si>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</si>
  <si>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</si>
  <si>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</si>
  <si>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</si>
  <si>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</si>
  <si>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</si>
  <si>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</si>
  <si>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</si>
  <si>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</si>
  <si>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</si>
  <si>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</si>
  <si>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</si>
  <si>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</si>
  <si>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</si>
  <si>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</si>
  <si>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</si>
  <si>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</si>
  <si>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</si>
  <si>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</si>
  <si>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</si>
  <si>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</si>
  <si>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</si>
  <si>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</si>
  <si>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</si>
  <si>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</si>
  <si>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</si>
  <si>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</si>
  <si>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</si>
  <si>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</si>
  <si>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</si>
  <si>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</si>
  <si>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</si>
  <si>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</si>
  <si>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</si>
  <si>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</si>
  <si>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</si>
  <si>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</si>
  <si>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</si>
  <si>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</si>
  <si>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</si>
  <si>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</si>
  <si>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</si>
  <si>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</si>
  <si>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</si>
  <si>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</si>
  <si>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</si>
  <si>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</si>
  <si>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</si>
  <si>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</si>
  <si>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Are Federal Expenditures greater than $750,000? (1 YES, 2 NO)</t>
  </si>
  <si>
    <t>Is all Single Audit Information completed and attached? (1 YES, 2 NO)</t>
  </si>
  <si>
    <t>*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</si>
  <si>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</si>
  <si>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</si>
  <si>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</si>
  <si>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</si>
  <si>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</si>
  <si>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</si>
  <si>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</si>
  <si>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</si>
  <si>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</si>
  <si>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</si>
  <si>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</si>
  <si>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</si>
  <si>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</si>
  <si>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</si>
  <si>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</si>
  <si>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</si>
  <si>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</si>
  <si>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</si>
  <si>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</si>
  <si>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</si>
  <si>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</si>
  <si>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</si>
  <si>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</si>
  <si>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</si>
  <si>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</si>
  <si>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</si>
  <si>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</si>
  <si>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</si>
  <si>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</si>
  <si>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</si>
  <si>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</si>
  <si>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</si>
  <si>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</si>
  <si>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</si>
  <si>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</si>
  <si>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</si>
  <si>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</si>
  <si>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</si>
  <si>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</si>
  <si>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</si>
  <si>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</si>
  <si>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</si>
  <si>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</si>
  <si>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</si>
  <si>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</si>
  <si>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</si>
  <si>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</si>
  <si>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</si>
  <si>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</si>
  <si>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</si>
  <si>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</si>
  <si>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</si>
  <si>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</si>
  <si>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</si>
  <si>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</si>
  <si>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</si>
  <si>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</si>
  <si>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</si>
  <si>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</si>
  <si>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</si>
  <si>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</si>
  <si>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</si>
  <si>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</si>
  <si>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</si>
  <si>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</si>
  <si>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</si>
  <si>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</si>
  <si>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</si>
  <si>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</si>
  <si>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</si>
  <si>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</si>
  <si>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</si>
  <si>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</si>
  <si>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</si>
  <si>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</si>
  <si>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</si>
  <si>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</si>
  <si>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</si>
  <si>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</si>
  <si>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</si>
  <si>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</si>
  <si>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</si>
  <si>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</si>
  <si>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</si>
  <si>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</si>
  <si>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</si>
  <si>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</si>
  <si>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</si>
  <si>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</si>
  <si>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</si>
  <si>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</si>
  <si>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</si>
  <si>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</si>
  <si>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</si>
  <si>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</si>
  <si>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</si>
  <si>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</si>
  <si>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</si>
  <si>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</si>
  <si>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</si>
  <si>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</si>
  <si>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</si>
  <si>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</si>
  <si>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</si>
  <si>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</si>
  <si>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</si>
  <si>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</si>
  <si>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</si>
  <si>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</si>
  <si>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</si>
  <si>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</si>
  <si>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</si>
  <si>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</si>
  <si>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</si>
  <si>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</si>
  <si>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</si>
  <si>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</si>
  <si>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</si>
  <si>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</si>
  <si>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</si>
  <si>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</si>
  <si>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</si>
  <si>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</si>
  <si>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</si>
  <si>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</si>
  <si>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</si>
  <si>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</si>
  <si>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</si>
  <si>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</si>
  <si>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</si>
  <si>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</si>
  <si>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</si>
  <si>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</si>
  <si>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</si>
  <si>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</si>
  <si>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</si>
  <si>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</si>
  <si>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</si>
  <si>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</si>
  <si>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</si>
  <si>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</si>
  <si>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</si>
  <si>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</si>
  <si>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</si>
  <si>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</si>
  <si>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</si>
  <si>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</si>
  <si>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</si>
  <si>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</si>
  <si>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</si>
  <si>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</si>
  <si>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</si>
  <si>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</si>
  <si>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</si>
  <si>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</si>
  <si>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</si>
  <si>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</si>
  <si>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</si>
  <si>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</si>
  <si>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</si>
  <si>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</si>
  <si>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</si>
  <si>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</si>
  <si>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</si>
  <si>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</si>
  <si>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</si>
  <si>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</si>
  <si>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</si>
  <si>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</si>
  <si>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</si>
  <si>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</si>
  <si>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</si>
  <si>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</si>
  <si>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</si>
  <si>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</si>
  <si>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</si>
  <si>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</si>
  <si>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</si>
  <si>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</si>
  <si>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</si>
  <si>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</si>
  <si>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</si>
  <si>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</si>
  <si>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</si>
  <si>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</si>
  <si>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</si>
  <si>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</si>
  <si>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</si>
  <si>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</si>
  <si>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</si>
  <si>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</si>
  <si>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</si>
  <si>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</si>
  <si>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</si>
  <si>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</si>
  <si>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</si>
  <si>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</si>
  <si>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</si>
  <si>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</si>
  <si>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</si>
  <si>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</si>
  <si>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</si>
  <si>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</si>
  <si>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</si>
  <si>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</si>
  <si>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</si>
  <si>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</si>
  <si>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</si>
  <si>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</si>
  <si>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</si>
  <si>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</si>
  <si>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</si>
  <si>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</si>
  <si>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</si>
  <si>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</si>
  <si>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</si>
  <si>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</si>
  <si>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</si>
  <si>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</si>
  <si>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</si>
  <si>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</si>
  <si>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</si>
  <si>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</si>
  <si>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</si>
  <si>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</si>
  <si>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</si>
  <si>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</si>
  <si>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</si>
  <si>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</si>
  <si>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</si>
  <si>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</si>
  <si>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</si>
  <si>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</si>
  <si>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</si>
  <si>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</si>
  <si>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</si>
  <si>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</si>
  <si>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</si>
  <si>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</si>
  <si>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</si>
  <si>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</si>
  <si>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</si>
  <si>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</si>
  <si>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</si>
  <si>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</si>
  <si>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</si>
  <si>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</si>
  <si>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</si>
  <si>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</si>
  <si>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</si>
  <si>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</si>
  <si>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</si>
  <si>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</si>
  <si>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</si>
  <si>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</si>
  <si>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</si>
  <si>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</si>
  <si>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</si>
  <si>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</si>
  <si>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</si>
  <si>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</si>
  <si>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</si>
  <si>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</si>
  <si>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</si>
  <si>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</si>
  <si>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</si>
  <si>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</si>
  <si>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</si>
  <si>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</si>
  <si>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</si>
  <si>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</si>
  <si>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</si>
  <si>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</si>
  <si>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</si>
  <si>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</si>
  <si>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</si>
  <si>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</si>
  <si>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</si>
  <si>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</si>
  <si>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</si>
  <si>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</si>
  <si>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</si>
  <si>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</si>
  <si>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</si>
  <si>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</si>
  <si>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</si>
  <si>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</si>
  <si>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</si>
  <si>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</si>
  <si>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</si>
  <si>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</si>
  <si>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</si>
  <si>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</si>
  <si>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</si>
  <si>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</si>
  <si>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</si>
  <si>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</si>
  <si>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</si>
  <si>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</si>
  <si>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</si>
  <si>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</si>
  <si>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</si>
  <si>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</si>
  <si>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</si>
  <si>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</si>
  <si>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</si>
  <si>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</si>
  <si>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</si>
  <si>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</si>
  <si>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</si>
  <si>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</si>
  <si>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</si>
  <si>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</si>
  <si>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</si>
  <si>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</si>
  <si>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</si>
  <si>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</si>
  <si>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</si>
  <si>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</si>
  <si>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</si>
  <si>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</si>
  <si>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</si>
  <si>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</si>
  <si>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</si>
  <si>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</si>
  <si>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</si>
  <si>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</si>
  <si>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</si>
  <si>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</si>
  <si>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</si>
  <si>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</si>
  <si>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</si>
  <si>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</si>
  <si>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</si>
  <si>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</si>
  <si>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</si>
  <si>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</si>
  <si>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</si>
  <si>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</si>
  <si>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</si>
  <si>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</si>
  <si>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</si>
  <si>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</si>
  <si>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</si>
  <si>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</si>
  <si>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</si>
  <si>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</si>
  <si>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</si>
  <si>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</si>
  <si>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</si>
  <si>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</si>
  <si>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</si>
  <si>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</si>
  <si>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</si>
  <si>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</si>
  <si>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</si>
  <si>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</si>
  <si>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</si>
  <si>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</si>
  <si>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</si>
  <si>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</si>
  <si>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</si>
  <si>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</si>
  <si>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</si>
  <si>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</si>
  <si>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</si>
  <si>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</si>
  <si>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</si>
  <si>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</si>
  <si>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</si>
  <si>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</si>
  <si>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</si>
  <si>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</si>
  <si>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</si>
  <si>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</si>
  <si>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</si>
  <si>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</si>
  <si>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</si>
  <si>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</si>
  <si>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</si>
  <si>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</si>
  <si>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</si>
  <si>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</si>
  <si>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</si>
  <si>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</si>
  <si>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</si>
  <si>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</si>
  <si>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</si>
  <si>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</si>
  <si>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</si>
  <si>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</si>
  <si>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</si>
  <si>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</si>
  <si>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</si>
  <si>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</si>
  <si>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</si>
  <si>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</si>
  <si>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</si>
  <si>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</si>
  <si>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</si>
  <si>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</si>
  <si>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</si>
  <si>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</si>
  <si>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</si>
  <si>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</si>
  <si>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</si>
  <si>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</si>
  <si>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</si>
  <si>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</si>
  <si>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</si>
  <si>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</si>
  <si>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</si>
  <si>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</si>
  <si>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</si>
  <si>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</si>
  <si>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</si>
  <si>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</si>
  <si>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</si>
  <si>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</si>
  <si>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</si>
  <si>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</si>
  <si>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</si>
  <si>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</si>
  <si>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</si>
  <si>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</si>
  <si>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</si>
  <si>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</si>
  <si>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</si>
  <si>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</si>
  <si>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</si>
  <si>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</si>
  <si>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</si>
  <si>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</si>
  <si>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</si>
  <si>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</si>
  <si>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</si>
  <si>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</si>
  <si>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</si>
  <si>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</si>
  <si>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</si>
  <si>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</si>
  <si>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</si>
  <si>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</si>
  <si>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</si>
  <si>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</si>
  <si>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</si>
  <si>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</si>
  <si>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</si>
  <si>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</si>
  <si>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</si>
  <si>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</si>
  <si>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</si>
  <si>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</si>
  <si>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</si>
  <si>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</si>
  <si>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</si>
  <si>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</si>
  <si>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</si>
  <si>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</si>
  <si>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</si>
  <si>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</si>
  <si>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</si>
  <si>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</si>
  <si>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</si>
  <si>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</si>
  <si>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</si>
  <si>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</si>
  <si>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</si>
  <si>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</si>
  <si>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</si>
  <si>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</si>
  <si>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</si>
  <si>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</si>
  <si>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</si>
  <si>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</si>
  <si>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</si>
  <si>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</si>
  <si>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</si>
  <si>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</si>
  <si>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</si>
  <si>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</si>
  <si>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</si>
  <si>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</si>
  <si>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</si>
  <si>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</si>
  <si>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</si>
  <si>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</si>
  <si>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</si>
  <si>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</si>
  <si>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</si>
  <si>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</si>
  <si>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</si>
  <si>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</si>
  <si>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</si>
  <si>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</si>
  <si>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</si>
  <si>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</si>
  <si>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</si>
  <si>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</si>
  <si>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</si>
  <si>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</si>
  <si>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</si>
  <si>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</si>
  <si>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</si>
  <si>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</si>
  <si>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</si>
  <si>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</si>
  <si>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</si>
  <si>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</si>
  <si>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</si>
  <si>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 xml:space="preserve">BUREAU </t>
  </si>
  <si>
    <t>MALDEN COMMUNITY CONSOLIDATED SCHOOL DISTRICT 84</t>
  </si>
  <si>
    <t>350 EAST STREET</t>
  </si>
  <si>
    <t xml:space="preserve">MALDEN  </t>
  </si>
  <si>
    <t>X</t>
  </si>
  <si>
    <t>MALDENSCHOOL@HIHART.NET</t>
  </si>
  <si>
    <t xml:space="preserve">MIKE PATTERSON </t>
  </si>
  <si>
    <t>815-643-2436</t>
  </si>
  <si>
    <t>815-643-2132</t>
  </si>
  <si>
    <t xml:space="preserve">HOPKINS &amp; ASSOCIATES, CPAS </t>
  </si>
  <si>
    <t xml:space="preserve">JOEL HOPKINS </t>
  </si>
  <si>
    <t>314 S MCCOY STREET</t>
  </si>
  <si>
    <t>GRANVILLE</t>
  </si>
  <si>
    <t>IL</t>
  </si>
  <si>
    <t>815-339-6630</t>
  </si>
  <si>
    <t>815-339-6643</t>
  </si>
  <si>
    <t>JOEL@HOPKINSOFFICE.COM</t>
  </si>
  <si>
    <t xml:space="preserve">WORKING CASH BONDS 2010 A </t>
  </si>
  <si>
    <t>LIFE SAFETY BONDS 2010</t>
  </si>
  <si>
    <t xml:space="preserve">Operations &amp; Maintenance - O&amp;M in Plant Services - Purchased Services </t>
  </si>
  <si>
    <t>20-2540-300</t>
  </si>
  <si>
    <t xml:space="preserve">Republic Services </t>
  </si>
  <si>
    <t>Frontier</t>
  </si>
  <si>
    <t xml:space="preserve">Village of Malden </t>
  </si>
  <si>
    <t xml:space="preserve">Kernan's Lawn Service </t>
  </si>
  <si>
    <t>10-1999 - Education - Other Local Revenue $23,589 , Donations $12,210, After School Program Fees $8,864, Miscellaneous $2,515</t>
  </si>
  <si>
    <t>20-1999 - Operations &amp; Maintenance - Other Local Revenue - $4,419, Donations $2,250, Miscellaneous $2,169</t>
  </si>
  <si>
    <t>40-1999 - Transportation - Other Local Revenue - $302, Miscellaneous $302</t>
  </si>
  <si>
    <t>10-4999 - Education - Other Restricted Revenue from Federal Sources - $2,283 , ROE Lead Grant $2,283</t>
  </si>
  <si>
    <t>30-5400-6 - Debt Service _ Debt Services Other - $500, Bond Fees $500</t>
  </si>
  <si>
    <t>Total Federal Expenditures for 7/1/18-6/30/19</t>
  </si>
  <si>
    <t>066-004501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</si>
</sst>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2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sz val="9"/>
      <color theme="1"/>
      <name val="Calibri"/>
      <family val="2"/>
      <scheme val="minor"/>
    </font>
    <font>
      <u/>
      <sz val="8"/>
      <color rgb="FFFF0000"/>
      <name val="Times New Roman"/>
      <family val="1"/>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0"/>
      <color rgb="FFFF000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5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49" fillId="0" borderId="0" applyNumberFormat="0" applyFill="0" applyBorder="0" applyAlignment="0" applyProtection="0"/>
    <xf numFmtId="0" fontId="7" fillId="0" borderId="0"/>
    <xf numFmtId="0" fontId="6" fillId="0" borderId="0"/>
    <xf numFmtId="0" fontId="3" fillId="0" borderId="0"/>
  </cellStyleXfs>
  <cellXfs count="242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8"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9" borderId="101" xfId="0" applyFont="1" applyFill="1" applyBorder="1" applyAlignment="1">
      <alignment horizontal="center" vertical="center"/>
    </xf>
    <xf numFmtId="0" fontId="73" fillId="9" borderId="102" xfId="0" applyFont="1" applyFill="1" applyBorder="1" applyAlignment="1">
      <alignment horizontal="center" vertical="center"/>
    </xf>
    <xf numFmtId="0" fontId="51" fillId="17" borderId="118" xfId="0" applyFont="1" applyFill="1" applyBorder="1" applyAlignment="1" applyProtection="1">
      <alignment horizontal="left" vertical="center"/>
    </xf>
    <xf numFmtId="164" fontId="51" fillId="17" borderId="118" xfId="0" applyNumberFormat="1" applyFont="1" applyFill="1" applyBorder="1" applyAlignment="1" applyProtection="1">
      <alignment horizontal="center" vertical="center"/>
    </xf>
    <xf numFmtId="164" fontId="61" fillId="17" borderId="118" xfId="0" applyNumberFormat="1" applyFont="1" applyFill="1" applyBorder="1" applyAlignment="1" applyProtection="1">
      <alignment vertical="center"/>
    </xf>
    <xf numFmtId="0" fontId="74" fillId="10" borderId="119"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07" xfId="0" applyNumberFormat="1" applyFont="1" applyFill="1" applyBorder="1" applyAlignment="1">
      <alignment horizontal="right"/>
    </xf>
    <xf numFmtId="0" fontId="75" fillId="11" borderId="103" xfId="0" applyFont="1" applyFill="1" applyBorder="1" applyAlignment="1">
      <alignment vertical="center"/>
    </xf>
    <xf numFmtId="164" fontId="51" fillId="13" borderId="114" xfId="0" applyNumberFormat="1" applyFont="1" applyFill="1" applyBorder="1" applyAlignment="1" applyProtection="1">
      <alignment horizontal="center" vertical="center"/>
    </xf>
    <xf numFmtId="164" fontId="61" fillId="13" borderId="107" xfId="0" applyNumberFormat="1" applyFont="1" applyFill="1" applyBorder="1" applyAlignment="1" applyProtection="1">
      <alignment vertical="center"/>
    </xf>
    <xf numFmtId="0" fontId="54" fillId="13" borderId="103" xfId="0" applyFont="1" applyFill="1" applyBorder="1" applyAlignment="1" applyProtection="1">
      <alignment vertical="center"/>
    </xf>
    <xf numFmtId="38" fontId="47" fillId="11" borderId="117"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07" xfId="0" applyNumberFormat="1" applyFont="1" applyFill="1" applyBorder="1" applyAlignment="1" applyProtection="1">
      <alignment horizontal="right"/>
      <protection locked="0"/>
    </xf>
    <xf numFmtId="0" fontId="51" fillId="17" borderId="107" xfId="0" applyFont="1" applyFill="1" applyBorder="1" applyAlignment="1" applyProtection="1">
      <alignment horizontal="center" vertical="center"/>
    </xf>
    <xf numFmtId="164" fontId="51" fillId="17" borderId="107" xfId="0" applyNumberFormat="1" applyFont="1" applyFill="1" applyBorder="1" applyAlignment="1" applyProtection="1">
      <alignment horizontal="center" vertical="center"/>
    </xf>
    <xf numFmtId="164" fontId="61" fillId="17" borderId="107" xfId="0" applyNumberFormat="1" applyFont="1" applyFill="1" applyBorder="1" applyAlignment="1" applyProtection="1">
      <alignment vertical="center"/>
    </xf>
    <xf numFmtId="0" fontId="74" fillId="10" borderId="103" xfId="0" applyFont="1" applyFill="1" applyBorder="1" applyAlignment="1">
      <alignment horizontal="left" vertical="center"/>
    </xf>
    <xf numFmtId="0" fontId="51" fillId="17" borderId="0" xfId="0" applyFont="1" applyFill="1" applyBorder="1" applyAlignment="1" applyProtection="1">
      <alignment horizontal="left" vertical="center"/>
    </xf>
    <xf numFmtId="164" fontId="51" fillId="17" borderId="0" xfId="0" applyNumberFormat="1" applyFont="1" applyFill="1" applyBorder="1" applyAlignment="1" applyProtection="1">
      <alignment horizontal="center" vertical="center"/>
    </xf>
    <xf numFmtId="164" fontId="61" fillId="17" borderId="0" xfId="0" applyNumberFormat="1" applyFont="1" applyFill="1" applyBorder="1" applyAlignment="1" applyProtection="1">
      <alignment vertical="center"/>
    </xf>
    <xf numFmtId="0" fontId="59" fillId="13" borderId="114" xfId="0" applyFont="1" applyFill="1" applyBorder="1" applyAlignment="1" applyProtection="1">
      <alignment horizontal="left" vertical="center"/>
    </xf>
    <xf numFmtId="164" fontId="51" fillId="13" borderId="107" xfId="0" applyNumberFormat="1" applyFont="1" applyFill="1" applyBorder="1" applyAlignment="1" applyProtection="1">
      <alignment horizontal="center" vertical="center"/>
    </xf>
    <xf numFmtId="164" fontId="59" fillId="13" borderId="107"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1" fillId="13" borderId="115" xfId="0" applyFont="1" applyFill="1" applyBorder="1" applyAlignment="1" applyProtection="1">
      <alignment horizontal="center" vertical="center"/>
    </xf>
    <xf numFmtId="164" fontId="51" fillId="13" borderId="116" xfId="0" applyNumberFormat="1" applyFont="1" applyFill="1" applyBorder="1" applyAlignment="1" applyProtection="1">
      <alignment horizontal="center" vertical="center"/>
    </xf>
    <xf numFmtId="164" fontId="61" fillId="13" borderId="116" xfId="0" applyNumberFormat="1" applyFont="1" applyFill="1" applyBorder="1" applyAlignment="1" applyProtection="1">
      <alignment vertical="center"/>
    </xf>
    <xf numFmtId="38" fontId="47" fillId="11" borderId="107" xfId="0" applyNumberFormat="1" applyFont="1" applyFill="1" applyBorder="1" applyAlignment="1">
      <alignment horizontal="right"/>
    </xf>
    <xf numFmtId="0" fontId="74"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4" xfId="0" applyNumberFormat="1" applyFont="1" applyBorder="1" applyAlignment="1" applyProtection="1">
      <alignment horizontal="center" vertical="center"/>
    </xf>
    <xf numFmtId="38" fontId="52" fillId="0" borderId="124" xfId="0" applyNumberFormat="1" applyFont="1" applyBorder="1" applyAlignment="1" applyProtection="1">
      <alignment horizontal="right"/>
      <protection locked="0"/>
    </xf>
    <xf numFmtId="38" fontId="52" fillId="3" borderId="124"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7" xfId="0" applyFont="1" applyFill="1" applyBorder="1" applyAlignment="1" applyProtection="1">
      <alignment horizontal="center" vertical="center"/>
    </xf>
    <xf numFmtId="38" fontId="52" fillId="0" borderId="121"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0" xfId="0" applyNumberFormat="1" applyFont="1" applyFill="1" applyBorder="1" applyAlignment="1" applyProtection="1">
      <alignment horizontal="right"/>
      <protection locked="0"/>
    </xf>
    <xf numFmtId="38" fontId="52" fillId="0" borderId="108"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4"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4"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2"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4" xfId="0" applyFont="1" applyFill="1" applyBorder="1" applyAlignment="1">
      <alignment horizontal="center" vertical="center"/>
    </xf>
    <xf numFmtId="38" fontId="52" fillId="0" borderId="124"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2"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3" xfId="0" applyNumberFormat="1" applyFont="1" applyFill="1" applyBorder="1" applyAlignment="1">
      <alignment horizontal="center" vertical="center"/>
    </xf>
    <xf numFmtId="49" fontId="59" fillId="0" borderId="124"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4"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2"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19"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5"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5"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0" xfId="3" applyNumberFormat="1" applyFont="1" applyBorder="1" applyAlignment="1">
      <alignment horizontal="center" vertical="center"/>
    </xf>
    <xf numFmtId="0" fontId="54" fillId="0" borderId="130"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0"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97"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0"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02"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02" fillId="0" borderId="0" xfId="0" applyNumberFormat="1" applyFont="1" applyBorder="1" applyAlignment="1">
      <alignment horizontal="right" vertical="top"/>
    </xf>
    <xf numFmtId="0" fontId="104"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04"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02" fillId="0" borderId="21" xfId="0" applyNumberFormat="1" applyFont="1" applyBorder="1" applyAlignment="1">
      <alignment horizontal="left" vertical="center"/>
    </xf>
    <xf numFmtId="0" fontId="59" fillId="0" borderId="14" xfId="0" applyFont="1" applyBorder="1" applyAlignment="1">
      <alignment vertical="top" wrapText="1"/>
    </xf>
    <xf numFmtId="0" fontId="104"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02"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02" fillId="0" borderId="21" xfId="0" applyNumberFormat="1" applyFont="1" applyBorder="1" applyAlignment="1">
      <alignment horizontal="right" vertical="top"/>
    </xf>
    <xf numFmtId="164" fontId="104"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04"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05" fillId="0" borderId="21" xfId="0" applyNumberFormat="1" applyFont="1" applyBorder="1" applyAlignment="1">
      <alignment horizontal="left" vertical="center"/>
    </xf>
    <xf numFmtId="0" fontId="102"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02" fillId="0" borderId="21" xfId="0" applyNumberFormat="1" applyFont="1" applyBorder="1" applyAlignment="1">
      <alignment vertical="center"/>
    </xf>
    <xf numFmtId="0" fontId="52" fillId="0" borderId="21" xfId="0" applyFont="1" applyBorder="1" applyAlignment="1">
      <alignment vertical="center"/>
    </xf>
    <xf numFmtId="0" fontId="59" fillId="0" borderId="146" xfId="0" applyFont="1" applyBorder="1"/>
    <xf numFmtId="0" fontId="52" fillId="0" borderId="13" xfId="0" applyFont="1" applyBorder="1"/>
    <xf numFmtId="0" fontId="52" fillId="0" borderId="122" xfId="0" applyFont="1" applyBorder="1" applyAlignment="1">
      <alignment horizontal="left" vertical="top"/>
    </xf>
    <xf numFmtId="164" fontId="102" fillId="0" borderId="125" xfId="0" applyNumberFormat="1" applyFont="1" applyBorder="1" applyAlignment="1">
      <alignment horizontal="right" vertical="top"/>
    </xf>
    <xf numFmtId="0" fontId="52" fillId="0" borderId="125" xfId="0" applyNumberFormat="1" applyFont="1" applyBorder="1" applyAlignment="1">
      <alignment horizontal="left" vertical="center" wrapText="1" indent="1"/>
    </xf>
    <xf numFmtId="0" fontId="82" fillId="0" borderId="124" xfId="0" applyFont="1" applyBorder="1" applyAlignment="1">
      <alignment horizontal="left" vertical="center" wrapText="1"/>
    </xf>
    <xf numFmtId="0" fontId="52" fillId="0" borderId="125" xfId="0" applyFont="1" applyBorder="1" applyAlignment="1">
      <alignment horizontal="left" vertical="top"/>
    </xf>
    <xf numFmtId="0" fontId="52" fillId="0" borderId="0" xfId="0" applyFont="1" applyBorder="1" applyAlignment="1">
      <alignment vertical="top"/>
    </xf>
    <xf numFmtId="0" fontId="104" fillId="0" borderId="125" xfId="0" applyNumberFormat="1" applyFont="1" applyBorder="1" applyAlignment="1">
      <alignment horizontal="left" vertical="center"/>
    </xf>
    <xf numFmtId="0" fontId="102" fillId="0" borderId="125" xfId="0" applyFont="1" applyBorder="1" applyAlignment="1">
      <alignment vertical="top"/>
    </xf>
    <xf numFmtId="0" fontId="102" fillId="0" borderId="125" xfId="0" applyFont="1" applyBorder="1" applyAlignment="1">
      <alignment horizontal="left" vertical="top"/>
    </xf>
    <xf numFmtId="0" fontId="52" fillId="0" borderId="122" xfId="0" applyFont="1" applyBorder="1" applyAlignment="1"/>
    <xf numFmtId="164" fontId="102" fillId="0" borderId="125" xfId="0" applyNumberFormat="1" applyFont="1" applyBorder="1" applyAlignment="1"/>
    <xf numFmtId="0" fontId="52" fillId="0" borderId="125" xfId="0" applyFont="1" applyBorder="1" applyAlignment="1"/>
    <xf numFmtId="0" fontId="59" fillId="0" borderId="123"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48"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2" xfId="0" applyFont="1" applyFill="1" applyBorder="1" applyAlignment="1"/>
    <xf numFmtId="0" fontId="51" fillId="0" borderId="125" xfId="0" applyFont="1" applyFill="1" applyBorder="1" applyAlignment="1">
      <alignment horizontal="left" vertical="top"/>
    </xf>
    <xf numFmtId="0" fontId="51" fillId="0" borderId="123"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3" xfId="0" applyFont="1" applyFill="1" applyBorder="1" applyAlignment="1">
      <alignment horizontal="center" vertical="center"/>
    </xf>
    <xf numFmtId="0" fontId="105"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37" xfId="3" quotePrefix="1" applyNumberFormat="1" applyFont="1" applyBorder="1" applyAlignment="1" applyProtection="1">
      <alignment horizontal="left"/>
    </xf>
    <xf numFmtId="0" fontId="59" fillId="0" borderId="138" xfId="3" applyNumberFormat="1" applyFont="1" applyBorder="1" applyAlignment="1" applyProtection="1">
      <alignment horizontal="center"/>
    </xf>
    <xf numFmtId="0" fontId="59" fillId="0" borderId="138" xfId="3" applyNumberFormat="1" applyFont="1" applyBorder="1" applyProtection="1"/>
    <xf numFmtId="0" fontId="52" fillId="0" borderId="137" xfId="3" applyNumberFormat="1" applyFont="1" applyBorder="1" applyAlignment="1" applyProtection="1"/>
    <xf numFmtId="0" fontId="59" fillId="0" borderId="139" xfId="3" applyNumberFormat="1" applyFont="1" applyBorder="1" applyAlignment="1" applyProtection="1">
      <alignment horizontal="centerContinuous"/>
    </xf>
    <xf numFmtId="0" fontId="52" fillId="0" borderId="137" xfId="3" applyNumberFormat="1" applyFont="1" applyBorder="1" applyAlignment="1" applyProtection="1">
      <alignment horizontal="left"/>
    </xf>
    <xf numFmtId="0" fontId="59" fillId="0" borderId="139" xfId="3" applyNumberFormat="1" applyFont="1" applyBorder="1" applyProtection="1"/>
    <xf numFmtId="0" fontId="59" fillId="0" borderId="138"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37"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2" fillId="0" borderId="0" xfId="3" applyNumberFormat="1" applyFont="1" applyProtection="1"/>
    <xf numFmtId="0" fontId="59" fillId="0" borderId="0" xfId="3" quotePrefix="1" applyNumberFormat="1" applyFont="1" applyAlignment="1" applyProtection="1">
      <alignment horizontal="left"/>
    </xf>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1"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06"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07" fillId="0" borderId="0" xfId="3" applyNumberFormat="1" applyFont="1" applyFill="1" applyBorder="1"/>
    <xf numFmtId="49" fontId="65" fillId="0" borderId="0" xfId="3" applyNumberFormat="1" applyFont="1" applyAlignment="1">
      <alignment vertical="top"/>
    </xf>
    <xf numFmtId="0" fontId="59" fillId="0" borderId="138"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5"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0" xfId="3" applyFont="1" applyBorder="1" applyProtection="1"/>
    <xf numFmtId="0" fontId="52" fillId="0" borderId="141" xfId="3" applyFont="1" applyBorder="1" applyProtection="1">
      <protection locked="0"/>
    </xf>
    <xf numFmtId="0" fontId="52" fillId="0" borderId="140"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08" fillId="0" borderId="0" xfId="3" applyFont="1" applyAlignment="1" applyProtection="1">
      <alignment vertical="top"/>
    </xf>
    <xf numFmtId="0" fontId="59" fillId="0" borderId="0" xfId="3" applyFont="1" applyProtection="1"/>
    <xf numFmtId="0" fontId="108"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39" xfId="3" applyNumberFormat="1" applyFont="1" applyBorder="1" applyAlignment="1" applyProtection="1">
      <alignment horizontal="center"/>
    </xf>
    <xf numFmtId="0" fontId="61" fillId="0" borderId="138" xfId="3" applyFont="1" applyBorder="1" applyAlignment="1" applyProtection="1">
      <alignment horizontal="centerContinuous"/>
    </xf>
    <xf numFmtId="0" fontId="61" fillId="0" borderId="139"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39"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0" borderId="72" xfId="3" applyFont="1" applyFill="1" applyBorder="1" applyAlignment="1" applyProtection="1">
      <alignment horizontal="center"/>
    </xf>
    <xf numFmtId="0" fontId="61" fillId="21"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0"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1"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0" borderId="0" xfId="3" applyFont="1" applyFill="1" applyProtection="1"/>
    <xf numFmtId="169" fontId="54" fillId="20" borderId="0" xfId="3" applyNumberFormat="1" applyFont="1" applyFill="1" applyProtection="1"/>
    <xf numFmtId="1" fontId="54" fillId="20" borderId="0" xfId="3" applyNumberFormat="1" applyFont="1" applyFill="1" applyProtection="1"/>
    <xf numFmtId="0" fontId="54" fillId="20"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08" fillId="0" borderId="0" xfId="3" applyFont="1" applyAlignment="1" applyProtection="1">
      <alignment horizontal="left" wrapText="1"/>
    </xf>
    <xf numFmtId="0" fontId="108" fillId="0" borderId="0" xfId="3" applyFont="1" applyAlignment="1" applyProtection="1"/>
    <xf numFmtId="0" fontId="108"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08" fillId="0" borderId="0" xfId="3" applyFont="1" applyAlignment="1" applyProtection="1">
      <alignment vertical="center"/>
    </xf>
    <xf numFmtId="0" fontId="109"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38" xfId="3" applyFont="1" applyBorder="1" applyProtection="1"/>
    <xf numFmtId="0" fontId="54" fillId="0" borderId="138" xfId="3" applyFont="1" applyBorder="1" applyProtection="1"/>
    <xf numFmtId="0" fontId="54" fillId="0" borderId="138"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38" xfId="3" quotePrefix="1" applyFont="1" applyBorder="1" applyAlignment="1" applyProtection="1">
      <alignment horizontal="left"/>
    </xf>
    <xf numFmtId="0" fontId="52" fillId="0" borderId="138" xfId="3" applyFont="1" applyBorder="1" applyProtection="1"/>
    <xf numFmtId="0" fontId="52" fillId="0" borderId="138"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38" xfId="3" applyFont="1" applyBorder="1" applyProtection="1"/>
    <xf numFmtId="0" fontId="54" fillId="0" borderId="0" xfId="3" applyFont="1" applyBorder="1" applyAlignment="1" applyProtection="1">
      <alignment horizontal="left"/>
    </xf>
    <xf numFmtId="0" fontId="61" fillId="0" borderId="138" xfId="3" applyFont="1" applyBorder="1" applyAlignment="1" applyProtection="1">
      <alignment horizontal="left"/>
    </xf>
    <xf numFmtId="0" fontId="54" fillId="0" borderId="78" xfId="3" applyFont="1" applyFill="1" applyBorder="1" applyProtection="1"/>
    <xf numFmtId="0" fontId="54" fillId="0" borderId="78" xfId="3" applyFont="1" applyFill="1" applyBorder="1" applyAlignment="1" applyProtection="1">
      <alignment horizontal="center"/>
    </xf>
    <xf numFmtId="0" fontId="108" fillId="0" borderId="0" xfId="3" applyFont="1" applyBorder="1" applyProtection="1"/>
    <xf numFmtId="0" fontId="108"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38"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99"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3"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1" fillId="0" borderId="0" xfId="3" applyNumberFormat="1" applyFont="1" applyProtection="1"/>
    <xf numFmtId="6" fontId="107" fillId="0" borderId="76" xfId="3" applyNumberFormat="1" applyFont="1" applyBorder="1" applyProtection="1"/>
    <xf numFmtId="6" fontId="107"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07" fillId="0" borderId="0" xfId="3" applyFont="1" applyProtection="1"/>
    <xf numFmtId="10" fontId="111"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08" fillId="0" borderId="0" xfId="3" applyNumberFormat="1" applyFont="1" applyBorder="1" applyAlignment="1" applyProtection="1">
      <alignment horizontal="left" vertical="center"/>
    </xf>
    <xf numFmtId="0" fontId="108"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08" fillId="0" borderId="0" xfId="3" applyNumberFormat="1" applyFont="1" applyAlignment="1" applyProtection="1">
      <alignment horizontal="left" vertical="center"/>
    </xf>
    <xf numFmtId="0" fontId="108"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9" fillId="0" borderId="145" xfId="3"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08"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5"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6"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4" xfId="0" applyNumberFormat="1" applyFont="1" applyBorder="1" applyAlignment="1">
      <alignment horizontal="left" vertical="center" wrapText="1" indent="1"/>
    </xf>
    <xf numFmtId="3" fontId="59" fillId="0" borderId="122"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4"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4" xfId="0" applyNumberFormat="1" applyFont="1" applyFill="1" applyBorder="1" applyAlignment="1" applyProtection="1">
      <alignment horizontal="right" vertical="center"/>
      <protection locked="0"/>
    </xf>
    <xf numFmtId="38" fontId="51" fillId="6" borderId="149" xfId="0" applyNumberFormat="1" applyFont="1" applyFill="1" applyBorder="1" applyAlignment="1">
      <alignment horizontal="center" vertical="center" wrapText="1"/>
    </xf>
    <xf numFmtId="38" fontId="51" fillId="6" borderId="149" xfId="0" applyNumberFormat="1" applyFont="1" applyFill="1" applyBorder="1" applyAlignment="1">
      <alignment horizontal="center" vertical="top" wrapText="1"/>
    </xf>
    <xf numFmtId="38" fontId="61" fillId="6" borderId="149"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6" fillId="0" borderId="0" xfId="17"/>
    <xf numFmtId="0" fontId="96" fillId="0" borderId="134" xfId="17" applyFont="1" applyBorder="1" applyAlignment="1">
      <alignment horizontal="left" vertical="top"/>
    </xf>
    <xf numFmtId="0" fontId="115" fillId="0" borderId="135" xfId="17" applyFont="1" applyBorder="1" applyAlignment="1">
      <alignment horizontal="center" vertical="top"/>
    </xf>
    <xf numFmtId="0" fontId="115" fillId="0" borderId="136" xfId="17" applyFont="1" applyBorder="1" applyAlignment="1">
      <alignment horizontal="center" vertical="top"/>
    </xf>
    <xf numFmtId="0" fontId="116" fillId="0" borderId="96" xfId="17" applyFont="1" applyBorder="1" applyAlignment="1">
      <alignment vertical="top"/>
    </xf>
    <xf numFmtId="0" fontId="116" fillId="0" borderId="0" xfId="17" applyFont="1" applyBorder="1" applyAlignment="1">
      <alignment vertical="top"/>
    </xf>
    <xf numFmtId="0" fontId="116" fillId="0" borderId="97" xfId="17" applyFont="1" applyBorder="1" applyAlignment="1">
      <alignment vertical="top"/>
    </xf>
    <xf numFmtId="38" fontId="6" fillId="22" borderId="151" xfId="17" applyNumberFormat="1" applyFill="1" applyBorder="1" applyAlignment="1">
      <alignment horizontal="right" vertical="top"/>
    </xf>
    <xf numFmtId="38" fontId="6" fillId="22" borderId="152"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14" fillId="23" borderId="150" xfId="17" applyFont="1" applyFill="1" applyBorder="1" applyAlignment="1">
      <alignment horizontal="center" vertical="center" wrapText="1"/>
    </xf>
    <xf numFmtId="38" fontId="114" fillId="23" borderId="150" xfId="17" applyNumberFormat="1" applyFont="1" applyFill="1" applyBorder="1" applyAlignment="1">
      <alignment horizontal="center" vertical="center" wrapText="1"/>
    </xf>
    <xf numFmtId="3" fontId="52" fillId="23" borderId="128" xfId="0" applyNumberFormat="1" applyFont="1" applyFill="1" applyBorder="1" applyAlignment="1">
      <alignment horizontal="center"/>
    </xf>
    <xf numFmtId="3" fontId="52" fillId="23" borderId="128" xfId="0" applyNumberFormat="1" applyFont="1" applyFill="1" applyBorder="1" applyAlignment="1">
      <alignment horizontal="right"/>
    </xf>
    <xf numFmtId="3" fontId="52" fillId="23" borderId="129"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2"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7" borderId="14" xfId="0" applyFont="1" applyFill="1" applyBorder="1" applyAlignment="1" applyProtection="1">
      <alignment horizontal="left" vertical="center"/>
    </xf>
    <xf numFmtId="0" fontId="61" fillId="17" borderId="2" xfId="0" applyFont="1" applyFill="1" applyBorder="1" applyAlignment="1" applyProtection="1">
      <alignment horizontal="center" vertical="top"/>
    </xf>
    <xf numFmtId="0" fontId="61" fillId="17"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7" borderId="20" xfId="0" applyNumberFormat="1" applyFont="1" applyFill="1" applyBorder="1" applyAlignment="1" applyProtection="1">
      <alignment horizontal="left" vertical="center"/>
    </xf>
    <xf numFmtId="0" fontId="61" fillId="17" borderId="2" xfId="0" applyFont="1" applyFill="1" applyBorder="1" applyAlignment="1">
      <alignment horizontal="center" vertical="center"/>
    </xf>
    <xf numFmtId="164" fontId="61" fillId="17" borderId="20" xfId="0" applyNumberFormat="1" applyFont="1" applyFill="1" applyBorder="1" applyAlignment="1" applyProtection="1">
      <alignment horizontal="left" vertical="center"/>
    </xf>
    <xf numFmtId="0" fontId="61" fillId="17" borderId="29" xfId="0" applyFont="1" applyFill="1" applyBorder="1" applyAlignment="1" applyProtection="1">
      <alignment horizontal="center" vertical="center"/>
    </xf>
    <xf numFmtId="0" fontId="61" fillId="17" borderId="124" xfId="0" applyFont="1" applyFill="1" applyBorder="1" applyAlignment="1" applyProtection="1">
      <alignment horizontal="center" vertical="center"/>
    </xf>
    <xf numFmtId="164" fontId="61" fillId="17" borderId="21" xfId="0" applyNumberFormat="1" applyFont="1" applyFill="1" applyBorder="1" applyAlignment="1" applyProtection="1">
      <alignment horizontal="left" vertical="center"/>
    </xf>
    <xf numFmtId="0" fontId="61" fillId="17" borderId="14" xfId="0" applyFont="1" applyFill="1" applyBorder="1" applyAlignment="1" applyProtection="1">
      <alignment horizontal="center" vertical="center"/>
    </xf>
    <xf numFmtId="0" fontId="61" fillId="17" borderId="31" xfId="0" applyFont="1" applyFill="1" applyBorder="1" applyAlignment="1" applyProtection="1">
      <alignment horizontal="center" vertical="center"/>
    </xf>
    <xf numFmtId="164" fontId="61" fillId="15" borderId="21" xfId="0" applyNumberFormat="1" applyFont="1" applyFill="1" applyBorder="1" applyAlignment="1" applyProtection="1">
      <alignment horizontal="left" vertical="center" indent="1"/>
    </xf>
    <xf numFmtId="0" fontId="59" fillId="15" borderId="14" xfId="0" applyFont="1" applyFill="1" applyBorder="1" applyAlignment="1" applyProtection="1">
      <alignment horizontal="center" vertical="center"/>
    </xf>
    <xf numFmtId="164" fontId="61" fillId="15" borderId="20" xfId="0" applyNumberFormat="1" applyFont="1" applyFill="1" applyBorder="1" applyAlignment="1" applyProtection="1">
      <alignment horizontal="left" vertical="center" indent="1"/>
    </xf>
    <xf numFmtId="1" fontId="59" fillId="15" borderId="11" xfId="0" applyNumberFormat="1" applyFont="1" applyFill="1" applyBorder="1" applyAlignment="1" applyProtection="1">
      <alignment horizontal="center" vertical="center"/>
    </xf>
    <xf numFmtId="1" fontId="59" fillId="15" borderId="4" xfId="0" applyNumberFormat="1" applyFont="1" applyFill="1" applyBorder="1" applyAlignment="1" applyProtection="1">
      <alignment horizontal="center" vertical="center"/>
    </xf>
    <xf numFmtId="0" fontId="61" fillId="15" borderId="21" xfId="0" applyFont="1" applyFill="1" applyBorder="1" applyAlignment="1">
      <alignment horizontal="left" vertical="center" indent="1"/>
    </xf>
    <xf numFmtId="0" fontId="59" fillId="15" borderId="14" xfId="0" applyFont="1" applyFill="1" applyBorder="1" applyAlignment="1">
      <alignment horizontal="left" vertical="center"/>
    </xf>
    <xf numFmtId="0" fontId="59" fillId="15" borderId="11" xfId="0" applyFont="1" applyFill="1" applyBorder="1" applyAlignment="1" applyProtection="1">
      <alignment horizontal="center" vertical="center"/>
    </xf>
    <xf numFmtId="3" fontId="61" fillId="17" borderId="122" xfId="0" applyNumberFormat="1" applyFont="1" applyFill="1" applyBorder="1" applyAlignment="1">
      <alignment horizontal="left" vertical="center" wrapText="1"/>
    </xf>
    <xf numFmtId="49" fontId="61" fillId="17" borderId="124" xfId="0" applyNumberFormat="1" applyFont="1" applyFill="1" applyBorder="1" applyAlignment="1">
      <alignment horizontal="center" vertical="center"/>
    </xf>
    <xf numFmtId="0" fontId="61" fillId="17" borderId="17" xfId="0" applyFont="1" applyFill="1" applyBorder="1" applyAlignment="1">
      <alignment horizontal="left" vertical="center" wrapText="1"/>
    </xf>
    <xf numFmtId="49" fontId="61" fillId="17" borderId="29" xfId="0" applyNumberFormat="1" applyFont="1" applyFill="1" applyBorder="1" applyAlignment="1">
      <alignment horizontal="center" vertical="center"/>
    </xf>
    <xf numFmtId="3" fontId="61" fillId="17" borderId="33" xfId="0" applyNumberFormat="1" applyFont="1" applyFill="1" applyBorder="1" applyAlignment="1">
      <alignment horizontal="left" vertical="center" wrapText="1"/>
    </xf>
    <xf numFmtId="49" fontId="61" fillId="17" borderId="33" xfId="0" applyNumberFormat="1" applyFont="1" applyFill="1" applyBorder="1" applyAlignment="1">
      <alignment horizontal="center" vertical="center"/>
    </xf>
    <xf numFmtId="164" fontId="61" fillId="17" borderId="122" xfId="0" applyNumberFormat="1" applyFont="1" applyFill="1" applyBorder="1" applyAlignment="1">
      <alignment horizontal="left" vertical="center" wrapText="1"/>
    </xf>
    <xf numFmtId="49" fontId="61" fillId="17" borderId="4" xfId="0" applyNumberFormat="1" applyFont="1" applyFill="1" applyBorder="1" applyAlignment="1">
      <alignment horizontal="center" vertical="center"/>
    </xf>
    <xf numFmtId="3" fontId="61" fillId="17" borderId="13" xfId="0" applyNumberFormat="1" applyFont="1" applyFill="1" applyBorder="1" applyAlignment="1">
      <alignment horizontal="left" vertical="center" wrapText="1"/>
    </xf>
    <xf numFmtId="49" fontId="61" fillId="17" borderId="2" xfId="0" applyNumberFormat="1" applyFont="1" applyFill="1" applyBorder="1" applyAlignment="1">
      <alignment horizontal="center" vertical="center"/>
    </xf>
    <xf numFmtId="164" fontId="61" fillId="17" borderId="17" xfId="0" applyNumberFormat="1" applyFont="1" applyFill="1" applyBorder="1" applyAlignment="1">
      <alignment horizontal="left" vertical="center" wrapText="1"/>
    </xf>
    <xf numFmtId="0" fontId="61" fillId="17" borderId="36" xfId="0" applyFont="1" applyFill="1" applyBorder="1" applyAlignment="1">
      <alignment horizontal="left" vertical="center" wrapText="1"/>
    </xf>
    <xf numFmtId="49" fontId="61" fillId="17" borderId="27" xfId="0" applyNumberFormat="1" applyFont="1" applyFill="1" applyBorder="1" applyAlignment="1">
      <alignment horizontal="center" vertical="center"/>
    </xf>
    <xf numFmtId="3" fontId="61" fillId="17" borderId="37" xfId="0" applyNumberFormat="1" applyFont="1" applyFill="1" applyBorder="1" applyAlignment="1">
      <alignment horizontal="left" vertical="center" wrapText="1"/>
    </xf>
    <xf numFmtId="0" fontId="61" fillId="17" borderId="13" xfId="0" applyFont="1" applyFill="1" applyBorder="1" applyAlignment="1">
      <alignment horizontal="left" vertical="center" wrapText="1"/>
    </xf>
    <xf numFmtId="49" fontId="61" fillId="17" borderId="14" xfId="0" applyNumberFormat="1" applyFont="1" applyFill="1" applyBorder="1" applyAlignment="1">
      <alignment horizontal="center" vertical="center"/>
    </xf>
    <xf numFmtId="0" fontId="61" fillId="17" borderId="37" xfId="0" applyFont="1" applyFill="1" applyBorder="1" applyAlignment="1">
      <alignment horizontal="left" vertical="center" wrapText="1"/>
    </xf>
    <xf numFmtId="164" fontId="61" fillId="17" borderId="13" xfId="0" applyNumberFormat="1" applyFont="1" applyFill="1" applyBorder="1" applyAlignment="1">
      <alignment horizontal="left" vertical="center" wrapText="1"/>
    </xf>
    <xf numFmtId="0" fontId="61" fillId="17" borderId="124" xfId="0" applyFont="1" applyFill="1" applyBorder="1" applyAlignment="1">
      <alignment horizontal="left" vertical="center" wrapText="1"/>
    </xf>
    <xf numFmtId="3" fontId="61" fillId="17" borderId="124"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7" borderId="50" xfId="0" applyFont="1" applyFill="1" applyBorder="1" applyAlignment="1" applyProtection="1">
      <alignment horizontal="left" vertical="center"/>
    </xf>
    <xf numFmtId="0" fontId="61" fillId="17" borderId="22" xfId="0" applyFont="1" applyFill="1" applyBorder="1" applyAlignment="1" applyProtection="1">
      <alignment horizontal="center" vertical="center"/>
    </xf>
    <xf numFmtId="0" fontId="61" fillId="17" borderId="46" xfId="0" applyFont="1" applyFill="1" applyBorder="1" applyAlignment="1" applyProtection="1">
      <alignment horizontal="left" vertical="center"/>
    </xf>
    <xf numFmtId="0" fontId="61" fillId="17" borderId="46" xfId="0" applyFont="1" applyFill="1" applyBorder="1" applyAlignment="1" applyProtection="1">
      <alignment horizontal="left" vertical="center" wrapText="1"/>
    </xf>
    <xf numFmtId="0" fontId="61" fillId="17"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5" borderId="12" xfId="0" applyFont="1" applyFill="1" applyBorder="1" applyAlignment="1" applyProtection="1">
      <alignment vertical="center"/>
    </xf>
    <xf numFmtId="0" fontId="61" fillId="0" borderId="153" xfId="0" applyFont="1" applyBorder="1" applyAlignment="1">
      <alignment horizontal="centerContinuous" vertical="center"/>
    </xf>
    <xf numFmtId="0" fontId="52" fillId="0" borderId="154" xfId="0" applyFont="1" applyBorder="1" applyAlignment="1">
      <alignment horizontal="centerContinuous" vertical="center"/>
    </xf>
    <xf numFmtId="0" fontId="54" fillId="0" borderId="154" xfId="0" applyFont="1" applyBorder="1" applyAlignment="1">
      <alignment horizontal="centerContinuous" vertical="center"/>
    </xf>
    <xf numFmtId="0" fontId="61" fillId="0" borderId="105"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5" fillId="0" borderId="0" xfId="17" quotePrefix="1" applyNumberFormat="1" applyFont="1"/>
    <xf numFmtId="0" fontId="116" fillId="20" borderId="151" xfId="17" applyFont="1" applyFill="1" applyBorder="1" applyAlignment="1" applyProtection="1">
      <alignment horizontal="left" vertical="top" wrapText="1"/>
    </xf>
    <xf numFmtId="49" fontId="116" fillId="20" borderId="151" xfId="17" applyNumberFormat="1" applyFont="1" applyFill="1" applyBorder="1" applyAlignment="1" applyProtection="1">
      <alignment horizontal="center" vertical="top"/>
    </xf>
    <xf numFmtId="0" fontId="116" fillId="20" borderId="151" xfId="17" applyFont="1" applyFill="1" applyBorder="1" applyAlignment="1" applyProtection="1">
      <alignment vertical="top"/>
    </xf>
    <xf numFmtId="38" fontId="116" fillId="20" borderId="151" xfId="17" applyNumberFormat="1" applyFont="1" applyFill="1" applyBorder="1" applyAlignment="1" applyProtection="1">
      <alignment horizontal="right" vertical="top"/>
    </xf>
    <xf numFmtId="38" fontId="116" fillId="20" borderId="151" xfId="17" applyNumberFormat="1" applyFont="1" applyFill="1" applyBorder="1" applyAlignment="1" applyProtection="1">
      <alignment vertical="top"/>
    </xf>
    <xf numFmtId="0" fontId="6" fillId="0" borderId="151" xfId="17" applyBorder="1" applyAlignment="1" applyProtection="1">
      <alignment horizontal="left" vertical="top" wrapText="1"/>
      <protection locked="0"/>
    </xf>
    <xf numFmtId="0" fontId="6" fillId="0" borderId="151" xfId="17" applyBorder="1" applyAlignment="1" applyProtection="1">
      <alignment vertical="top"/>
      <protection locked="0"/>
    </xf>
    <xf numFmtId="0" fontId="5" fillId="0" borderId="151" xfId="17" applyFont="1" applyBorder="1" applyAlignment="1" applyProtection="1">
      <alignment horizontal="left" vertical="top" wrapText="1"/>
      <protection locked="0"/>
    </xf>
    <xf numFmtId="0" fontId="5" fillId="0" borderId="151"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16" fillId="0" borderId="98" xfId="17" applyFont="1" applyBorder="1" applyAlignment="1">
      <alignment horizontal="left" vertical="top"/>
    </xf>
    <xf numFmtId="0" fontId="116" fillId="0" borderId="78" xfId="17" applyFont="1" applyBorder="1" applyAlignment="1">
      <alignment horizontal="left" vertical="top"/>
    </xf>
    <xf numFmtId="0" fontId="116" fillId="0" borderId="99" xfId="17" applyFont="1" applyBorder="1" applyAlignment="1">
      <alignment horizontal="left" vertical="top"/>
    </xf>
    <xf numFmtId="0" fontId="32" fillId="0" borderId="0" xfId="2" applyNumberFormat="1" applyAlignment="1" applyProtection="1">
      <alignment vertical="center"/>
    </xf>
    <xf numFmtId="0" fontId="61" fillId="0" borderId="5" xfId="3" applyFont="1" applyFill="1" applyBorder="1" applyAlignment="1" applyProtection="1"/>
    <xf numFmtId="49" fontId="6" fillId="0" borderId="151" xfId="17" applyNumberFormat="1" applyBorder="1" applyAlignment="1" applyProtection="1">
      <alignment horizontal="center" vertical="center"/>
      <protection locked="0"/>
    </xf>
    <xf numFmtId="49" fontId="4" fillId="0" borderId="151" xfId="17" applyNumberFormat="1" applyFont="1" applyBorder="1" applyAlignment="1" applyProtection="1">
      <alignment horizontal="center" vertical="center"/>
      <protection locked="0"/>
    </xf>
    <xf numFmtId="3" fontId="61" fillId="16" borderId="36" xfId="0" applyNumberFormat="1" applyFont="1" applyFill="1" applyBorder="1" applyAlignment="1">
      <alignment horizontal="left" vertical="center" wrapText="1" indent="1"/>
    </xf>
    <xf numFmtId="49" fontId="61" fillId="16" borderId="27" xfId="0" applyNumberFormat="1" applyFont="1" applyFill="1" applyBorder="1" applyAlignment="1">
      <alignment horizontal="center" vertical="center"/>
    </xf>
    <xf numFmtId="38" fontId="52" fillId="16" borderId="27" xfId="0" applyNumberFormat="1" applyFont="1" applyFill="1" applyBorder="1" applyAlignment="1">
      <alignment horizontal="right"/>
    </xf>
    <xf numFmtId="38" fontId="52" fillId="16" borderId="2" xfId="0" applyNumberFormat="1" applyFont="1" applyFill="1" applyBorder="1" applyAlignment="1">
      <alignment horizontal="right"/>
    </xf>
    <xf numFmtId="38" fontId="52" fillId="16" borderId="4" xfId="0" applyNumberFormat="1" applyFont="1" applyFill="1" applyBorder="1" applyAlignment="1">
      <alignment horizontal="right"/>
    </xf>
    <xf numFmtId="49" fontId="61" fillId="16" borderId="36" xfId="0" applyNumberFormat="1" applyFont="1" applyFill="1" applyBorder="1" applyAlignment="1">
      <alignment horizontal="center" vertical="center"/>
    </xf>
    <xf numFmtId="38" fontId="52" fillId="16" borderId="30" xfId="0" applyNumberFormat="1" applyFont="1" applyFill="1" applyBorder="1" applyAlignment="1">
      <alignment horizontal="right"/>
    </xf>
    <xf numFmtId="49" fontId="61" fillId="16" borderId="30" xfId="0" applyNumberFormat="1" applyFont="1" applyFill="1" applyBorder="1" applyAlignment="1">
      <alignment horizontal="center" vertical="center"/>
    </xf>
    <xf numFmtId="0" fontId="61" fillId="16" borderId="32" xfId="0" applyNumberFormat="1" applyFont="1" applyFill="1" applyBorder="1" applyAlignment="1">
      <alignment horizontal="center" vertical="center"/>
    </xf>
    <xf numFmtId="38" fontId="52" fillId="16" borderId="32" xfId="0" applyNumberFormat="1" applyFont="1" applyFill="1" applyBorder="1" applyAlignment="1">
      <alignment horizontal="right"/>
    </xf>
    <xf numFmtId="0" fontId="61" fillId="16" borderId="27" xfId="0" applyFont="1" applyFill="1" applyBorder="1" applyAlignment="1">
      <alignment horizontal="center" vertical="center"/>
    </xf>
    <xf numFmtId="38" fontId="52" fillId="16" borderId="33" xfId="0" applyNumberFormat="1" applyFont="1" applyFill="1" applyBorder="1" applyAlignment="1">
      <alignment horizontal="right"/>
    </xf>
    <xf numFmtId="3" fontId="61" fillId="16" borderId="27" xfId="0" applyNumberFormat="1" applyFont="1" applyFill="1" applyBorder="1" applyAlignment="1">
      <alignment horizontal="left" vertical="center" indent="1"/>
    </xf>
    <xf numFmtId="0" fontId="61" fillId="16" borderId="27" xfId="0" applyFont="1" applyFill="1" applyBorder="1" applyAlignment="1">
      <alignment horizontal="center" vertical="top"/>
    </xf>
    <xf numFmtId="0" fontId="54" fillId="16" borderId="30" xfId="0" applyFont="1" applyFill="1" applyBorder="1" applyAlignment="1">
      <alignment horizontal="left" vertical="center" indent="1"/>
    </xf>
    <xf numFmtId="38" fontId="52" fillId="16" borderId="26" xfId="0" applyNumberFormat="1" applyFont="1" applyFill="1" applyBorder="1" applyAlignment="1">
      <alignment horizontal="right"/>
    </xf>
    <xf numFmtId="38" fontId="52" fillId="16" borderId="28" xfId="0" applyNumberFormat="1" applyFont="1" applyFill="1" applyBorder="1" applyAlignment="1">
      <alignment horizontal="right"/>
    </xf>
    <xf numFmtId="38" fontId="52" fillId="16" borderId="29" xfId="0" applyNumberFormat="1" applyFont="1" applyFill="1" applyBorder="1" applyAlignment="1">
      <alignment horizontal="right"/>
    </xf>
    <xf numFmtId="3" fontId="61" fillId="16" borderId="55" xfId="0" applyNumberFormat="1" applyFont="1" applyFill="1" applyBorder="1" applyAlignment="1">
      <alignment horizontal="left" vertical="center" wrapText="1" indent="1"/>
    </xf>
    <xf numFmtId="49" fontId="61" fillId="16" borderId="32" xfId="0" applyNumberFormat="1" applyFont="1" applyFill="1" applyBorder="1" applyAlignment="1">
      <alignment horizontal="center" vertical="center"/>
    </xf>
    <xf numFmtId="38" fontId="52" fillId="16" borderId="27" xfId="0" applyNumberFormat="1" applyFont="1" applyFill="1" applyBorder="1" applyAlignment="1" applyProtection="1">
      <alignment horizontal="right"/>
    </xf>
    <xf numFmtId="3" fontId="61" fillId="16" borderId="55" xfId="0" applyNumberFormat="1" applyFont="1" applyFill="1" applyBorder="1" applyAlignment="1">
      <alignment horizontal="left" vertical="top" wrapText="1" indent="1"/>
    </xf>
    <xf numFmtId="49" fontId="59" fillId="16" borderId="51" xfId="0" applyNumberFormat="1" applyFont="1" applyFill="1" applyBorder="1" applyAlignment="1">
      <alignment horizontal="center" vertical="top"/>
    </xf>
    <xf numFmtId="3" fontId="61" fillId="16" borderId="27" xfId="0" applyNumberFormat="1" applyFont="1" applyFill="1" applyBorder="1" applyAlignment="1">
      <alignment horizontal="left" vertical="center" wrapText="1" indent="1"/>
    </xf>
    <xf numFmtId="3" fontId="61" fillId="16" borderId="36" xfId="0" applyNumberFormat="1" applyFont="1" applyFill="1" applyBorder="1" applyAlignment="1">
      <alignment horizontal="left" vertical="top" wrapText="1" indent="1"/>
    </xf>
    <xf numFmtId="0" fontId="59" fillId="16" borderId="30" xfId="0" applyFont="1" applyFill="1" applyBorder="1" applyAlignment="1">
      <alignment vertical="top"/>
    </xf>
    <xf numFmtId="3" fontId="61" fillId="16" borderId="36" xfId="0" applyNumberFormat="1" applyFont="1" applyFill="1" applyBorder="1" applyAlignment="1">
      <alignment horizontal="left" vertical="center" indent="1"/>
    </xf>
    <xf numFmtId="0" fontId="61" fillId="16" borderId="30" xfId="0" applyFont="1" applyFill="1" applyBorder="1" applyAlignment="1">
      <alignment horizontal="center" vertical="center"/>
    </xf>
    <xf numFmtId="0" fontId="61" fillId="16" borderId="27" xfId="0" applyFont="1" applyFill="1" applyBorder="1" applyAlignment="1">
      <alignment horizontal="center" vertical="center" wrapText="1"/>
    </xf>
    <xf numFmtId="49" fontId="61" fillId="16" borderId="27" xfId="0" applyNumberFormat="1" applyFont="1" applyFill="1" applyBorder="1" applyAlignment="1">
      <alignment horizontal="center" vertical="top" wrapText="1"/>
    </xf>
    <xf numFmtId="3" fontId="61" fillId="16" borderId="36" xfId="0" applyNumberFormat="1" applyFont="1" applyFill="1" applyBorder="1" applyAlignment="1">
      <alignment horizontal="left" vertical="top" indent="1"/>
    </xf>
    <xf numFmtId="38" fontId="52" fillId="16" borderId="3" xfId="0" applyNumberFormat="1" applyFont="1" applyFill="1" applyBorder="1" applyAlignment="1">
      <alignment horizontal="right"/>
    </xf>
    <xf numFmtId="0" fontId="61" fillId="16" borderId="36" xfId="0" applyFont="1" applyFill="1" applyBorder="1" applyAlignment="1">
      <alignment horizontal="left" vertical="center" wrapText="1" indent="1"/>
    </xf>
    <xf numFmtId="49" fontId="59" fillId="16" borderId="51" xfId="0" applyNumberFormat="1" applyFont="1" applyFill="1" applyBorder="1" applyAlignment="1">
      <alignment horizontal="center" vertical="center"/>
    </xf>
    <xf numFmtId="38" fontId="52" fillId="16" borderId="33" xfId="0" applyNumberFormat="1" applyFont="1" applyFill="1" applyBorder="1" applyAlignment="1" applyProtection="1">
      <alignment horizontal="right"/>
    </xf>
    <xf numFmtId="38" fontId="52" fillId="16" borderId="32" xfId="0" applyNumberFormat="1" applyFont="1" applyFill="1" applyBorder="1" applyAlignment="1" applyProtection="1">
      <alignment horizontal="right"/>
    </xf>
    <xf numFmtId="0" fontId="59"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center" wrapText="1" indent="1"/>
    </xf>
    <xf numFmtId="0" fontId="59" fillId="16" borderId="30" xfId="0" applyFont="1" applyFill="1" applyBorder="1" applyAlignment="1" applyProtection="1">
      <alignment horizontal="left" vertical="center"/>
    </xf>
    <xf numFmtId="38" fontId="52" fillId="16" borderId="36" xfId="0" applyNumberFormat="1" applyFont="1" applyFill="1" applyBorder="1" applyAlignment="1" applyProtection="1">
      <alignment horizontal="right"/>
    </xf>
    <xf numFmtId="0" fontId="61" fillId="16" borderId="35" xfId="0" applyFont="1" applyFill="1" applyBorder="1" applyAlignment="1" applyProtection="1">
      <alignment horizontal="left" vertical="center" indent="1"/>
    </xf>
    <xf numFmtId="0" fontId="59" fillId="16" borderId="30" xfId="0" applyFont="1" applyFill="1" applyBorder="1" applyAlignment="1" applyProtection="1">
      <alignment horizontal="center" vertical="center"/>
    </xf>
    <xf numFmtId="37" fontId="52" fillId="16" borderId="36" xfId="0" applyNumberFormat="1" applyFont="1" applyFill="1" applyBorder="1" applyAlignment="1" applyProtection="1">
      <alignment horizontal="right"/>
    </xf>
    <xf numFmtId="37" fontId="52" fillId="16" borderId="27" xfId="0" applyNumberFormat="1" applyFont="1" applyFill="1" applyBorder="1" applyAlignment="1" applyProtection="1">
      <alignment horizontal="right"/>
    </xf>
    <xf numFmtId="0" fontId="59"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top" wrapText="1" indent="1"/>
    </xf>
    <xf numFmtId="49" fontId="61" fillId="16" borderId="33" xfId="0" applyNumberFormat="1" applyFont="1" applyFill="1" applyBorder="1" applyAlignment="1">
      <alignment horizontal="center" vertical="center"/>
    </xf>
    <xf numFmtId="38" fontId="52" fillId="16" borderId="37" xfId="0" applyNumberFormat="1" applyFont="1" applyFill="1" applyBorder="1" applyAlignment="1" applyProtection="1">
      <alignment horizontal="right"/>
    </xf>
    <xf numFmtId="49" fontId="61" fillId="16" borderId="35" xfId="0" applyNumberFormat="1" applyFont="1" applyFill="1" applyBorder="1" applyAlignment="1" applyProtection="1">
      <alignment horizontal="left" vertical="top" indent="1"/>
    </xf>
    <xf numFmtId="49" fontId="61" fillId="16" borderId="27" xfId="0" applyNumberFormat="1" applyFont="1" applyFill="1" applyBorder="1" applyAlignment="1">
      <alignment horizontal="center" vertical="top"/>
    </xf>
    <xf numFmtId="38" fontId="52" fillId="16" borderId="12" xfId="0" applyNumberFormat="1" applyFont="1" applyFill="1" applyBorder="1" applyAlignment="1" applyProtection="1">
      <alignment horizontal="right"/>
    </xf>
    <xf numFmtId="49" fontId="59" fillId="16" borderId="30" xfId="0" applyNumberFormat="1" applyFont="1" applyFill="1" applyBorder="1" applyAlignment="1" applyProtection="1">
      <alignment horizontal="center" vertical="center"/>
    </xf>
    <xf numFmtId="1" fontId="59" fillId="16" borderId="30"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55" xfId="0" applyNumberFormat="1" applyFont="1" applyFill="1" applyBorder="1" applyAlignment="1" applyProtection="1">
      <alignment horizontal="right"/>
    </xf>
    <xf numFmtId="0" fontId="61" fillId="16" borderId="35" xfId="0" applyFont="1" applyFill="1" applyBorder="1" applyAlignment="1" applyProtection="1">
      <alignment horizontal="left" indent="1"/>
    </xf>
    <xf numFmtId="0" fontId="59" fillId="16" borderId="30" xfId="0" applyFont="1" applyFill="1" applyBorder="1" applyAlignment="1" applyProtection="1">
      <alignment horizontal="center"/>
    </xf>
    <xf numFmtId="0" fontId="61" fillId="16" borderId="36" xfId="0" applyFont="1" applyFill="1" applyBorder="1" applyAlignment="1" applyProtection="1">
      <alignment horizontal="left" vertical="center" indent="1"/>
    </xf>
    <xf numFmtId="0" fontId="59" fillId="16" borderId="27" xfId="0" applyFont="1" applyFill="1" applyBorder="1" applyAlignment="1" applyProtection="1">
      <alignment horizontal="center" vertical="center"/>
    </xf>
    <xf numFmtId="0" fontId="61" fillId="16" borderId="30" xfId="0" applyFont="1" applyFill="1" applyBorder="1" applyAlignment="1">
      <alignment vertical="center"/>
    </xf>
    <xf numFmtId="49" fontId="61" fillId="16" borderId="33" xfId="0" applyNumberFormat="1" applyFont="1" applyFill="1" applyBorder="1" applyAlignment="1" applyProtection="1">
      <alignment horizontal="left" vertical="center" wrapText="1" indent="1"/>
    </xf>
    <xf numFmtId="49" fontId="61" fillId="16" borderId="53" xfId="0" applyNumberFormat="1" applyFont="1" applyFill="1" applyBorder="1" applyAlignment="1">
      <alignment horizontal="center" vertical="center"/>
    </xf>
    <xf numFmtId="0" fontId="61" fillId="16" borderId="52" xfId="0" applyFont="1" applyFill="1" applyBorder="1" applyAlignment="1" applyProtection="1">
      <alignment horizontal="left" wrapText="1" indent="1"/>
    </xf>
    <xf numFmtId="0" fontId="59" fillId="16" borderId="53" xfId="0" applyFont="1" applyFill="1" applyBorder="1" applyAlignment="1" applyProtection="1">
      <alignment horizontal="left" indent="2"/>
    </xf>
    <xf numFmtId="176" fontId="54" fillId="16" borderId="2" xfId="0" applyNumberFormat="1" applyFont="1" applyFill="1" applyBorder="1" applyAlignment="1" applyProtection="1">
      <alignment vertical="center"/>
    </xf>
    <xf numFmtId="38" fontId="54" fillId="16" borderId="2"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vertical="center"/>
    </xf>
    <xf numFmtId="37" fontId="54" fillId="16" borderId="13" xfId="5" applyNumberFormat="1" applyFont="1" applyFill="1" applyBorder="1" applyAlignment="1" applyProtection="1">
      <alignment horizontal="right"/>
    </xf>
    <xf numFmtId="0" fontId="61" fillId="16" borderId="35" xfId="0" applyFont="1" applyFill="1" applyBorder="1" applyAlignment="1" applyProtection="1">
      <alignment horizontal="left" vertical="center" indent="2"/>
    </xf>
    <xf numFmtId="38" fontId="52" fillId="16" borderId="30" xfId="0" applyNumberFormat="1" applyFont="1" applyFill="1" applyBorder="1" applyAlignment="1" applyProtection="1">
      <alignment horizontal="right"/>
    </xf>
    <xf numFmtId="0" fontId="61" fillId="16" borderId="20" xfId="0" applyFont="1" applyFill="1" applyBorder="1" applyAlignment="1" applyProtection="1">
      <alignment horizontal="left" vertical="center" indent="2"/>
    </xf>
    <xf numFmtId="0" fontId="61" fillId="16" borderId="14" xfId="0" applyFont="1" applyFill="1" applyBorder="1" applyAlignment="1" applyProtection="1">
      <alignment horizontal="center" vertical="center"/>
    </xf>
    <xf numFmtId="38" fontId="52" fillId="16" borderId="26" xfId="0" applyNumberFormat="1" applyFont="1" applyFill="1" applyBorder="1" applyAlignment="1" applyProtection="1">
      <alignment horizontal="right"/>
    </xf>
    <xf numFmtId="0" fontId="61" fillId="16" borderId="30" xfId="0" applyFont="1" applyFill="1" applyBorder="1" applyAlignment="1" applyProtection="1">
      <alignment horizontal="center" vertical="center"/>
    </xf>
    <xf numFmtId="38" fontId="52" fillId="16" borderId="4" xfId="0" applyNumberFormat="1" applyFont="1" applyFill="1" applyBorder="1" applyAlignment="1" applyProtection="1">
      <alignment horizontal="right"/>
    </xf>
    <xf numFmtId="38" fontId="52" fillId="16" borderId="2" xfId="0" applyNumberFormat="1" applyFont="1" applyFill="1" applyBorder="1" applyAlignment="1" applyProtection="1">
      <alignment horizontal="right"/>
    </xf>
    <xf numFmtId="0" fontId="70" fillId="16" borderId="20" xfId="0" applyFont="1" applyFill="1" applyBorder="1" applyAlignment="1" applyProtection="1">
      <alignment horizontal="left" vertical="center" indent="1"/>
    </xf>
    <xf numFmtId="0" fontId="59" fillId="16" borderId="4" xfId="0" applyFont="1" applyFill="1" applyBorder="1" applyAlignment="1" applyProtection="1">
      <alignment horizontal="center"/>
    </xf>
    <xf numFmtId="38" fontId="52" fillId="16" borderId="28" xfId="0" applyNumberFormat="1" applyFont="1" applyFill="1" applyBorder="1" applyAlignment="1" applyProtection="1">
      <alignment horizontal="right"/>
    </xf>
    <xf numFmtId="38" fontId="52" fillId="16" borderId="18" xfId="0" applyNumberFormat="1" applyFont="1" applyFill="1" applyBorder="1" applyAlignment="1" applyProtection="1">
      <alignment horizontal="right"/>
    </xf>
    <xf numFmtId="38" fontId="52" fillId="16" borderId="0" xfId="0" applyNumberFormat="1" applyFont="1" applyFill="1" applyAlignment="1" applyProtection="1">
      <alignment horizontal="right"/>
    </xf>
    <xf numFmtId="38" fontId="52" fillId="16" borderId="124" xfId="0" applyNumberFormat="1" applyFont="1" applyFill="1" applyBorder="1" applyAlignment="1" applyProtection="1">
      <alignment horizontal="right" vertical="center"/>
      <protection locked="0"/>
    </xf>
    <xf numFmtId="38" fontId="52" fillId="16" borderId="2" xfId="0" applyNumberFormat="1" applyFont="1" applyFill="1" applyBorder="1" applyAlignment="1" applyProtection="1">
      <alignment horizontal="right" vertical="center"/>
      <protection locked="0"/>
    </xf>
    <xf numFmtId="38" fontId="52" fillId="16" borderId="27" xfId="0" applyNumberFormat="1" applyFont="1" applyFill="1" applyBorder="1" applyAlignment="1" applyProtection="1">
      <alignment horizontal="right" vertical="center"/>
      <protection locked="0"/>
    </xf>
    <xf numFmtId="38" fontId="52" fillId="16" borderId="124" xfId="0" applyNumberFormat="1" applyFont="1" applyFill="1" applyBorder="1" applyAlignment="1" applyProtection="1">
      <alignment horizontal="right" vertical="center"/>
    </xf>
    <xf numFmtId="38" fontId="52" fillId="16" borderId="2" xfId="0" applyNumberFormat="1" applyFont="1" applyFill="1" applyBorder="1" applyAlignment="1" applyProtection="1">
      <alignment horizontal="right" vertical="center"/>
    </xf>
    <xf numFmtId="0" fontId="61" fillId="16" borderId="27" xfId="0" applyFont="1" applyFill="1" applyBorder="1" applyAlignment="1">
      <alignment horizontal="left" vertical="center" wrapText="1" indent="1"/>
    </xf>
    <xf numFmtId="38" fontId="52" fillId="16" borderId="27" xfId="0" applyNumberFormat="1" applyFont="1" applyFill="1" applyBorder="1" applyAlignment="1" applyProtection="1">
      <alignment horizontal="right" vertical="center"/>
    </xf>
    <xf numFmtId="38" fontId="52" fillId="16" borderId="2" xfId="9" applyNumberFormat="1" applyFont="1" applyFill="1" applyBorder="1" applyAlignment="1" applyProtection="1">
      <alignment horizontal="right"/>
    </xf>
    <xf numFmtId="49" fontId="59" fillId="16" borderId="41"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vertical="center"/>
    </xf>
    <xf numFmtId="49" fontId="59" fillId="16" borderId="7"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horizontal="right" vertical="center"/>
    </xf>
    <xf numFmtId="49" fontId="59" fillId="16" borderId="7" xfId="0" applyNumberFormat="1" applyFont="1" applyFill="1" applyBorder="1" applyAlignment="1" applyProtection="1">
      <alignment horizontal="left" vertical="center" indent="2"/>
    </xf>
    <xf numFmtId="0" fontId="54" fillId="16" borderId="7" xfId="0" applyFont="1" applyFill="1" applyBorder="1" applyAlignment="1">
      <alignment horizontal="left" indent="2"/>
    </xf>
    <xf numFmtId="38" fontId="52" fillId="16" borderId="60" xfId="0" applyNumberFormat="1" applyFont="1" applyFill="1" applyBorder="1" applyAlignment="1" applyProtection="1"/>
    <xf numFmtId="38" fontId="52" fillId="16" borderId="41" xfId="0" applyNumberFormat="1" applyFont="1" applyFill="1" applyBorder="1" applyAlignment="1" applyProtection="1">
      <alignment horizontal="right"/>
    </xf>
    <xf numFmtId="0" fontId="61" fillId="16" borderId="54" xfId="0" applyFont="1" applyFill="1" applyBorder="1" applyAlignment="1" applyProtection="1">
      <alignment horizontal="left" vertical="center" indent="2"/>
    </xf>
    <xf numFmtId="0" fontId="61" fillId="16" borderId="41" xfId="0" applyFont="1" applyFill="1" applyBorder="1" applyAlignment="1" applyProtection="1">
      <alignment horizontal="center" vertical="center"/>
    </xf>
    <xf numFmtId="0" fontId="61" fillId="16" borderId="41" xfId="0" applyFont="1" applyFill="1" applyBorder="1" applyAlignment="1" applyProtection="1">
      <alignment horizontal="left" vertical="center" indent="1"/>
    </xf>
    <xf numFmtId="0" fontId="54" fillId="16" borderId="41" xfId="0" applyFont="1" applyFill="1" applyBorder="1" applyAlignment="1" applyProtection="1">
      <alignment vertical="center"/>
    </xf>
    <xf numFmtId="38" fontId="52" fillId="16" borderId="22" xfId="0" applyNumberFormat="1" applyFont="1" applyFill="1" applyBorder="1" applyAlignment="1" applyProtection="1">
      <alignment horizontal="right" vertical="center"/>
    </xf>
    <xf numFmtId="0" fontId="59" fillId="16" borderId="0" xfId="10" applyFont="1" applyFill="1" applyAlignment="1">
      <alignment vertical="center"/>
    </xf>
    <xf numFmtId="0" fontId="59" fillId="16" borderId="0" xfId="10" applyFont="1" applyFill="1" applyAlignment="1">
      <alignment horizontal="center" vertical="center"/>
    </xf>
    <xf numFmtId="0" fontId="59" fillId="16" borderId="0" xfId="10" applyFont="1" applyFill="1" applyAlignment="1">
      <alignment horizontal="right" vertical="center"/>
    </xf>
    <xf numFmtId="0" fontId="61" fillId="16" borderId="0" xfId="10" applyFont="1" applyFill="1" applyAlignment="1">
      <alignment horizontal="right" vertical="center" indent="3"/>
    </xf>
    <xf numFmtId="0" fontId="59" fillId="16" borderId="0" xfId="10" applyFont="1" applyFill="1" applyBorder="1" applyAlignment="1">
      <alignment horizontal="right" vertical="center"/>
    </xf>
    <xf numFmtId="3" fontId="61" fillId="16" borderId="57" xfId="10" applyNumberFormat="1" applyFont="1" applyFill="1" applyBorder="1" applyAlignment="1" applyProtection="1">
      <alignment vertical="center"/>
    </xf>
    <xf numFmtId="0" fontId="59" fillId="16" borderId="0" xfId="10" applyFont="1" applyFill="1" applyAlignment="1">
      <alignment horizontal="left" vertical="center"/>
    </xf>
    <xf numFmtId="0" fontId="61" fillId="16" borderId="0" xfId="10" applyFont="1" applyFill="1" applyAlignment="1">
      <alignment horizontal="right" vertical="center"/>
    </xf>
    <xf numFmtId="38" fontId="61" fillId="16" borderId="47" xfId="10" applyNumberFormat="1" applyFont="1" applyFill="1" applyBorder="1" applyAlignment="1">
      <alignment horizontal="right"/>
    </xf>
    <xf numFmtId="0" fontId="59" fillId="16" borderId="0" xfId="10" quotePrefix="1" applyFont="1" applyFill="1" applyAlignment="1">
      <alignment horizontal="left" vertical="center"/>
    </xf>
    <xf numFmtId="38" fontId="59" fillId="16" borderId="58" xfId="10" applyNumberFormat="1" applyFont="1" applyFill="1" applyBorder="1" applyAlignment="1" applyProtection="1">
      <alignment horizontal="right"/>
    </xf>
    <xf numFmtId="0" fontId="59" fillId="16" borderId="0" xfId="11" quotePrefix="1" applyFont="1" applyFill="1" applyAlignment="1">
      <alignment horizontal="left" vertical="center"/>
    </xf>
    <xf numFmtId="0" fontId="61" fillId="16" borderId="0" xfId="10" quotePrefix="1" applyFont="1" applyFill="1" applyAlignment="1">
      <alignment horizontal="left" vertical="center"/>
    </xf>
    <xf numFmtId="40" fontId="61" fillId="16" borderId="47" xfId="10" applyNumberFormat="1" applyFont="1" applyFill="1" applyBorder="1" applyAlignment="1" applyProtection="1">
      <alignment horizontal="right"/>
    </xf>
    <xf numFmtId="0" fontId="59" fillId="16" borderId="0" xfId="11" applyFont="1" applyFill="1" applyAlignment="1">
      <alignment horizontal="left" vertical="center"/>
    </xf>
    <xf numFmtId="0" fontId="59" fillId="16" borderId="0" xfId="11" applyFont="1" applyFill="1" applyAlignment="1">
      <alignment horizontal="right" vertical="center"/>
    </xf>
    <xf numFmtId="0" fontId="61" fillId="16" borderId="0" xfId="11" applyFont="1" applyFill="1" applyAlignment="1">
      <alignment horizontal="right" vertical="center"/>
    </xf>
    <xf numFmtId="0" fontId="59" fillId="16" borderId="0" xfId="11" applyFont="1" applyFill="1" applyBorder="1" applyAlignment="1">
      <alignment horizontal="right" vertical="center"/>
    </xf>
    <xf numFmtId="38" fontId="61" fillId="16" borderId="9" xfId="11" applyNumberFormat="1" applyFont="1" applyFill="1" applyBorder="1" applyAlignment="1" applyProtection="1">
      <alignment horizontal="right"/>
    </xf>
    <xf numFmtId="38" fontId="59" fillId="16" borderId="6" xfId="11" applyNumberFormat="1" applyFont="1" applyFill="1" applyBorder="1" applyAlignment="1" applyProtection="1">
      <alignment horizontal="right"/>
    </xf>
    <xf numFmtId="0" fontId="59" fillId="16" borderId="0" xfId="11" applyFont="1" applyFill="1" applyAlignment="1">
      <alignment vertical="center"/>
    </xf>
    <xf numFmtId="40" fontId="59" fillId="16" borderId="9" xfId="11" applyNumberFormat="1" applyFont="1" applyFill="1" applyBorder="1" applyAlignment="1" applyProtection="1">
      <alignment horizontal="right"/>
    </xf>
    <xf numFmtId="40" fontId="61" fillId="16" borderId="57" xfId="11" applyNumberFormat="1" applyFont="1" applyFill="1" applyBorder="1" applyAlignment="1" applyProtection="1">
      <alignment horizontal="right"/>
    </xf>
    <xf numFmtId="38" fontId="6" fillId="16" borderId="151" xfId="17" applyNumberFormat="1" applyFill="1" applyBorder="1" applyAlignment="1" applyProtection="1">
      <alignment vertical="top"/>
    </xf>
    <xf numFmtId="38" fontId="6" fillId="16" borderId="152" xfId="17" applyNumberFormat="1" applyFill="1" applyBorder="1" applyAlignment="1" applyProtection="1">
      <alignment horizontal="right" vertical="top"/>
    </xf>
    <xf numFmtId="38" fontId="6" fillId="16" borderId="152" xfId="17" applyNumberFormat="1" applyFill="1" applyBorder="1" applyAlignment="1" applyProtection="1">
      <alignment vertical="top"/>
    </xf>
    <xf numFmtId="0" fontId="6" fillId="16" borderId="152" xfId="17" applyFill="1" applyBorder="1" applyAlignment="1" applyProtection="1">
      <alignment horizontal="left" vertical="top" wrapText="1"/>
    </xf>
    <xf numFmtId="49" fontId="6" fillId="16" borderId="152" xfId="17" applyNumberFormat="1" applyFill="1" applyBorder="1" applyAlignment="1" applyProtection="1">
      <alignment vertical="top"/>
    </xf>
    <xf numFmtId="0" fontId="6" fillId="16" borderId="152" xfId="17" applyFill="1" applyBorder="1" applyAlignment="1" applyProtection="1">
      <alignment vertical="top"/>
    </xf>
    <xf numFmtId="0" fontId="52" fillId="16" borderId="123" xfId="0" applyFont="1" applyFill="1" applyBorder="1"/>
    <xf numFmtId="37" fontId="52" fillId="16" borderId="123" xfId="0" applyNumberFormat="1" applyFont="1" applyFill="1" applyBorder="1"/>
    <xf numFmtId="37" fontId="52" fillId="16" borderId="125" xfId="0" applyNumberFormat="1" applyFont="1" applyFill="1" applyBorder="1"/>
    <xf numFmtId="0" fontId="52" fillId="16" borderId="14" xfId="0" applyFont="1" applyFill="1" applyBorder="1"/>
    <xf numFmtId="0" fontId="52" fillId="16" borderId="21" xfId="0" applyFont="1" applyFill="1" applyBorder="1"/>
    <xf numFmtId="37" fontId="52" fillId="16" borderId="14" xfId="0" applyNumberFormat="1" applyFont="1" applyFill="1" applyBorder="1"/>
    <xf numFmtId="37" fontId="52" fillId="16" borderId="21" xfId="0" applyNumberFormat="1" applyFont="1" applyFill="1" applyBorder="1"/>
    <xf numFmtId="38" fontId="52" fillId="16" borderId="14" xfId="0" applyNumberFormat="1" applyFont="1" applyFill="1" applyBorder="1"/>
    <xf numFmtId="0" fontId="59" fillId="16" borderId="0" xfId="0" applyFont="1" applyFill="1" applyBorder="1" applyAlignment="1">
      <alignment horizontal="right"/>
    </xf>
    <xf numFmtId="38" fontId="52" fillId="16" borderId="18" xfId="0" applyNumberFormat="1" applyFont="1" applyFill="1" applyBorder="1"/>
    <xf numFmtId="0" fontId="52" fillId="16" borderId="13" xfId="0" applyFont="1" applyFill="1" applyBorder="1" applyAlignment="1">
      <alignment horizontal="right"/>
    </xf>
    <xf numFmtId="10" fontId="51" fillId="16" borderId="14" xfId="0" applyNumberFormat="1" applyFont="1" applyFill="1" applyBorder="1" applyAlignment="1">
      <alignment horizontal="left" indent="2"/>
    </xf>
    <xf numFmtId="38" fontId="52" fillId="16" borderId="2" xfId="3" applyNumberFormat="1" applyFont="1" applyFill="1" applyBorder="1" applyAlignment="1">
      <alignment vertical="center"/>
    </xf>
    <xf numFmtId="38" fontId="52" fillId="16" borderId="2" xfId="3" applyNumberFormat="1" applyFont="1" applyFill="1" applyBorder="1" applyAlignment="1" applyProtection="1">
      <alignment vertical="center"/>
    </xf>
    <xf numFmtId="38" fontId="52" fillId="16" borderId="27" xfId="3" applyNumberFormat="1" applyFont="1" applyFill="1" applyBorder="1" applyAlignment="1">
      <alignment vertical="center"/>
    </xf>
    <xf numFmtId="9" fontId="52" fillId="16" borderId="4" xfId="3" applyNumberFormat="1" applyFont="1" applyFill="1" applyBorder="1" applyAlignment="1">
      <alignment horizontal="center" vertical="center"/>
    </xf>
    <xf numFmtId="38" fontId="52" fillId="16" borderId="22" xfId="3" applyNumberFormat="1" applyFont="1" applyFill="1" applyBorder="1" applyAlignment="1">
      <alignment horizontal="right" vertical="center"/>
    </xf>
    <xf numFmtId="38" fontId="52" fillId="16" borderId="41"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1" fillId="16" borderId="75"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1" fillId="16" borderId="60" xfId="3" applyNumberFormat="1" applyFont="1" applyFill="1" applyBorder="1" applyAlignment="1">
      <alignment horizontal="right" vertical="center"/>
    </xf>
    <xf numFmtId="38" fontId="52" fillId="16" borderId="124" xfId="0" applyNumberFormat="1" applyFont="1" applyFill="1" applyBorder="1" applyAlignment="1" applyProtection="1">
      <alignment horizontal="right"/>
    </xf>
    <xf numFmtId="0" fontId="61" fillId="15" borderId="17" xfId="0" applyFont="1" applyFill="1" applyBorder="1" applyAlignment="1">
      <alignment horizontal="left" vertical="center" wrapText="1"/>
    </xf>
    <xf numFmtId="49" fontId="61" fillId="15" borderId="26" xfId="0" applyNumberFormat="1" applyFont="1" applyFill="1" applyBorder="1" applyAlignment="1">
      <alignment horizontal="center" vertical="center"/>
    </xf>
    <xf numFmtId="38" fontId="52" fillId="15" borderId="26" xfId="0" applyNumberFormat="1" applyFont="1" applyFill="1" applyBorder="1" applyAlignment="1">
      <alignment horizontal="right"/>
    </xf>
    <xf numFmtId="38" fontId="52" fillId="15"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6" borderId="13" xfId="0" applyFont="1" applyFill="1" applyBorder="1" applyAlignment="1">
      <alignment horizontal="left" vertical="center" wrapText="1"/>
    </xf>
    <xf numFmtId="49" fontId="61" fillId="16"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1"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5" xfId="3" applyFont="1" applyBorder="1" applyProtection="1"/>
    <xf numFmtId="49" fontId="59" fillId="0" borderId="14" xfId="0" applyNumberFormat="1" applyFont="1" applyFill="1" applyBorder="1" applyAlignment="1" applyProtection="1">
      <alignment horizontal="center" vertical="center"/>
    </xf>
    <xf numFmtId="38" fontId="52" fillId="15" borderId="3" xfId="0" applyNumberFormat="1" applyFont="1" applyFill="1" applyBorder="1" applyAlignment="1" applyProtection="1">
      <alignment horizontal="right"/>
    </xf>
    <xf numFmtId="38" fontId="52" fillId="15" borderId="26" xfId="0" applyNumberFormat="1" applyFont="1" applyFill="1" applyBorder="1" applyAlignment="1" applyProtection="1">
      <alignment horizontal="right"/>
    </xf>
    <xf numFmtId="38" fontId="6" fillId="0" borderId="151"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62" fillId="12" borderId="46" xfId="0" applyFont="1" applyFill="1" applyBorder="1" applyAlignment="1" applyProtection="1">
      <alignment horizontal="left" vertical="center"/>
    </xf>
    <xf numFmtId="0" fontId="61" fillId="12" borderId="6" xfId="0" applyFont="1" applyFill="1" applyBorder="1" applyAlignment="1" applyProtection="1">
      <alignment horizontal="left" vertical="center"/>
    </xf>
    <xf numFmtId="0" fontId="59" fillId="12" borderId="7" xfId="0" applyFont="1" applyFill="1" applyBorder="1" applyAlignment="1" applyProtection="1">
      <alignment horizontal="left" vertical="center" indent="2"/>
    </xf>
    <xf numFmtId="0" fontId="62" fillId="12"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2" borderId="39" xfId="0" applyFont="1" applyFill="1" applyBorder="1"/>
    <xf numFmtId="0" fontId="52" fillId="12" borderId="23" xfId="0" applyFont="1" applyFill="1" applyBorder="1" applyAlignment="1">
      <alignment horizontal="left" vertical="top"/>
    </xf>
    <xf numFmtId="0" fontId="52" fillId="12" borderId="23" xfId="0" applyFont="1" applyFill="1" applyBorder="1" applyAlignment="1">
      <alignment vertical="top" wrapText="1"/>
    </xf>
    <xf numFmtId="0" fontId="61" fillId="12"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1" xfId="11" applyNumberFormat="1" applyFont="1" applyFill="1" applyBorder="1" applyAlignment="1" applyProtection="1">
      <alignment horizontal="right"/>
      <protection locked="0"/>
    </xf>
    <xf numFmtId="38" fontId="59" fillId="16" borderId="9" xfId="11" applyNumberFormat="1" applyFont="1" applyFill="1" applyBorder="1" applyAlignment="1" applyProtection="1">
      <alignment horizontal="right"/>
    </xf>
    <xf numFmtId="3" fontId="59" fillId="16" borderId="9" xfId="10" applyNumberFormat="1" applyFont="1" applyFill="1" applyBorder="1" applyAlignment="1" applyProtection="1">
      <alignment vertical="center"/>
    </xf>
    <xf numFmtId="3" fontId="59" fillId="16" borderId="6" xfId="10" applyNumberFormat="1" applyFont="1" applyFill="1" applyBorder="1" applyAlignment="1" applyProtection="1">
      <alignment vertical="center"/>
    </xf>
    <xf numFmtId="38" fontId="59" fillId="16" borderId="9" xfId="10" applyNumberFormat="1" applyFont="1" applyFill="1" applyBorder="1" applyAlignment="1" applyProtection="1">
      <alignment horizontal="right" vertical="center"/>
    </xf>
    <xf numFmtId="38" fontId="59" fillId="16" borderId="0" xfId="10" applyNumberFormat="1" applyFont="1" applyFill="1" applyAlignment="1">
      <alignment vertical="top"/>
    </xf>
    <xf numFmtId="38" fontId="59" fillId="16" borderId="6" xfId="10" applyNumberFormat="1" applyFont="1" applyFill="1" applyBorder="1" applyAlignment="1" applyProtection="1">
      <alignment horizontal="right" vertical="center"/>
    </xf>
    <xf numFmtId="38" fontId="59" fillId="16" borderId="6" xfId="10" applyNumberFormat="1" applyFont="1" applyFill="1" applyBorder="1" applyAlignment="1" applyProtection="1">
      <alignment horizontal="right"/>
    </xf>
    <xf numFmtId="38" fontId="59" fillId="16" borderId="0" xfId="10" applyNumberFormat="1" applyFont="1" applyFill="1" applyAlignment="1">
      <alignment horizontal="right"/>
    </xf>
    <xf numFmtId="38" fontId="59" fillId="16" borderId="9" xfId="10" applyNumberFormat="1" applyFont="1" applyFill="1" applyBorder="1" applyAlignment="1" applyProtection="1">
      <alignment horizontal="right"/>
    </xf>
    <xf numFmtId="38" fontId="59" fillId="16" borderId="6" xfId="10" applyNumberFormat="1" applyFont="1" applyFill="1" applyBorder="1" applyAlignment="1">
      <alignment horizontal="right"/>
    </xf>
    <xf numFmtId="38" fontId="59" fillId="16" borderId="141"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2" fillId="0" borderId="0" xfId="2" applyAlignment="1" applyProtection="1">
      <alignment vertical="center"/>
    </xf>
    <xf numFmtId="0" fontId="61" fillId="17" borderId="21" xfId="0" applyFont="1" applyFill="1" applyBorder="1" applyAlignment="1" applyProtection="1">
      <alignment vertical="center"/>
    </xf>
    <xf numFmtId="0" fontId="61" fillId="17" borderId="2" xfId="0" applyFont="1" applyFill="1" applyBorder="1" applyAlignment="1" applyProtection="1">
      <alignment vertical="center"/>
    </xf>
    <xf numFmtId="0" fontId="59" fillId="0" borderId="21" xfId="0" applyFont="1" applyBorder="1" applyAlignment="1" applyProtection="1">
      <alignment horizontal="left" vertical="center" indent="1"/>
    </xf>
    <xf numFmtId="0" fontId="113" fillId="0" borderId="21" xfId="0" applyFont="1" applyBorder="1" applyAlignment="1" applyProtection="1">
      <alignment horizontal="left" vertical="center" indent="1"/>
    </xf>
    <xf numFmtId="38" fontId="2" fillId="16" borderId="151" xfId="17" applyNumberFormat="1" applyFont="1" applyFill="1" applyBorder="1" applyAlignment="1" applyProtection="1">
      <alignment horizontal="right" vertical="top"/>
    </xf>
    <xf numFmtId="38" fontId="2" fillId="16" borderId="152" xfId="17" applyNumberFormat="1" applyFont="1" applyFill="1" applyBorder="1" applyAlignment="1" applyProtection="1">
      <alignment horizontal="right" vertical="top"/>
    </xf>
    <xf numFmtId="49" fontId="2" fillId="0" borderId="151" xfId="17" applyNumberFormat="1" applyFont="1" applyBorder="1" applyAlignment="1" applyProtection="1">
      <alignment horizontal="center" vertical="top"/>
      <protection locked="0"/>
    </xf>
    <xf numFmtId="49" fontId="2" fillId="0" borderId="151" xfId="17" applyNumberFormat="1" applyFont="1" applyBorder="1" applyAlignment="1" applyProtection="1">
      <alignment horizontal="center" vertical="center"/>
      <protection locked="0"/>
    </xf>
    <xf numFmtId="0" fontId="54" fillId="0" borderId="77" xfId="3" applyNumberFormat="1" applyFont="1" applyBorder="1" applyAlignment="1" applyProtection="1">
      <alignment horizontal="center"/>
      <protection locked="0"/>
    </xf>
    <xf numFmtId="0" fontId="1" fillId="0" borderId="151" xfId="17" applyFont="1" applyBorder="1" applyAlignment="1" applyProtection="1">
      <alignment horizontal="left" vertical="top" wrapText="1"/>
      <protection locked="0"/>
    </xf>
    <xf numFmtId="49" fontId="1" fillId="0" borderId="151" xfId="17" applyNumberFormat="1" applyFont="1" applyBorder="1" applyAlignment="1" applyProtection="1">
      <alignment horizontal="center" vertical="top"/>
      <protection locked="0"/>
    </xf>
    <xf numFmtId="0" fontId="1" fillId="0" borderId="151"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21" fillId="0" borderId="0" xfId="12" applyFont="1" applyBorder="1" applyAlignment="1" applyProtection="1">
      <alignment horizontal="center" vertical="center" wrapText="1"/>
    </xf>
    <xf numFmtId="0" fontId="121" fillId="0" borderId="18" xfId="12" applyFont="1" applyBorder="1" applyAlignment="1" applyProtection="1">
      <alignment horizontal="center" vertical="center" wrapText="1"/>
    </xf>
    <xf numFmtId="0" fontId="121" fillId="0" borderId="125" xfId="12" applyFont="1" applyBorder="1" applyAlignment="1" applyProtection="1">
      <alignment horizontal="center" vertical="center" wrapText="1"/>
    </xf>
    <xf numFmtId="0" fontId="121" fillId="0" borderId="123"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2" xfId="3" applyFont="1" applyBorder="1" applyAlignment="1" applyProtection="1">
      <alignment horizontal="left" vertical="top"/>
      <protection locked="0"/>
    </xf>
    <xf numFmtId="0" fontId="52" fillId="0" borderId="125"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1" fillId="0" borderId="131"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8" borderId="0" xfId="0" applyFont="1" applyFill="1" applyBorder="1" applyAlignment="1" applyProtection="1">
      <alignment horizontal="center" vertical="center"/>
    </xf>
    <xf numFmtId="0" fontId="51" fillId="18"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2" xfId="0" applyFont="1" applyBorder="1" applyAlignment="1" applyProtection="1">
      <alignment horizontal="left" vertical="top" wrapText="1"/>
      <protection locked="0"/>
    </xf>
    <xf numFmtId="0" fontId="52" fillId="0" borderId="125"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3"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6" borderId="36" xfId="0" applyNumberFormat="1" applyFont="1" applyFill="1" applyBorder="1" applyAlignment="1" applyProtection="1">
      <alignment horizontal="left" vertical="center" wrapText="1" indent="2"/>
    </xf>
    <xf numFmtId="164" fontId="61" fillId="16" borderId="30" xfId="0" applyNumberFormat="1" applyFont="1" applyFill="1" applyBorder="1" applyAlignment="1" applyProtection="1">
      <alignment horizontal="left" vertical="center" wrapText="1" indent="2"/>
    </xf>
    <xf numFmtId="0" fontId="61" fillId="16" borderId="52" xfId="0" applyFont="1" applyFill="1" applyBorder="1" applyAlignment="1" applyProtection="1">
      <alignment horizontal="left" vertical="center" indent="2"/>
    </xf>
    <xf numFmtId="0" fontId="61" fillId="16" borderId="53" xfId="0" applyFont="1" applyFill="1" applyBorder="1" applyAlignment="1" applyProtection="1">
      <alignment horizontal="left" vertical="center" indent="2"/>
    </xf>
    <xf numFmtId="0" fontId="61" fillId="16" borderId="35" xfId="0" applyFont="1" applyFill="1" applyBorder="1" applyAlignment="1" applyProtection="1">
      <alignment horizontal="left" vertical="center" indent="2"/>
    </xf>
    <xf numFmtId="0" fontId="61" fillId="16" borderId="30" xfId="0" applyFont="1" applyFill="1" applyBorder="1" applyAlignment="1" applyProtection="1">
      <alignment horizontal="left" vertical="center" indent="2"/>
    </xf>
    <xf numFmtId="0" fontId="59" fillId="16" borderId="52" xfId="0" applyFont="1" applyFill="1" applyBorder="1" applyAlignment="1" applyProtection="1">
      <alignment horizontal="left" vertical="center" wrapText="1" indent="2"/>
    </xf>
    <xf numFmtId="0" fontId="54" fillId="16"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3" xfId="0" applyNumberFormat="1" applyFont="1" applyBorder="1" applyAlignment="1" applyProtection="1">
      <alignment horizontal="center" vertical="center" wrapText="1"/>
    </xf>
    <xf numFmtId="0" fontId="61" fillId="16" borderId="34" xfId="0" applyFont="1" applyFill="1" applyBorder="1" applyAlignment="1" applyProtection="1">
      <alignment horizontal="left" vertical="center" indent="1"/>
    </xf>
    <xf numFmtId="0" fontId="61" fillId="16"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4" borderId="13" xfId="0" applyNumberFormat="1" applyFont="1" applyFill="1" applyBorder="1" applyAlignment="1" applyProtection="1">
      <alignment horizontal="left" vertical="center" wrapText="1" indent="1"/>
    </xf>
    <xf numFmtId="164" fontId="61" fillId="14" borderId="14" xfId="0" applyNumberFormat="1" applyFont="1" applyFill="1" applyBorder="1" applyAlignment="1" applyProtection="1">
      <alignment horizontal="left" vertical="center" wrapText="1" indent="1"/>
    </xf>
    <xf numFmtId="164" fontId="61" fillId="17" borderId="13" xfId="0" applyNumberFormat="1" applyFont="1" applyFill="1" applyBorder="1" applyAlignment="1" applyProtection="1">
      <alignment horizontal="left" vertical="center" wrapText="1"/>
    </xf>
    <xf numFmtId="164" fontId="61" fillId="17"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6" borderId="13" xfId="0" applyNumberFormat="1" applyFont="1" applyFill="1" applyBorder="1" applyAlignment="1" applyProtection="1">
      <alignment horizontal="left" vertical="center" wrapText="1" indent="2"/>
    </xf>
    <xf numFmtId="164" fontId="61" fillId="16"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6" borderId="24" xfId="0" applyFont="1" applyFill="1" applyBorder="1" applyAlignment="1" applyProtection="1">
      <alignment horizontal="left" vertical="center" indent="1"/>
    </xf>
    <xf numFmtId="0" fontId="54" fillId="16" borderId="51" xfId="0" applyFont="1" applyFill="1" applyBorder="1" applyAlignment="1">
      <alignment horizontal="left" vertical="center" indent="1"/>
    </xf>
    <xf numFmtId="0" fontId="61" fillId="17" borderId="21" xfId="0" applyFont="1" applyFill="1" applyBorder="1" applyAlignment="1">
      <alignment horizontal="left" vertical="center" wrapText="1"/>
    </xf>
    <xf numFmtId="0" fontId="54" fillId="17" borderId="14" xfId="0" applyFont="1" applyFill="1" applyBorder="1" applyAlignment="1">
      <alignment horizontal="left" vertical="center" wrapText="1"/>
    </xf>
    <xf numFmtId="0" fontId="61" fillId="17" borderId="34" xfId="0" applyFont="1" applyFill="1" applyBorder="1" applyAlignment="1">
      <alignment vertical="top" wrapText="1"/>
    </xf>
    <xf numFmtId="0" fontId="54" fillId="17" borderId="31" xfId="0" applyFont="1" applyFill="1" applyBorder="1" applyAlignment="1">
      <alignment vertical="top" wrapText="1"/>
    </xf>
    <xf numFmtId="0" fontId="61" fillId="16" borderId="35" xfId="0" applyFont="1" applyFill="1" applyBorder="1" applyAlignment="1" applyProtection="1">
      <alignment horizontal="left" vertical="top" wrapText="1" indent="1"/>
    </xf>
    <xf numFmtId="0" fontId="54"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top" indent="1"/>
    </xf>
    <xf numFmtId="0" fontId="54" fillId="16" borderId="30" xfId="0" applyFont="1" applyFill="1" applyBorder="1" applyAlignment="1">
      <alignment horizontal="left" vertical="top" indent="1"/>
    </xf>
    <xf numFmtId="0" fontId="61" fillId="17" borderId="34" xfId="0" applyFont="1" applyFill="1" applyBorder="1" applyAlignment="1">
      <alignment vertical="center" wrapText="1"/>
    </xf>
    <xf numFmtId="0" fontId="54" fillId="17"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6" xfId="0" applyFont="1" applyFill="1" applyBorder="1" applyAlignment="1">
      <alignment horizontal="center" vertical="center"/>
    </xf>
    <xf numFmtId="0" fontId="54" fillId="23" borderId="128" xfId="0" applyFont="1" applyFill="1" applyBorder="1" applyAlignment="1">
      <alignment horizontal="center" vertical="center"/>
    </xf>
    <xf numFmtId="0" fontId="62" fillId="23" borderId="20" xfId="0" applyFont="1" applyFill="1" applyBorder="1" applyAlignment="1">
      <alignment horizontal="center" vertical="center"/>
    </xf>
    <xf numFmtId="3" fontId="61" fillId="16" borderId="34" xfId="0" applyNumberFormat="1" applyFont="1" applyFill="1" applyBorder="1" applyAlignment="1">
      <alignment horizontal="left" vertical="top" wrapText="1" indent="1"/>
    </xf>
    <xf numFmtId="0" fontId="54" fillId="16" borderId="31" xfId="0" applyFont="1" applyFill="1" applyBorder="1" applyAlignment="1">
      <alignment horizontal="left" vertical="top" wrapText="1"/>
    </xf>
    <xf numFmtId="3" fontId="61" fillId="16" borderId="23" xfId="0" applyNumberFormat="1" applyFont="1" applyFill="1" applyBorder="1" applyAlignment="1">
      <alignment horizontal="left" vertical="top" wrapText="1" indent="1"/>
    </xf>
    <xf numFmtId="0" fontId="54" fillId="16" borderId="38" xfId="0" applyFont="1" applyFill="1" applyBorder="1" applyAlignment="1">
      <alignment horizontal="left" vertical="top" wrapText="1" indent="1"/>
    </xf>
    <xf numFmtId="3" fontId="61" fillId="16" borderId="24" xfId="0" applyNumberFormat="1" applyFont="1" applyFill="1" applyBorder="1" applyAlignment="1">
      <alignment horizontal="left" vertical="top" wrapText="1" indent="1"/>
    </xf>
    <xf numFmtId="0" fontId="59" fillId="16" borderId="51" xfId="0" applyFont="1" applyFill="1" applyBorder="1" applyAlignment="1">
      <alignment horizontal="left" vertical="top" wrapText="1" indent="1"/>
    </xf>
    <xf numFmtId="3" fontId="61" fillId="16" borderId="35" xfId="0" applyNumberFormat="1" applyFont="1" applyFill="1" applyBorder="1" applyAlignment="1">
      <alignment horizontal="left" vertical="top" wrapText="1" indent="1"/>
    </xf>
    <xf numFmtId="3" fontId="61" fillId="16" borderId="35" xfId="0" applyNumberFormat="1" applyFont="1" applyFill="1" applyBorder="1" applyAlignment="1">
      <alignment horizontal="left" vertical="top" indent="1"/>
    </xf>
    <xf numFmtId="0" fontId="59" fillId="16"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6" borderId="49" xfId="0" applyNumberFormat="1" applyFont="1" applyFill="1" applyBorder="1" applyAlignment="1">
      <alignment horizontal="left" vertical="top" indent="1"/>
    </xf>
    <xf numFmtId="3" fontId="61" fillId="16" borderId="31" xfId="0" applyNumberFormat="1" applyFont="1" applyFill="1" applyBorder="1" applyAlignment="1">
      <alignment horizontal="left" vertical="top" indent="1"/>
    </xf>
    <xf numFmtId="3" fontId="61" fillId="15" borderId="10" xfId="0" applyNumberFormat="1" applyFont="1" applyFill="1" applyBorder="1" applyAlignment="1" applyProtection="1">
      <alignment horizontal="center" vertical="center" wrapText="1"/>
    </xf>
    <xf numFmtId="3" fontId="61" fillId="15" borderId="123"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6" borderId="13" xfId="0" applyNumberFormat="1" applyFont="1" applyFill="1" applyBorder="1" applyAlignment="1" applyProtection="1">
      <alignment horizontal="left" vertical="center" wrapText="1" indent="1"/>
    </xf>
    <xf numFmtId="0" fontId="54" fillId="16" borderId="14" xfId="0" applyFont="1" applyFill="1" applyBorder="1" applyAlignment="1">
      <alignment horizontal="left" vertical="center" wrapText="1" indent="1"/>
    </xf>
    <xf numFmtId="49" fontId="62" fillId="12" borderId="13" xfId="0" applyNumberFormat="1" applyFont="1" applyFill="1" applyBorder="1" applyAlignment="1" applyProtection="1">
      <alignment horizontal="center" vertical="center"/>
    </xf>
    <xf numFmtId="0" fontId="54" fillId="12"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6" borderId="13" xfId="0" applyNumberFormat="1" applyFont="1" applyFill="1" applyBorder="1" applyAlignment="1" applyProtection="1">
      <alignment horizontal="left" vertical="center" indent="1"/>
    </xf>
    <xf numFmtId="0" fontId="54" fillId="16"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2"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6" borderId="54" xfId="0" applyFont="1" applyFill="1" applyBorder="1" applyAlignment="1" applyProtection="1">
      <alignment horizontal="left" vertical="center" indent="1"/>
    </xf>
    <xf numFmtId="0" fontId="61" fillId="16" borderId="57" xfId="0" applyFont="1" applyFill="1" applyBorder="1" applyAlignment="1" applyProtection="1">
      <alignment horizontal="left" vertical="center" indent="1"/>
    </xf>
    <xf numFmtId="0" fontId="61" fillId="16" borderId="61" xfId="0" applyFont="1" applyFill="1" applyBorder="1" applyAlignment="1" applyProtection="1">
      <alignment horizontal="left" vertical="center" indent="1"/>
    </xf>
    <xf numFmtId="0" fontId="61" fillId="16" borderId="141" xfId="0" applyFont="1" applyFill="1" applyBorder="1" applyAlignment="1" applyProtection="1">
      <alignment horizontal="left" vertical="center" indent="1"/>
    </xf>
    <xf numFmtId="0" fontId="61" fillId="16" borderId="140" xfId="0" applyFont="1" applyFill="1" applyBorder="1" applyAlignment="1" applyProtection="1">
      <alignment horizontal="left" vertical="center" indent="1"/>
    </xf>
    <xf numFmtId="0" fontId="61" fillId="3" borderId="141" xfId="0" applyFont="1" applyFill="1" applyBorder="1" applyAlignment="1" applyProtection="1">
      <alignment horizontal="left" vertical="center"/>
    </xf>
    <xf numFmtId="0" fontId="61" fillId="3" borderId="142" xfId="0" applyFont="1" applyFill="1" applyBorder="1" applyAlignment="1" applyProtection="1">
      <alignment horizontal="left" vertical="center"/>
    </xf>
    <xf numFmtId="0" fontId="62" fillId="12" borderId="46" xfId="0" applyFont="1" applyFill="1" applyBorder="1" applyAlignment="1" applyProtection="1">
      <alignment horizontal="left" vertical="center" wrapText="1"/>
    </xf>
    <xf numFmtId="0" fontId="54" fillId="12" borderId="6" xfId="0" applyFont="1" applyFill="1" applyBorder="1" applyAlignment="1">
      <alignment horizontal="left" wrapText="1"/>
    </xf>
    <xf numFmtId="0" fontId="54" fillId="12"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1" xfId="0" applyFont="1" applyBorder="1" applyAlignment="1" applyProtection="1">
      <alignment horizontal="left" vertical="center" wrapText="1" indent="1"/>
    </xf>
    <xf numFmtId="0" fontId="59" fillId="0" borderId="142"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0" xfId="0" applyFont="1" applyFill="1" applyBorder="1" applyAlignment="1" applyProtection="1">
      <alignment horizontal="left" vertical="center" indent="1"/>
    </xf>
    <xf numFmtId="0" fontId="62" fillId="23" borderId="141" xfId="0" applyFont="1" applyFill="1" applyBorder="1" applyAlignment="1" applyProtection="1">
      <alignment horizontal="left" vertical="center" indent="1"/>
    </xf>
    <xf numFmtId="0" fontId="62" fillId="23" borderId="142"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3" borderId="92"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93" xfId="0" applyFont="1" applyFill="1" applyBorder="1" applyAlignment="1">
      <alignment horizontal="center" vertical="center" wrapText="1"/>
    </xf>
    <xf numFmtId="0" fontId="119" fillId="23" borderId="94"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16" fillId="0" borderId="96" xfId="17" applyFont="1" applyBorder="1" applyAlignment="1">
      <alignment horizontal="left" vertical="top" wrapText="1"/>
    </xf>
    <xf numFmtId="0" fontId="116" fillId="0" borderId="0" xfId="17" applyFont="1" applyBorder="1" applyAlignment="1">
      <alignment horizontal="left" vertical="top" wrapText="1"/>
    </xf>
    <xf numFmtId="0" fontId="116" fillId="0" borderId="97" xfId="17" applyFont="1" applyBorder="1" applyAlignment="1">
      <alignment horizontal="left" vertical="top" wrapText="1"/>
    </xf>
    <xf numFmtId="0" fontId="115" fillId="23" borderId="134" xfId="17" applyFont="1" applyFill="1" applyBorder="1" applyAlignment="1">
      <alignment horizontal="center" vertical="center"/>
    </xf>
    <xf numFmtId="0" fontId="115" fillId="23" borderId="135" xfId="17" applyFont="1" applyFill="1" applyBorder="1" applyAlignment="1">
      <alignment horizontal="center" vertical="center"/>
    </xf>
    <xf numFmtId="0" fontId="115" fillId="23" borderId="136" xfId="17" applyFont="1" applyFill="1" applyBorder="1" applyAlignment="1">
      <alignment horizontal="center" vertical="center"/>
    </xf>
    <xf numFmtId="0" fontId="115" fillId="23" borderId="98" xfId="17" applyFont="1" applyFill="1" applyBorder="1" applyAlignment="1">
      <alignment horizontal="center" vertical="center"/>
    </xf>
    <xf numFmtId="0" fontId="115" fillId="23" borderId="78" xfId="17" applyFont="1" applyFill="1" applyBorder="1" applyAlignment="1">
      <alignment horizontal="center" vertical="center"/>
    </xf>
    <xf numFmtId="0" fontId="115" fillId="23" borderId="99" xfId="17" applyFont="1" applyFill="1" applyBorder="1" applyAlignment="1">
      <alignment horizontal="center" vertical="center"/>
    </xf>
    <xf numFmtId="0" fontId="116" fillId="0" borderId="96" xfId="17" applyFont="1" applyBorder="1" applyAlignment="1">
      <alignment vertical="top" wrapText="1"/>
    </xf>
    <xf numFmtId="0" fontId="116" fillId="0" borderId="0" xfId="17" applyFont="1" applyBorder="1" applyAlignment="1">
      <alignment vertical="top" wrapText="1"/>
    </xf>
    <xf numFmtId="0" fontId="116" fillId="0" borderId="97" xfId="17" applyFont="1" applyBorder="1" applyAlignment="1">
      <alignment vertical="top" wrapText="1"/>
    </xf>
    <xf numFmtId="0" fontId="116" fillId="0" borderId="96" xfId="17" applyFont="1" applyBorder="1" applyAlignment="1">
      <alignment vertical="top"/>
    </xf>
    <xf numFmtId="0" fontId="116" fillId="0" borderId="0" xfId="17" applyFont="1" applyBorder="1" applyAlignment="1">
      <alignment vertical="top"/>
    </xf>
    <xf numFmtId="0" fontId="116"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19" borderId="13" xfId="0" applyFont="1" applyFill="1" applyBorder="1" applyAlignment="1" applyProtection="1">
      <alignment horizontal="left" vertical="center" wrapText="1" indent="1"/>
    </xf>
    <xf numFmtId="0" fontId="54" fillId="19" borderId="21" xfId="0" applyFont="1" applyFill="1" applyBorder="1" applyAlignment="1">
      <alignment horizontal="left" vertical="center" wrapText="1" indent="1"/>
    </xf>
    <xf numFmtId="0" fontId="54" fillId="19" borderId="14" xfId="0" applyFont="1" applyFill="1" applyBorder="1" applyAlignment="1">
      <alignment horizontal="left" vertical="center" wrapText="1" indent="1"/>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0" xfId="3" applyFont="1" applyBorder="1" applyAlignment="1">
      <alignment horizontal="center" vertical="center" wrapText="1"/>
    </xf>
    <xf numFmtId="0" fontId="70" fillId="0" borderId="130" xfId="3" applyNumberFormat="1" applyFont="1" applyBorder="1" applyAlignment="1">
      <alignment horizontal="center"/>
    </xf>
    <xf numFmtId="0" fontId="54" fillId="0" borderId="131" xfId="3" applyNumberFormat="1" applyFont="1" applyBorder="1" applyAlignment="1" applyProtection="1">
      <alignment horizontal="center"/>
      <protection locked="0"/>
    </xf>
    <xf numFmtId="171" fontId="54" fillId="0" borderId="131" xfId="3" applyNumberFormat="1" applyFont="1" applyBorder="1" applyAlignment="1" applyProtection="1">
      <alignment horizontal="center"/>
      <protection locked="0"/>
    </xf>
    <xf numFmtId="0" fontId="54" fillId="0" borderId="131"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2" borderId="13" xfId="3" applyFont="1" applyFill="1" applyBorder="1" applyAlignment="1">
      <alignment horizontal="center" vertical="center" wrapText="1"/>
    </xf>
    <xf numFmtId="0" fontId="62" fillId="12" borderId="21" xfId="3" applyFont="1" applyFill="1" applyBorder="1" applyAlignment="1">
      <alignment horizontal="center" vertical="center" wrapText="1"/>
    </xf>
    <xf numFmtId="0" fontId="62" fillId="12" borderId="14" xfId="3" applyFont="1" applyFill="1" applyBorder="1" applyAlignment="1">
      <alignment horizontal="center" vertical="center" wrapText="1"/>
    </xf>
    <xf numFmtId="0" fontId="54" fillId="0" borderId="0" xfId="3" applyFont="1" applyBorder="1" applyAlignment="1">
      <alignment wrapText="1"/>
    </xf>
    <xf numFmtId="0" fontId="98" fillId="0" borderId="109" xfId="3" applyFont="1" applyBorder="1" applyAlignment="1">
      <alignment horizontal="center" vertical="center" wrapText="1"/>
    </xf>
    <xf numFmtId="0" fontId="98" fillId="0" borderId="0" xfId="3" applyFont="1" applyBorder="1" applyAlignment="1">
      <alignment horizontal="center" vertical="center" wrapText="1"/>
    </xf>
    <xf numFmtId="0" fontId="98" fillId="0" borderId="110" xfId="3" applyFont="1" applyBorder="1" applyAlignment="1">
      <alignment horizontal="center" vertical="center" wrapText="1"/>
    </xf>
    <xf numFmtId="0" fontId="98" fillId="0" borderId="111" xfId="3" applyFont="1" applyBorder="1" applyAlignment="1">
      <alignment horizontal="center" vertical="center" wrapText="1"/>
    </xf>
    <xf numFmtId="0" fontId="98" fillId="0" borderId="112" xfId="3" applyFont="1" applyBorder="1" applyAlignment="1">
      <alignment horizontal="center" vertical="center" wrapText="1"/>
    </xf>
    <xf numFmtId="0" fontId="98" fillId="0" borderId="113" xfId="3" applyFont="1" applyBorder="1" applyAlignment="1">
      <alignment horizontal="center" vertical="center" wrapText="1"/>
    </xf>
    <xf numFmtId="0" fontId="99" fillId="0" borderId="13" xfId="3" applyNumberFormat="1" applyFont="1" applyBorder="1" applyAlignment="1">
      <alignment vertical="top" wrapText="1"/>
    </xf>
    <xf numFmtId="0" fontId="99" fillId="0" borderId="21" xfId="3" applyNumberFormat="1" applyFont="1" applyBorder="1" applyAlignment="1">
      <alignment vertical="top" wrapText="1"/>
    </xf>
    <xf numFmtId="0" fontId="99"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1" fillId="12" borderId="122" xfId="0" applyFont="1" applyFill="1" applyBorder="1" applyAlignment="1">
      <alignment horizontal="center" vertical="center"/>
    </xf>
    <xf numFmtId="0" fontId="101" fillId="12" borderId="125" xfId="0" applyFont="1" applyFill="1" applyBorder="1" applyAlignment="1">
      <alignment horizontal="center" vertical="center"/>
    </xf>
    <xf numFmtId="0" fontId="101" fillId="12" borderId="147" xfId="0" applyFont="1" applyFill="1" applyBorder="1" applyAlignment="1">
      <alignment horizontal="center" vertical="center"/>
    </xf>
    <xf numFmtId="164" fontId="101" fillId="12" borderId="17" xfId="0" applyNumberFormat="1" applyFont="1" applyFill="1" applyBorder="1" applyAlignment="1">
      <alignment horizontal="center" vertical="center"/>
    </xf>
    <xf numFmtId="164" fontId="101" fillId="12" borderId="0" xfId="0" applyNumberFormat="1" applyFont="1" applyFill="1" applyBorder="1" applyAlignment="1">
      <alignment horizontal="center" vertical="center"/>
    </xf>
    <xf numFmtId="164" fontId="101" fillId="12" borderId="63" xfId="0" applyNumberFormat="1" applyFont="1" applyFill="1" applyBorder="1" applyAlignment="1">
      <alignment horizontal="center" vertical="center"/>
    </xf>
    <xf numFmtId="164" fontId="58" fillId="12" borderId="122" xfId="0" applyNumberFormat="1" applyFont="1" applyFill="1" applyBorder="1" applyAlignment="1">
      <alignment horizontal="center" vertical="top"/>
    </xf>
    <xf numFmtId="164" fontId="102" fillId="12" borderId="125" xfId="0" applyNumberFormat="1" applyFont="1" applyFill="1" applyBorder="1" applyAlignment="1">
      <alignment horizontal="center" vertical="top"/>
    </xf>
    <xf numFmtId="164" fontId="102" fillId="12" borderId="147" xfId="0" applyNumberFormat="1" applyFont="1" applyFill="1" applyBorder="1" applyAlignment="1">
      <alignment horizontal="center" vertical="top"/>
    </xf>
    <xf numFmtId="0" fontId="102"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02" fillId="0" borderId="125" xfId="0" applyNumberFormat="1" applyFont="1" applyBorder="1" applyAlignment="1">
      <alignment horizontal="left" vertical="center" wrapText="1"/>
    </xf>
    <xf numFmtId="0" fontId="54" fillId="0" borderId="123" xfId="0" applyFont="1" applyBorder="1" applyAlignment="1">
      <alignment horizontal="left" vertical="center" wrapText="1"/>
    </xf>
    <xf numFmtId="0" fontId="102"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02"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0" xfId="3" applyNumberFormat="1" applyFont="1" applyBorder="1" applyProtection="1"/>
    <xf numFmtId="0" fontId="52" fillId="0" borderId="141"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1" xfId="3" applyNumberFormat="1" applyFont="1" applyBorder="1" applyAlignment="1" applyProtection="1">
      <alignment horizontal="left" indent="1"/>
      <protection locked="0"/>
    </xf>
    <xf numFmtId="0" fontId="62" fillId="0" borderId="141" xfId="3" applyFont="1" applyBorder="1" applyAlignment="1" applyProtection="1">
      <alignment horizontal="left" indent="1"/>
      <protection locked="0"/>
    </xf>
    <xf numFmtId="0" fontId="62" fillId="0" borderId="142"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43" xfId="3" applyNumberFormat="1" applyFont="1" applyBorder="1" applyAlignment="1" applyProtection="1">
      <protection locked="0"/>
    </xf>
    <xf numFmtId="0" fontId="62" fillId="0" borderId="144"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1" fillId="0" borderId="143"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44"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3" xfId="3" applyNumberFormat="1" applyFont="1" applyBorder="1" applyProtection="1">
      <protection locked="0"/>
    </xf>
    <xf numFmtId="6" fontId="59" fillId="0" borderId="144"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43"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44"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3" xfId="3" applyFont="1" applyBorder="1" applyAlignment="1" applyProtection="1">
      <alignment horizontal="center"/>
    </xf>
    <xf numFmtId="0" fontId="59" fillId="0" borderId="76" xfId="3" applyFont="1" applyBorder="1" applyAlignment="1" applyProtection="1">
      <alignment horizontal="center"/>
    </xf>
    <xf numFmtId="0" fontId="59" fillId="0" borderId="144" xfId="3" applyFont="1" applyBorder="1" applyAlignment="1" applyProtection="1">
      <alignment horizontal="center"/>
    </xf>
    <xf numFmtId="38" fontId="59" fillId="0" borderId="143"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44"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38"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1447800</xdr:colOff>
          <xdr:row>0</xdr:row>
          <xdr:rowOff>28575</xdr:rowOff>
        </xdr:from>
        <xdr:to>
          <xdr:col>1</xdr:col>
          <xdr:colOff>2352675</xdr:colOff>
          <xdr:row>4</xdr:row>
          <xdr:rowOff>66675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019DTA/AFR19_Shared%20Services/28-006-0840-04_SS19%20Malden%20CCSD%20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red Outsourced Services 31"/>
    </sheetNames>
    <sheetDataSet>
      <sheetData sheetId="0">
        <row r="34">
          <cell r="K34">
            <v>20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0.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1953</v>
      </c>
      <c r="B1" s="45"/>
      <c r="C1" s="45"/>
      <c r="D1" s="46"/>
      <c r="I1" s="1975" t="s">
        <v>405</v>
      </c>
      <c r="J1" s="1976"/>
      <c r="K1" s="1976"/>
      <c r="L1" s="1976"/>
      <c r="M1" s="1976"/>
      <c r="N1" s="1976"/>
      <c r="O1" s="1976"/>
      <c r="P1" s="1976"/>
      <c r="Q1" s="1976"/>
      <c r="R1" s="1976"/>
      <c r="S1" s="1976"/>
    </row>
    <row r="2" spans="1:28" ht="12" customHeight="1" x14ac:dyDescent="0.2">
      <c r="A2" s="47" t="s">
        <v>1954</v>
      </c>
      <c r="D2" s="48"/>
      <c r="I2" s="1977" t="s">
        <v>979</v>
      </c>
      <c r="J2" s="1976"/>
      <c r="K2" s="1976"/>
      <c r="L2" s="1976"/>
      <c r="M2" s="1976"/>
      <c r="N2" s="1976"/>
      <c r="O2" s="1976"/>
      <c r="P2" s="1976"/>
      <c r="Q2" s="1976"/>
      <c r="R2" s="1976"/>
      <c r="S2" s="1976"/>
    </row>
    <row r="3" spans="1:28" ht="12" customHeight="1" x14ac:dyDescent="0.2">
      <c r="A3" s="155" t="s">
        <v>1907</v>
      </c>
      <c r="B3" s="156"/>
      <c r="C3" s="156"/>
      <c r="D3" s="157"/>
      <c r="I3" s="1977" t="s">
        <v>52</v>
      </c>
      <c r="J3" s="1976"/>
      <c r="K3" s="1976"/>
      <c r="L3" s="1976"/>
      <c r="M3" s="1976"/>
      <c r="N3" s="1976"/>
      <c r="O3" s="1976"/>
      <c r="P3" s="1976"/>
      <c r="Q3" s="1976"/>
      <c r="R3" s="1976"/>
      <c r="S3" s="1976"/>
    </row>
    <row r="4" spans="1:28" ht="12" customHeight="1" x14ac:dyDescent="0.2">
      <c r="A4" s="37"/>
      <c r="I4" s="1977" t="s">
        <v>524</v>
      </c>
      <c r="J4" s="1976"/>
      <c r="K4" s="1976"/>
      <c r="L4" s="1976"/>
      <c r="M4" s="1976"/>
      <c r="N4" s="1976"/>
      <c r="O4" s="1976"/>
      <c r="P4" s="1976"/>
      <c r="Q4" s="1976"/>
      <c r="R4" s="1976"/>
      <c r="S4" s="1976"/>
    </row>
    <row r="5" spans="1:28" ht="14.1" customHeight="1" x14ac:dyDescent="0.2">
      <c r="B5" s="104" t="s">
        <v>2025</v>
      </c>
      <c r="C5" s="26" t="s">
        <v>910</v>
      </c>
      <c r="D5" s="84"/>
      <c r="E5" s="84"/>
      <c r="H5" s="38"/>
      <c r="I5" s="1984" t="s">
        <v>680</v>
      </c>
      <c r="J5" s="1929"/>
      <c r="K5" s="1929"/>
      <c r="L5" s="1929"/>
      <c r="M5" s="1929"/>
      <c r="N5" s="1929"/>
      <c r="O5" s="1929"/>
      <c r="P5" s="1929"/>
      <c r="Q5" s="1929"/>
      <c r="R5" s="1929"/>
      <c r="S5" s="1929"/>
    </row>
    <row r="6" spans="1:28" ht="14.1" customHeight="1" x14ac:dyDescent="0.2">
      <c r="B6" s="104"/>
      <c r="C6" s="26" t="s">
        <v>911</v>
      </c>
      <c r="D6" s="84"/>
      <c r="E6" s="84"/>
      <c r="I6" s="1983" t="s">
        <v>883</v>
      </c>
      <c r="J6" s="1929"/>
      <c r="K6" s="1929"/>
      <c r="L6" s="1929"/>
      <c r="M6" s="1929"/>
      <c r="N6" s="1929"/>
      <c r="O6" s="1929"/>
      <c r="P6" s="1929"/>
      <c r="Q6" s="1929"/>
      <c r="R6" s="1929"/>
      <c r="S6" s="1929"/>
    </row>
    <row r="7" spans="1:28" ht="12.2" customHeight="1" x14ac:dyDescent="0.2">
      <c r="I7" s="1978">
        <v>43646</v>
      </c>
      <c r="J7" s="1979"/>
      <c r="K7" s="1979"/>
      <c r="L7" s="1979"/>
      <c r="M7" s="1979"/>
      <c r="N7" s="1979"/>
      <c r="O7" s="1979"/>
      <c r="P7" s="1979"/>
      <c r="Q7" s="1979"/>
      <c r="R7" s="1979"/>
      <c r="S7" s="197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0" t="s">
        <v>674</v>
      </c>
      <c r="J9" s="1981"/>
      <c r="K9" s="1981"/>
      <c r="L9" s="1981"/>
      <c r="M9" s="1981"/>
      <c r="N9" s="1981"/>
      <c r="O9" s="1981"/>
      <c r="P9" s="1981"/>
      <c r="Q9" s="1981"/>
      <c r="R9" s="1981"/>
      <c r="S9" s="1982"/>
      <c r="T9" s="1925" t="s">
        <v>533</v>
      </c>
      <c r="U9" s="1926"/>
      <c r="V9" s="1926"/>
      <c r="W9" s="1926"/>
      <c r="X9" s="1926"/>
      <c r="Y9" s="1926"/>
      <c r="Z9" s="1926"/>
      <c r="AA9" s="1927"/>
    </row>
    <row r="10" spans="1:28" ht="13.5" customHeight="1" x14ac:dyDescent="0.2">
      <c r="A10" s="1934" t="s">
        <v>675</v>
      </c>
      <c r="B10" s="1935"/>
      <c r="C10" s="1935"/>
      <c r="D10" s="1935"/>
      <c r="E10" s="1935"/>
      <c r="F10" s="1935"/>
      <c r="G10" s="1935"/>
      <c r="H10" s="1936"/>
      <c r="I10" s="29"/>
      <c r="J10" s="30"/>
      <c r="K10" s="28"/>
      <c r="R10" s="30"/>
      <c r="S10" s="30"/>
      <c r="T10" s="1928"/>
      <c r="U10" s="1929"/>
      <c r="V10" s="1929"/>
      <c r="W10" s="1929"/>
      <c r="X10" s="1929"/>
      <c r="Y10" s="1929"/>
      <c r="Z10" s="1929"/>
      <c r="AA10" s="1930"/>
    </row>
    <row r="11" spans="1:28" ht="14.25" customHeight="1" x14ac:dyDescent="0.2">
      <c r="A11" s="1937" t="s">
        <v>955</v>
      </c>
      <c r="B11" s="1938"/>
      <c r="C11" s="1938"/>
      <c r="D11" s="1938"/>
      <c r="E11" s="1938"/>
      <c r="F11" s="1938"/>
      <c r="G11" s="1938"/>
      <c r="H11" s="1939"/>
      <c r="I11" s="27"/>
      <c r="J11" s="74"/>
      <c r="K11" s="27"/>
      <c r="O11" s="148" t="s">
        <v>2030</v>
      </c>
      <c r="P11" s="100" t="s">
        <v>201</v>
      </c>
      <c r="Q11" s="30"/>
      <c r="R11" s="28"/>
      <c r="S11" s="27"/>
      <c r="T11" s="1931"/>
      <c r="U11" s="1932"/>
      <c r="V11" s="1932"/>
      <c r="W11" s="1932"/>
      <c r="X11" s="1932"/>
      <c r="Y11" s="1932"/>
      <c r="Z11" s="1932"/>
      <c r="AA11" s="193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45">
        <v>28006084004</v>
      </c>
      <c r="B13" s="1946"/>
      <c r="C13" s="1946"/>
      <c r="D13" s="1946"/>
      <c r="E13" s="1946"/>
      <c r="F13" s="1946"/>
      <c r="G13" s="1946"/>
      <c r="H13" s="1947"/>
      <c r="I13" s="31"/>
      <c r="J13" s="30"/>
      <c r="K13" s="28"/>
      <c r="L13" s="30"/>
      <c r="M13" s="30"/>
      <c r="N13" s="30"/>
      <c r="O13" s="30"/>
      <c r="P13" s="30"/>
      <c r="Q13" s="30"/>
      <c r="R13" s="30"/>
      <c r="S13" s="30"/>
      <c r="T13" s="1950" t="s">
        <v>2035</v>
      </c>
      <c r="U13" s="1951"/>
      <c r="V13" s="1951"/>
      <c r="W13" s="1951"/>
      <c r="X13" s="1951"/>
      <c r="Y13" s="1952"/>
      <c r="Z13" s="1952"/>
      <c r="AA13" s="195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43" t="s">
        <v>2026</v>
      </c>
      <c r="B15" s="1948"/>
      <c r="C15" s="1948"/>
      <c r="D15" s="1948"/>
      <c r="E15" s="1948"/>
      <c r="F15" s="1948"/>
      <c r="G15" s="1948"/>
      <c r="H15" s="1949"/>
      <c r="T15" s="1911" t="s">
        <v>2036</v>
      </c>
      <c r="U15" s="1912"/>
      <c r="V15" s="1912"/>
      <c r="W15" s="1912"/>
      <c r="X15" s="1912"/>
      <c r="Y15" s="1954"/>
      <c r="Z15" s="1954"/>
      <c r="AA15" s="195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03" t="s">
        <v>2027</v>
      </c>
      <c r="B17" s="1973"/>
      <c r="C17" s="1973"/>
      <c r="D17" s="1973"/>
      <c r="E17" s="1973"/>
      <c r="F17" s="1973"/>
      <c r="G17" s="1973"/>
      <c r="H17" s="1974"/>
      <c r="T17" s="1960" t="s">
        <v>2037</v>
      </c>
      <c r="U17" s="1961"/>
      <c r="V17" s="1961"/>
      <c r="W17" s="1961"/>
      <c r="X17" s="1961"/>
      <c r="Y17" s="1961"/>
      <c r="Z17" s="1961"/>
      <c r="AA17" s="1962"/>
    </row>
    <row r="18" spans="1:27" ht="13.5" customHeight="1" x14ac:dyDescent="0.2">
      <c r="A18" s="85" t="s">
        <v>530</v>
      </c>
      <c r="B18" s="76"/>
      <c r="C18" s="72"/>
      <c r="D18" s="76"/>
      <c r="E18" s="76"/>
      <c r="F18" s="76"/>
      <c r="G18" s="76"/>
      <c r="H18" s="56"/>
      <c r="I18" s="1970" t="s">
        <v>676</v>
      </c>
      <c r="J18" s="1971"/>
      <c r="K18" s="1971"/>
      <c r="L18" s="1971"/>
      <c r="M18" s="1971"/>
      <c r="N18" s="1971"/>
      <c r="O18" s="1971"/>
      <c r="P18" s="1971"/>
      <c r="Q18" s="1971"/>
      <c r="R18" s="1971"/>
      <c r="S18" s="1972"/>
      <c r="T18" s="85" t="s">
        <v>711</v>
      </c>
      <c r="U18" s="51"/>
      <c r="V18" s="72"/>
      <c r="W18" s="50"/>
      <c r="X18" s="85" t="s">
        <v>266</v>
      </c>
      <c r="Y18" s="81"/>
      <c r="Z18" s="159" t="s">
        <v>677</v>
      </c>
      <c r="AA18" s="46"/>
    </row>
    <row r="19" spans="1:27" ht="13.5" customHeight="1" x14ac:dyDescent="0.2">
      <c r="A19" s="1943" t="s">
        <v>2028</v>
      </c>
      <c r="B19" s="1944"/>
      <c r="C19" s="1944"/>
      <c r="D19" s="1944"/>
      <c r="E19" s="1944"/>
      <c r="F19" s="1944"/>
      <c r="G19" s="1944"/>
      <c r="H19" s="1942"/>
      <c r="I19" s="30"/>
      <c r="J19" s="99"/>
      <c r="K19" s="40"/>
      <c r="L19" s="38"/>
      <c r="M19" s="112" t="s">
        <v>315</v>
      </c>
      <c r="P19" s="27"/>
      <c r="Q19" s="27"/>
      <c r="R19" s="27"/>
      <c r="S19" s="31"/>
      <c r="T19" s="1943" t="s">
        <v>2038</v>
      </c>
      <c r="U19" s="1941"/>
      <c r="V19" s="1941"/>
      <c r="W19" s="1942"/>
      <c r="X19" s="1958" t="s">
        <v>2039</v>
      </c>
      <c r="Y19" s="1959"/>
      <c r="Z19" s="1956">
        <v>61326</v>
      </c>
      <c r="AA19" s="195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2029</v>
      </c>
      <c r="B21" s="1941"/>
      <c r="C21" s="1941"/>
      <c r="D21" s="1941"/>
      <c r="E21" s="1941"/>
      <c r="F21" s="1941"/>
      <c r="G21" s="1941"/>
      <c r="H21" s="1942"/>
      <c r="I21" s="1966" t="s">
        <v>678</v>
      </c>
      <c r="J21" s="1929"/>
      <c r="K21" s="1929"/>
      <c r="L21" s="1929"/>
      <c r="M21" s="1929"/>
      <c r="N21" s="1929"/>
      <c r="O21" s="1929"/>
      <c r="P21" s="1929"/>
      <c r="Q21" s="1929"/>
      <c r="R21" s="1929"/>
      <c r="S21" s="1930"/>
      <c r="T21" s="1908" t="s">
        <v>2040</v>
      </c>
      <c r="U21" s="1909"/>
      <c r="V21" s="1909"/>
      <c r="W21" s="1909"/>
      <c r="X21" s="1922" t="s">
        <v>2041</v>
      </c>
      <c r="Y21" s="1923"/>
      <c r="Z21" s="1923"/>
      <c r="AA21" s="1924"/>
    </row>
    <row r="22" spans="1:27" ht="13.5" customHeight="1" x14ac:dyDescent="0.2">
      <c r="A22" s="87" t="s">
        <v>531</v>
      </c>
      <c r="B22" s="59"/>
      <c r="C22" s="59"/>
      <c r="D22" s="59"/>
      <c r="E22" s="59"/>
      <c r="F22" s="59"/>
      <c r="G22" s="59"/>
      <c r="H22" s="60"/>
      <c r="I22" s="1967" t="s">
        <v>1415</v>
      </c>
      <c r="J22" s="1968"/>
      <c r="K22" s="1968"/>
      <c r="L22" s="1968"/>
      <c r="M22" s="1968"/>
      <c r="N22" s="1968"/>
      <c r="O22" s="1968"/>
      <c r="P22" s="1968"/>
      <c r="Q22" s="1968"/>
      <c r="R22" s="1968"/>
      <c r="S22" s="1969"/>
      <c r="T22" s="85" t="s">
        <v>1502</v>
      </c>
      <c r="U22" s="51"/>
      <c r="V22" s="72"/>
      <c r="W22" s="51"/>
      <c r="X22" s="160" t="s">
        <v>1318</v>
      </c>
      <c r="Z22" s="45"/>
      <c r="AA22" s="46"/>
    </row>
    <row r="23" spans="1:27" ht="13.5" customHeight="1" x14ac:dyDescent="0.2">
      <c r="A23" s="1963" t="s">
        <v>2031</v>
      </c>
      <c r="B23" s="1964"/>
      <c r="C23" s="1964"/>
      <c r="D23" s="1964"/>
      <c r="E23" s="1964"/>
      <c r="F23" s="1964"/>
      <c r="G23" s="1964"/>
      <c r="H23" s="1965"/>
      <c r="T23" s="1903" t="s">
        <v>2057</v>
      </c>
      <c r="U23" s="1904"/>
      <c r="V23" s="1904"/>
      <c r="W23" s="1904"/>
      <c r="X23" s="1919">
        <v>44530</v>
      </c>
      <c r="Y23" s="1920"/>
      <c r="Z23" s="1920"/>
      <c r="AA23" s="1921"/>
    </row>
    <row r="24" spans="1:27" ht="14.1" customHeight="1" x14ac:dyDescent="0.2">
      <c r="A24" s="88" t="s">
        <v>677</v>
      </c>
      <c r="B24" s="49"/>
      <c r="C24" s="49"/>
      <c r="D24" s="49"/>
      <c r="E24" s="49"/>
      <c r="F24" s="49"/>
      <c r="G24" s="49"/>
      <c r="H24" s="61"/>
      <c r="J24" s="2005">
        <f>IF(B5="x",IF(AUDITCHECK!D29="AFR form Incomplete.","",IF(AUDITCHECK!D29="Deficit reduction plan is required.","School District must complete a deficit reduction plan in the 2019-2020 Budget",)),"")</f>
        <v>0</v>
      </c>
      <c r="K24" s="2005"/>
      <c r="L24" s="2005"/>
      <c r="M24" s="2005"/>
      <c r="N24" s="2005"/>
      <c r="O24" s="2005"/>
      <c r="P24" s="2005"/>
      <c r="Q24" s="2005"/>
      <c r="R24" s="2005"/>
      <c r="S24" s="2006"/>
      <c r="T24" s="105" t="s">
        <v>531</v>
      </c>
      <c r="U24" s="106"/>
      <c r="V24" s="106"/>
      <c r="W24" s="106"/>
      <c r="X24" s="107"/>
      <c r="Y24" s="107"/>
      <c r="Z24" s="107"/>
      <c r="AA24" s="108"/>
    </row>
    <row r="25" spans="1:27" ht="14.1" customHeight="1" x14ac:dyDescent="0.2">
      <c r="A25" s="1940">
        <v>61337</v>
      </c>
      <c r="B25" s="1941"/>
      <c r="C25" s="1941"/>
      <c r="D25" s="1941"/>
      <c r="E25" s="1941"/>
      <c r="F25" s="1941"/>
      <c r="G25" s="1941"/>
      <c r="H25" s="1942"/>
      <c r="I25" s="113"/>
      <c r="J25" s="2007"/>
      <c r="K25" s="2007"/>
      <c r="L25" s="2007"/>
      <c r="M25" s="2007"/>
      <c r="N25" s="2007"/>
      <c r="O25" s="2007"/>
      <c r="P25" s="2007"/>
      <c r="Q25" s="2007"/>
      <c r="R25" s="2007"/>
      <c r="S25" s="2008"/>
      <c r="T25" s="1900" t="s">
        <v>2042</v>
      </c>
      <c r="U25" s="1901"/>
      <c r="V25" s="1901"/>
      <c r="W25" s="1901"/>
      <c r="X25" s="1901"/>
      <c r="Y25" s="1901"/>
      <c r="Z25" s="1901"/>
      <c r="AA25" s="190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98" t="s">
        <v>1497</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2030</v>
      </c>
      <c r="M29" s="40" t="s">
        <v>99</v>
      </c>
      <c r="N29" s="32" t="s">
        <v>1509</v>
      </c>
      <c r="O29" s="32"/>
      <c r="P29" s="32"/>
      <c r="Q29" s="32"/>
      <c r="R29" s="32"/>
      <c r="S29" s="123"/>
      <c r="T29" s="6"/>
      <c r="U29" s="6"/>
      <c r="V29" s="6"/>
      <c r="W29" s="6"/>
      <c r="X29" s="6"/>
      <c r="Y29" s="6"/>
      <c r="Z29" s="6"/>
      <c r="AA29" s="132"/>
    </row>
    <row r="30" spans="1:27" ht="13.5" customHeight="1" x14ac:dyDescent="0.2">
      <c r="A30" s="153"/>
      <c r="B30" s="136" t="s">
        <v>2030</v>
      </c>
      <c r="C30" s="124" t="s">
        <v>1164</v>
      </c>
      <c r="D30" s="28"/>
      <c r="E30" s="28"/>
      <c r="F30" s="140"/>
      <c r="G30" s="114"/>
      <c r="H30" s="114"/>
      <c r="I30" s="54"/>
      <c r="J30" s="102"/>
      <c r="K30" s="28" t="s">
        <v>576</v>
      </c>
      <c r="L30" s="148" t="s">
        <v>2030</v>
      </c>
      <c r="M30" s="40" t="s">
        <v>99</v>
      </c>
      <c r="N30" s="32" t="s">
        <v>1498</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2030</v>
      </c>
      <c r="M31" s="40" t="s">
        <v>99</v>
      </c>
      <c r="N31" s="32" t="s">
        <v>1569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2030</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44"/>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03" t="s">
        <v>2032</v>
      </c>
      <c r="B38" s="1973"/>
      <c r="C38" s="1973"/>
      <c r="D38" s="1973"/>
      <c r="E38" s="1973"/>
      <c r="F38" s="1941"/>
      <c r="G38" s="1941"/>
      <c r="H38" s="1942"/>
      <c r="I38" s="1992"/>
      <c r="J38" s="1912"/>
      <c r="K38" s="1912"/>
      <c r="L38" s="1912"/>
      <c r="M38" s="1912"/>
      <c r="N38" s="1912"/>
      <c r="O38" s="1912"/>
      <c r="P38" s="1913"/>
      <c r="Q38" s="1913"/>
      <c r="R38" s="1913"/>
      <c r="S38" s="1914"/>
      <c r="T38" s="1911"/>
      <c r="U38" s="1912"/>
      <c r="V38" s="1912"/>
      <c r="W38" s="1912"/>
      <c r="X38" s="1913"/>
      <c r="Y38" s="1913"/>
      <c r="Z38" s="1913"/>
      <c r="AA38" s="1914"/>
    </row>
    <row r="39" spans="1:27" ht="12" customHeight="1" x14ac:dyDescent="0.2">
      <c r="A39" s="1996" t="s">
        <v>531</v>
      </c>
      <c r="B39" s="1997"/>
      <c r="C39" s="72"/>
      <c r="D39" s="69"/>
      <c r="E39" s="69"/>
      <c r="F39" s="79"/>
      <c r="G39" s="69"/>
      <c r="H39" s="56"/>
      <c r="I39" s="1996" t="s">
        <v>531</v>
      </c>
      <c r="J39" s="1997"/>
      <c r="K39" s="1997"/>
      <c r="L39" s="1997"/>
      <c r="M39" s="1997"/>
      <c r="N39" s="67"/>
      <c r="O39" s="72"/>
      <c r="P39" s="72"/>
      <c r="Q39" s="78"/>
      <c r="R39" s="72"/>
      <c r="S39" s="56"/>
      <c r="T39" s="72" t="s">
        <v>531</v>
      </c>
      <c r="U39" s="51"/>
      <c r="V39" s="72"/>
      <c r="W39" s="50"/>
      <c r="X39" s="78"/>
      <c r="Y39" s="45"/>
      <c r="Z39" s="45"/>
      <c r="AA39" s="46"/>
    </row>
    <row r="40" spans="1:27" ht="13.5" customHeight="1" x14ac:dyDescent="0.2">
      <c r="A40" s="1999" t="s">
        <v>2031</v>
      </c>
      <c r="B40" s="2000"/>
      <c r="C40" s="2001"/>
      <c r="D40" s="2001"/>
      <c r="E40" s="2001"/>
      <c r="F40" s="2002"/>
      <c r="G40" s="2002"/>
      <c r="H40" s="2003"/>
      <c r="I40" s="1915"/>
      <c r="J40" s="1917"/>
      <c r="K40" s="1917"/>
      <c r="L40" s="1917"/>
      <c r="M40" s="1917"/>
      <c r="N40" s="1917"/>
      <c r="O40" s="1917"/>
      <c r="P40" s="1917"/>
      <c r="Q40" s="1917"/>
      <c r="R40" s="1917"/>
      <c r="S40" s="1918"/>
      <c r="T40" s="1915"/>
      <c r="U40" s="1916"/>
      <c r="V40" s="1917"/>
      <c r="W40" s="1917"/>
      <c r="X40" s="1917"/>
      <c r="Y40" s="1917"/>
      <c r="Z40" s="1917"/>
      <c r="AA40" s="191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9" t="s">
        <v>2033</v>
      </c>
      <c r="B42" s="1990"/>
      <c r="C42" s="1991"/>
      <c r="D42" s="2004" t="s">
        <v>2034</v>
      </c>
      <c r="E42" s="1990"/>
      <c r="F42" s="1990"/>
      <c r="G42" s="1990"/>
      <c r="H42" s="1991"/>
      <c r="I42" s="1910"/>
      <c r="J42" s="1906"/>
      <c r="K42" s="1906"/>
      <c r="L42" s="1906"/>
      <c r="M42" s="1906"/>
      <c r="N42" s="1906"/>
      <c r="O42" s="1907"/>
      <c r="P42" s="1905"/>
      <c r="Q42" s="1906"/>
      <c r="R42" s="1906"/>
      <c r="S42" s="1907"/>
      <c r="T42" s="1910"/>
      <c r="U42" s="1906"/>
      <c r="V42" s="1906"/>
      <c r="W42" s="1907"/>
      <c r="X42" s="1905"/>
      <c r="Y42" s="1906"/>
      <c r="Z42" s="1906"/>
      <c r="AA42" s="190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3"/>
      <c r="B44" s="1994"/>
      <c r="C44" s="1994"/>
      <c r="D44" s="1994"/>
      <c r="E44" s="1994"/>
      <c r="F44" s="1994"/>
      <c r="G44" s="1994"/>
      <c r="H44" s="1995"/>
      <c r="I44" s="1985"/>
      <c r="J44" s="1987"/>
      <c r="K44" s="1987"/>
      <c r="L44" s="1987"/>
      <c r="M44" s="1987"/>
      <c r="N44" s="1987"/>
      <c r="O44" s="1987"/>
      <c r="P44" s="1987"/>
      <c r="Q44" s="1987"/>
      <c r="R44" s="1987"/>
      <c r="S44" s="1988"/>
      <c r="T44" s="1985"/>
      <c r="U44" s="1986"/>
      <c r="V44" s="1986"/>
      <c r="W44" s="1986"/>
      <c r="X44" s="1986"/>
      <c r="Y44" s="1986"/>
      <c r="Z44" s="1987"/>
      <c r="AA44" s="1988"/>
    </row>
    <row r="45" spans="1:27" ht="13.5" customHeight="1" x14ac:dyDescent="0.2">
      <c r="A45" s="41" t="s">
        <v>186</v>
      </c>
      <c r="Q45" s="41" t="s">
        <v>1405</v>
      </c>
      <c r="R45" s="41"/>
      <c r="S45" s="41"/>
      <c r="T45" s="147"/>
      <c r="U45" s="41"/>
      <c r="V45" s="41"/>
      <c r="W45" s="41"/>
      <c r="X45" s="41"/>
      <c r="Y45" s="41"/>
      <c r="Z45" s="41"/>
      <c r="AA45" s="41"/>
    </row>
    <row r="46" spans="1:27" ht="10.5" customHeight="1" x14ac:dyDescent="0.2">
      <c r="A46" s="42" t="s">
        <v>1906</v>
      </c>
      <c r="D46" s="41"/>
      <c r="E46" s="41"/>
      <c r="F46" s="41"/>
      <c r="G46" s="41"/>
      <c r="Q46" s="29" t="s">
        <v>1406</v>
      </c>
      <c r="R46" s="41"/>
      <c r="S46" s="41"/>
      <c r="T46" s="41"/>
      <c r="U46" s="41"/>
      <c r="V46" s="41"/>
      <c r="W46" s="41"/>
      <c r="X46" s="41"/>
      <c r="Y46" s="41"/>
      <c r="Z46" s="41"/>
      <c r="AA46" s="41"/>
    </row>
    <row r="47" spans="1:27" x14ac:dyDescent="0.2">
      <c r="A47" s="137"/>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0" t="s">
        <v>104</v>
      </c>
    </row>
    <row r="2" spans="1:6" ht="39.75" customHeight="1" x14ac:dyDescent="0.2">
      <c r="A2" s="2142" t="s">
        <v>1767</v>
      </c>
      <c r="B2" s="1528" t="s">
        <v>1913</v>
      </c>
      <c r="C2" s="714" t="s">
        <v>1914</v>
      </c>
      <c r="D2" s="714" t="s">
        <v>1915</v>
      </c>
      <c r="E2" s="714" t="s">
        <v>1916</v>
      </c>
      <c r="F2" s="714" t="s">
        <v>1917</v>
      </c>
    </row>
    <row r="3" spans="1:6" ht="12" customHeight="1" x14ac:dyDescent="0.2">
      <c r="A3" s="2143"/>
      <c r="B3" s="1525"/>
      <c r="C3" s="1526"/>
      <c r="D3" s="1527" t="s">
        <v>256</v>
      </c>
      <c r="E3" s="1526"/>
      <c r="F3" s="1527" t="s">
        <v>257</v>
      </c>
    </row>
    <row r="4" spans="1:6" ht="13.7" customHeight="1" x14ac:dyDescent="0.2">
      <c r="A4" s="715" t="s">
        <v>1155</v>
      </c>
      <c r="B4" s="1749">
        <f>'Revenues 9-14'!C5</f>
        <v>386539</v>
      </c>
      <c r="C4" s="1524"/>
      <c r="D4" s="1752">
        <f>B4-C4</f>
        <v>386539</v>
      </c>
      <c r="E4" s="1524">
        <v>409944</v>
      </c>
      <c r="F4" s="1752">
        <f>E4-C4</f>
        <v>409944</v>
      </c>
    </row>
    <row r="5" spans="1:6" ht="13.7" customHeight="1" x14ac:dyDescent="0.2">
      <c r="A5" s="715" t="s">
        <v>870</v>
      </c>
      <c r="B5" s="1750">
        <f>'Revenues 9-14'!D5</f>
        <v>101722</v>
      </c>
      <c r="C5" s="585"/>
      <c r="D5" s="1753">
        <f t="shared" ref="D5:D18" si="0">B5-C5</f>
        <v>101722</v>
      </c>
      <c r="E5" s="585">
        <v>107880</v>
      </c>
      <c r="F5" s="1753">
        <f>E5-C5</f>
        <v>107880</v>
      </c>
    </row>
    <row r="6" spans="1:6" ht="13.7" customHeight="1" x14ac:dyDescent="0.2">
      <c r="A6" s="715" t="s">
        <v>411</v>
      </c>
      <c r="B6" s="1750">
        <f>'Revenues 9-14'!E5</f>
        <v>46129</v>
      </c>
      <c r="C6" s="585"/>
      <c r="D6" s="1753">
        <f t="shared" si="0"/>
        <v>46129</v>
      </c>
      <c r="E6" s="585">
        <v>49021</v>
      </c>
      <c r="F6" s="1753">
        <f t="shared" ref="F6:F18" si="1">E6-C6</f>
        <v>49021</v>
      </c>
    </row>
    <row r="7" spans="1:6" ht="13.7" customHeight="1" x14ac:dyDescent="0.2">
      <c r="A7" s="715" t="s">
        <v>155</v>
      </c>
      <c r="B7" s="1750">
        <f>'Revenues 9-14'!F5</f>
        <v>27742</v>
      </c>
      <c r="C7" s="585"/>
      <c r="D7" s="1753">
        <f t="shared" si="0"/>
        <v>27742</v>
      </c>
      <c r="E7" s="585">
        <v>29422</v>
      </c>
      <c r="F7" s="1753">
        <f t="shared" si="1"/>
        <v>29422</v>
      </c>
    </row>
    <row r="8" spans="1:6" ht="13.7" customHeight="1" x14ac:dyDescent="0.2">
      <c r="A8" s="715" t="s">
        <v>1179</v>
      </c>
      <c r="B8" s="1750">
        <f>'Revenues 9-14'!G5</f>
        <v>21912</v>
      </c>
      <c r="C8" s="585"/>
      <c r="D8" s="1753">
        <f t="shared" si="0"/>
        <v>21912</v>
      </c>
      <c r="E8" s="585">
        <v>15001</v>
      </c>
      <c r="F8" s="1753">
        <f t="shared" si="1"/>
        <v>15001</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9248</v>
      </c>
      <c r="C10" s="585"/>
      <c r="D10" s="1753">
        <f t="shared" si="0"/>
        <v>9248</v>
      </c>
      <c r="E10" s="585">
        <v>9807</v>
      </c>
      <c r="F10" s="1753">
        <f t="shared" si="1"/>
        <v>9807</v>
      </c>
    </row>
    <row r="11" spans="1:6" x14ac:dyDescent="0.2">
      <c r="A11" s="715" t="s">
        <v>409</v>
      </c>
      <c r="B11" s="1750">
        <f>'Revenues 9-14'!J5</f>
        <v>62750</v>
      </c>
      <c r="C11" s="585"/>
      <c r="D11" s="1753">
        <f t="shared" si="0"/>
        <v>62750</v>
      </c>
      <c r="E11" s="585">
        <v>63002</v>
      </c>
      <c r="F11" s="1753">
        <f t="shared" si="1"/>
        <v>63002</v>
      </c>
    </row>
    <row r="12" spans="1:6" ht="13.7" customHeight="1" x14ac:dyDescent="0.2">
      <c r="A12" s="715" t="s">
        <v>157</v>
      </c>
      <c r="B12" s="1750">
        <f>'Revenues 9-14'!K5</f>
        <v>9248</v>
      </c>
      <c r="C12" s="585"/>
      <c r="D12" s="1753">
        <f t="shared" si="0"/>
        <v>9248</v>
      </c>
      <c r="E12" s="585">
        <v>9807</v>
      </c>
      <c r="F12" s="1753">
        <f t="shared" si="1"/>
        <v>9807</v>
      </c>
    </row>
    <row r="13" spans="1:6" ht="13.7" customHeight="1" x14ac:dyDescent="0.2">
      <c r="A13" s="715" t="s">
        <v>936</v>
      </c>
      <c r="B13" s="1750">
        <f>SUM('Revenues 9-14'!C6:D6)</f>
        <v>9248</v>
      </c>
      <c r="C13" s="585"/>
      <c r="D13" s="1753">
        <f t="shared" si="0"/>
        <v>9248</v>
      </c>
      <c r="E13" s="585">
        <v>9807</v>
      </c>
      <c r="F13" s="1753">
        <f t="shared" si="1"/>
        <v>9807</v>
      </c>
    </row>
    <row r="14" spans="1:6" ht="13.7" customHeight="1" x14ac:dyDescent="0.2">
      <c r="A14" s="715" t="s">
        <v>410</v>
      </c>
      <c r="B14" s="1750">
        <f>SUM('Revenues 9-14'!C7:D7,'Revenues 9-14'!F7:H7)</f>
        <v>3699</v>
      </c>
      <c r="C14" s="585"/>
      <c r="D14" s="1753">
        <f t="shared" si="0"/>
        <v>3699</v>
      </c>
      <c r="E14" s="585">
        <v>3923</v>
      </c>
      <c r="F14" s="1753">
        <f t="shared" si="1"/>
        <v>3923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21912</v>
      </c>
      <c r="C16" s="585"/>
      <c r="D16" s="1753">
        <f t="shared" si="0"/>
        <v>21912</v>
      </c>
      <c r="E16" s="585">
        <v>15001</v>
      </c>
      <c r="F16" s="1753">
        <f t="shared" si="1"/>
        <v>15001</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700149</v>
      </c>
      <c r="C19" s="1751">
        <f>SUM(C4:C18)</f>
        <v>0</v>
      </c>
      <c r="D19" s="1751">
        <f>SUM(D4:D18)</f>
        <v>700149</v>
      </c>
      <c r="E19" s="1751">
        <f>SUM(E4:E18)</f>
        <v>722615</v>
      </c>
      <c r="F19" s="1751">
        <f>SUM(F4:F18)</f>
        <v>722615</v>
      </c>
    </row>
    <row r="20" spans="1:6" ht="13.5" thickTop="1" x14ac:dyDescent="0.2">
      <c r="B20" s="713"/>
      <c r="F20" s="716"/>
    </row>
    <row r="21" spans="1:6" x14ac:dyDescent="0.2">
      <c r="A21" s="717" t="s">
        <v>1773</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F33"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48" t="s">
        <v>629</v>
      </c>
      <c r="B1" s="2149"/>
      <c r="C1" s="721"/>
    </row>
    <row r="2" spans="1:7" ht="33.75" x14ac:dyDescent="0.2">
      <c r="A2" s="2157" t="s">
        <v>1767</v>
      </c>
      <c r="B2" s="2158"/>
      <c r="C2" s="1851" t="s">
        <v>1918</v>
      </c>
      <c r="D2" s="723" t="s">
        <v>1919</v>
      </c>
      <c r="E2" s="723" t="s">
        <v>1920</v>
      </c>
      <c r="F2" s="1851" t="s">
        <v>1921</v>
      </c>
    </row>
    <row r="3" spans="1:7" ht="15.75" customHeight="1" x14ac:dyDescent="0.2">
      <c r="A3" s="2161" t="s">
        <v>1114</v>
      </c>
      <c r="B3" s="2162"/>
      <c r="C3" s="2150"/>
      <c r="D3" s="2151"/>
      <c r="E3" s="2151"/>
      <c r="F3" s="2152"/>
    </row>
    <row r="4" spans="1:7" ht="12.75" customHeight="1" thickBot="1" x14ac:dyDescent="0.25">
      <c r="A4" s="2159" t="s">
        <v>630</v>
      </c>
      <c r="B4" s="2160"/>
      <c r="C4" s="581"/>
      <c r="D4" s="581"/>
      <c r="E4" s="581"/>
      <c r="F4" s="1755">
        <f>SUM(C4+D4)-E4</f>
        <v>0</v>
      </c>
    </row>
    <row r="5" spans="1:7" ht="15.75" customHeight="1" thickTop="1" x14ac:dyDescent="0.2">
      <c r="A5" s="2144" t="s">
        <v>1110</v>
      </c>
      <c r="B5" s="2145"/>
      <c r="C5" s="2153"/>
      <c r="D5" s="2154"/>
      <c r="E5" s="2154"/>
      <c r="F5" s="215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46" t="s">
        <v>631</v>
      </c>
      <c r="B15" s="2147"/>
      <c r="C15" s="1755">
        <f>SUM(C6:C14)</f>
        <v>0</v>
      </c>
      <c r="D15" s="1755">
        <f>SUM(D6:D14)</f>
        <v>0</v>
      </c>
      <c r="E15" s="1755">
        <f>SUM(E6:E14)</f>
        <v>0</v>
      </c>
      <c r="F15" s="1755">
        <f>SUM(F6:F14)</f>
        <v>0</v>
      </c>
      <c r="G15" s="552"/>
    </row>
    <row r="16" spans="1:7" s="202" customFormat="1" ht="15.75" customHeight="1" thickTop="1" x14ac:dyDescent="0.2">
      <c r="A16" s="2156" t="s">
        <v>1111</v>
      </c>
      <c r="B16" s="2145"/>
      <c r="C16" s="2153"/>
      <c r="D16" s="2154"/>
      <c r="E16" s="2154"/>
      <c r="F16" s="2155"/>
    </row>
    <row r="17" spans="1:11" ht="12.75" customHeight="1" thickBot="1" x14ac:dyDescent="0.25">
      <c r="A17" s="2169" t="s">
        <v>64</v>
      </c>
      <c r="B17" s="2170"/>
      <c r="C17" s="726"/>
      <c r="D17" s="585"/>
      <c r="E17" s="726"/>
      <c r="F17" s="1755">
        <f>SUM(C17+D17)-E17</f>
        <v>0</v>
      </c>
    </row>
    <row r="18" spans="1:11" ht="12.75" customHeight="1" thickTop="1" thickBot="1" x14ac:dyDescent="0.25">
      <c r="A18" s="2169" t="s">
        <v>6</v>
      </c>
      <c r="B18" s="2170"/>
      <c r="C18" s="726"/>
      <c r="D18" s="585"/>
      <c r="E18" s="726"/>
      <c r="F18" s="1755">
        <f>SUM(C18+D18)-E18</f>
        <v>0</v>
      </c>
    </row>
    <row r="19" spans="1:11" ht="12.75" customHeight="1" thickTop="1" thickBot="1" x14ac:dyDescent="0.25">
      <c r="A19" s="2169" t="s">
        <v>388</v>
      </c>
      <c r="B19" s="2170"/>
      <c r="C19" s="726"/>
      <c r="D19" s="585"/>
      <c r="E19" s="726"/>
      <c r="F19" s="1755">
        <f>SUM(C19+D19)-E19</f>
        <v>0</v>
      </c>
    </row>
    <row r="20" spans="1:11" ht="12.75" customHeight="1" thickTop="1" thickBot="1" x14ac:dyDescent="0.25">
      <c r="A20" s="2169" t="s">
        <v>448</v>
      </c>
      <c r="B20" s="2170"/>
      <c r="C20" s="726"/>
      <c r="D20" s="585"/>
      <c r="E20" s="726"/>
      <c r="F20" s="1755">
        <f>SUM(C20+D20)-E20</f>
        <v>0</v>
      </c>
    </row>
    <row r="21" spans="1:11" ht="14.25" thickTop="1" thickBot="1" x14ac:dyDescent="0.25">
      <c r="A21" s="2146" t="s">
        <v>632</v>
      </c>
      <c r="B21" s="2147"/>
      <c r="C21" s="1755">
        <f>SUM(C17:C20)</f>
        <v>0</v>
      </c>
      <c r="D21" s="1755">
        <f>SUM(D17:D20)</f>
        <v>0</v>
      </c>
      <c r="E21" s="1755">
        <f>SUM(E17:E20)</f>
        <v>0</v>
      </c>
      <c r="F21" s="1755">
        <f>SUM(F17:F20)</f>
        <v>0</v>
      </c>
      <c r="G21" s="552"/>
    </row>
    <row r="22" spans="1:11" ht="15.75" customHeight="1" thickTop="1" x14ac:dyDescent="0.2">
      <c r="A22" s="2171" t="s">
        <v>1112</v>
      </c>
      <c r="B22" s="2145"/>
      <c r="C22" s="2153"/>
      <c r="D22" s="2154"/>
      <c r="E22" s="2154"/>
      <c r="F22" s="2155"/>
    </row>
    <row r="23" spans="1:11" ht="13.5" thickBot="1" x14ac:dyDescent="0.25">
      <c r="A23" s="2159" t="s">
        <v>633</v>
      </c>
      <c r="B23" s="2160"/>
      <c r="C23" s="581"/>
      <c r="D23" s="581"/>
      <c r="E23" s="581"/>
      <c r="F23" s="1755">
        <f>SUM(C23+D23)-E23</f>
        <v>0</v>
      </c>
      <c r="G23" s="552"/>
    </row>
    <row r="24" spans="1:11" ht="15.75" customHeight="1" thickTop="1" x14ac:dyDescent="0.2">
      <c r="A24" s="2171" t="s">
        <v>1113</v>
      </c>
      <c r="B24" s="2145"/>
      <c r="C24" s="2153"/>
      <c r="D24" s="2154"/>
      <c r="E24" s="2154"/>
      <c r="F24" s="2155"/>
    </row>
    <row r="25" spans="1:11" ht="13.5" thickBot="1" x14ac:dyDescent="0.25">
      <c r="A25" s="2159" t="s">
        <v>634</v>
      </c>
      <c r="B25" s="2160"/>
      <c r="C25" s="581"/>
      <c r="D25" s="581"/>
      <c r="E25" s="581"/>
      <c r="F25" s="1755">
        <f>SUM(C25+D25)-E25</f>
        <v>0</v>
      </c>
      <c r="G25" s="552"/>
    </row>
    <row r="26" spans="1:11" ht="15.75" customHeight="1" thickTop="1" x14ac:dyDescent="0.2">
      <c r="A26" s="2144" t="s">
        <v>657</v>
      </c>
      <c r="B26" s="2145"/>
      <c r="C26" s="727"/>
      <c r="D26" s="727"/>
      <c r="E26" s="727"/>
      <c r="F26" s="728"/>
    </row>
    <row r="27" spans="1:11" ht="13.5" thickBot="1" x14ac:dyDescent="0.25">
      <c r="A27" s="2146" t="s">
        <v>1070</v>
      </c>
      <c r="B27" s="2147"/>
      <c r="C27" s="585"/>
      <c r="D27" s="585"/>
      <c r="E27" s="585"/>
      <c r="F27" s="1755">
        <f>SUM(C27+D27)-E27</f>
        <v>0</v>
      </c>
      <c r="G27" s="552"/>
    </row>
    <row r="28" spans="1:11" ht="7.5" customHeight="1" thickTop="1" x14ac:dyDescent="0.2">
      <c r="A28" s="593"/>
    </row>
    <row r="29" spans="1:11" ht="23.25" customHeight="1" x14ac:dyDescent="0.2">
      <c r="A29" s="2172" t="s">
        <v>582</v>
      </c>
      <c r="B29" s="2149"/>
      <c r="C29" s="729"/>
      <c r="D29" s="729"/>
      <c r="E29" s="729"/>
      <c r="F29" s="729"/>
      <c r="G29" s="729"/>
      <c r="H29" s="729"/>
      <c r="I29" s="729"/>
      <c r="J29" s="729"/>
    </row>
    <row r="30" spans="1:11" ht="33.75" x14ac:dyDescent="0.2">
      <c r="A30" s="1529" t="s">
        <v>1071</v>
      </c>
      <c r="B30" s="730" t="s">
        <v>1124</v>
      </c>
      <c r="C30" s="1852" t="s">
        <v>583</v>
      </c>
      <c r="D30" s="1852" t="s">
        <v>1642</v>
      </c>
      <c r="E30" s="1852" t="s">
        <v>1922</v>
      </c>
      <c r="F30" s="1852" t="s">
        <v>1923</v>
      </c>
      <c r="G30" s="1852" t="s">
        <v>1874</v>
      </c>
      <c r="H30" s="1852" t="s">
        <v>1924</v>
      </c>
      <c r="I30" s="1852" t="s">
        <v>1925</v>
      </c>
      <c r="J30" s="1853" t="s">
        <v>2</v>
      </c>
      <c r="K30" s="731"/>
    </row>
    <row r="31" spans="1:11" ht="12" customHeight="1" x14ac:dyDescent="0.2">
      <c r="A31" s="732" t="s">
        <v>2043</v>
      </c>
      <c r="B31" s="733">
        <v>40760</v>
      </c>
      <c r="C31" s="734">
        <v>240000</v>
      </c>
      <c r="D31" s="735">
        <v>1</v>
      </c>
      <c r="E31" s="734">
        <v>170000</v>
      </c>
      <c r="F31" s="734"/>
      <c r="G31" s="734"/>
      <c r="H31" s="734">
        <v>35000</v>
      </c>
      <c r="I31" s="1756">
        <f>((E31+F31)-H31)+G31</f>
        <v>135000</v>
      </c>
      <c r="J31" s="734">
        <v>120423</v>
      </c>
      <c r="K31" s="736"/>
    </row>
    <row r="32" spans="1:11" ht="12" customHeight="1" x14ac:dyDescent="0.2">
      <c r="A32" s="732" t="s">
        <v>2044</v>
      </c>
      <c r="B32" s="733">
        <v>40330</v>
      </c>
      <c r="C32" s="734">
        <v>30000</v>
      </c>
      <c r="D32" s="735">
        <v>4</v>
      </c>
      <c r="E32" s="734">
        <v>30000</v>
      </c>
      <c r="F32" s="734"/>
      <c r="G32" s="734"/>
      <c r="H32" s="734"/>
      <c r="I32" s="1756">
        <f>((E32+F32)-H32)+G32</f>
        <v>30000</v>
      </c>
      <c r="J32" s="734">
        <v>30000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270000</v>
      </c>
      <c r="D49" s="745"/>
      <c r="E49" s="1756">
        <f t="shared" ref="E49:J49" si="2">SUM(E31:E48)</f>
        <v>200000</v>
      </c>
      <c r="F49" s="1756">
        <f t="shared" si="2"/>
        <v>0</v>
      </c>
      <c r="G49" s="1756">
        <f t="shared" si="2"/>
        <v>0</v>
      </c>
      <c r="H49" s="1756">
        <f t="shared" si="2"/>
        <v>35000</v>
      </c>
      <c r="I49" s="1756">
        <f t="shared" si="2"/>
        <v>165000</v>
      </c>
      <c r="J49" s="1756">
        <f t="shared" si="2"/>
        <v>150423</v>
      </c>
      <c r="K49" s="737"/>
    </row>
    <row r="50" spans="1:11" ht="6" customHeight="1" x14ac:dyDescent="0.2">
      <c r="A50" s="746"/>
      <c r="B50" s="736"/>
      <c r="C50" s="736"/>
      <c r="D50" s="736"/>
      <c r="E50" s="736"/>
      <c r="F50" s="736"/>
      <c r="G50" s="736"/>
      <c r="H50" s="736"/>
      <c r="I50" s="736"/>
      <c r="J50" s="746"/>
    </row>
    <row r="51" spans="1:11" x14ac:dyDescent="0.2">
      <c r="A51" s="747" t="s">
        <v>1772</v>
      </c>
      <c r="B51" s="746"/>
      <c r="C51" s="737"/>
      <c r="D51" s="737"/>
      <c r="E51" s="737"/>
      <c r="F51" s="737"/>
      <c r="G51" s="737"/>
      <c r="H51" s="736"/>
      <c r="I51" s="736"/>
      <c r="J51" s="746"/>
    </row>
    <row r="52" spans="1:11" ht="11.25" customHeight="1" x14ac:dyDescent="0.2">
      <c r="A52" s="748" t="s">
        <v>912</v>
      </c>
      <c r="B52" s="2163" t="s">
        <v>584</v>
      </c>
      <c r="C52" s="2164"/>
      <c r="D52" s="2164"/>
      <c r="E52" s="749" t="s">
        <v>845</v>
      </c>
      <c r="F52" s="2165"/>
      <c r="G52" s="2166"/>
      <c r="H52" s="736"/>
      <c r="I52" s="736"/>
      <c r="J52" s="746"/>
    </row>
    <row r="53" spans="1:11" ht="11.25" customHeight="1" x14ac:dyDescent="0.2">
      <c r="A53" s="750" t="s">
        <v>913</v>
      </c>
      <c r="B53" s="751" t="s">
        <v>951</v>
      </c>
      <c r="C53" s="746"/>
      <c r="D53" s="737"/>
      <c r="E53" s="749" t="s">
        <v>497</v>
      </c>
      <c r="F53" s="2167"/>
      <c r="G53" s="2168"/>
      <c r="H53" s="736"/>
      <c r="I53" s="736"/>
      <c r="J53" s="746"/>
    </row>
    <row r="54" spans="1:11" ht="11.25" customHeight="1" x14ac:dyDescent="0.2">
      <c r="A54" s="752" t="s">
        <v>914</v>
      </c>
      <c r="B54" s="747" t="s">
        <v>952</v>
      </c>
      <c r="C54" s="746"/>
      <c r="D54" s="737"/>
      <c r="E54" s="749" t="s">
        <v>498</v>
      </c>
      <c r="F54" s="2167"/>
      <c r="G54" s="216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E1"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97" t="s">
        <v>856</v>
      </c>
      <c r="B1" s="2198"/>
      <c r="C1" s="2198"/>
      <c r="D1" s="2198"/>
      <c r="E1" s="2198"/>
      <c r="F1" s="2198"/>
      <c r="G1" s="2199"/>
      <c r="H1" s="1530"/>
      <c r="I1" s="760"/>
      <c r="J1" s="433"/>
    </row>
    <row r="2" spans="1:11" ht="26.25" x14ac:dyDescent="0.2">
      <c r="A2" s="2176" t="s">
        <v>1646</v>
      </c>
      <c r="B2" s="2177"/>
      <c r="C2" s="2177"/>
      <c r="D2" s="2177"/>
      <c r="E2" s="2178"/>
      <c r="F2" s="761" t="s">
        <v>904</v>
      </c>
      <c r="G2" s="762" t="s">
        <v>1643</v>
      </c>
      <c r="H2" s="762" t="s">
        <v>410</v>
      </c>
      <c r="I2" s="762" t="s">
        <v>1158</v>
      </c>
      <c r="J2" s="762" t="s">
        <v>1777</v>
      </c>
      <c r="K2" s="762" t="s">
        <v>138</v>
      </c>
    </row>
    <row r="3" spans="1:11" x14ac:dyDescent="0.2">
      <c r="A3" s="2179" t="s">
        <v>1926</v>
      </c>
      <c r="B3" s="2180"/>
      <c r="C3" s="2180"/>
      <c r="D3" s="2180"/>
      <c r="E3" s="2181"/>
      <c r="F3" s="763"/>
      <c r="G3" s="764"/>
      <c r="H3" s="764"/>
      <c r="I3" s="764"/>
      <c r="J3" s="765"/>
      <c r="K3" s="765"/>
    </row>
    <row r="4" spans="1:11" x14ac:dyDescent="0.2">
      <c r="A4" s="2182" t="s">
        <v>369</v>
      </c>
      <c r="B4" s="2183"/>
      <c r="C4" s="2183"/>
      <c r="D4" s="2183"/>
      <c r="E4" s="2164"/>
      <c r="F4" s="766"/>
      <c r="G4" s="767"/>
      <c r="H4" s="768"/>
      <c r="I4" s="767"/>
      <c r="J4" s="769"/>
      <c r="K4" s="769"/>
    </row>
    <row r="5" spans="1:11" x14ac:dyDescent="0.2">
      <c r="A5" s="2200" t="s">
        <v>1069</v>
      </c>
      <c r="B5" s="2173"/>
      <c r="C5" s="2173"/>
      <c r="D5" s="2173"/>
      <c r="E5" s="2201"/>
      <c r="F5" s="770" t="s">
        <v>848</v>
      </c>
      <c r="G5" s="771"/>
      <c r="H5" s="764">
        <v>3699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00" t="s">
        <v>1778</v>
      </c>
      <c r="B10" s="2173"/>
      <c r="C10" s="2173"/>
      <c r="D10" s="2173"/>
      <c r="E10" s="2202"/>
      <c r="F10" s="783" t="s">
        <v>862</v>
      </c>
      <c r="G10" s="782"/>
      <c r="H10" s="784"/>
      <c r="I10" s="764"/>
      <c r="J10" s="765"/>
      <c r="K10" s="765"/>
    </row>
    <row r="11" spans="1:11" x14ac:dyDescent="0.2">
      <c r="A11" s="2200" t="s">
        <v>160</v>
      </c>
      <c r="B11" s="2173"/>
      <c r="C11" s="2173"/>
      <c r="D11" s="2173"/>
      <c r="E11" s="2201"/>
      <c r="F11" s="770" t="s">
        <v>852</v>
      </c>
      <c r="G11" s="771"/>
      <c r="H11" s="764"/>
      <c r="I11" s="764"/>
      <c r="J11" s="765"/>
      <c r="K11" s="773"/>
    </row>
    <row r="12" spans="1:11" ht="13.5" thickBot="1" x14ac:dyDescent="0.25">
      <c r="A12" s="2190" t="s">
        <v>905</v>
      </c>
      <c r="B12" s="2191"/>
      <c r="C12" s="2191"/>
      <c r="D12" s="2191"/>
      <c r="E12" s="2192"/>
      <c r="F12" s="1757"/>
      <c r="G12" s="1758">
        <f>SUM(G5:G11)</f>
        <v>0</v>
      </c>
      <c r="H12" s="1758">
        <f>SUM(H5:H11)</f>
        <v>3699</v>
      </c>
      <c r="I12" s="1758">
        <f>SUM(I5:I11)</f>
        <v>0</v>
      </c>
      <c r="J12" s="1758">
        <f>SUM(J5:J11)</f>
        <v>0</v>
      </c>
      <c r="K12" s="1758">
        <f>SUM(K5:K11)</f>
        <v>0</v>
      </c>
    </row>
    <row r="13" spans="1:11" ht="13.5" thickTop="1" x14ac:dyDescent="0.2">
      <c r="A13" s="2184" t="s">
        <v>370</v>
      </c>
      <c r="B13" s="2185"/>
      <c r="C13" s="2185"/>
      <c r="D13" s="2185"/>
      <c r="E13" s="2186"/>
      <c r="F13" s="785"/>
      <c r="G13" s="786"/>
      <c r="H13" s="787"/>
      <c r="I13" s="788"/>
      <c r="J13" s="788"/>
      <c r="K13" s="788"/>
    </row>
    <row r="14" spans="1:11" x14ac:dyDescent="0.2">
      <c r="A14" s="2206" t="s">
        <v>456</v>
      </c>
      <c r="B14" s="2206"/>
      <c r="C14" s="2206"/>
      <c r="D14" s="2206"/>
      <c r="E14" s="2207"/>
      <c r="F14" s="789" t="s">
        <v>854</v>
      </c>
      <c r="G14" s="782"/>
      <c r="H14" s="764">
        <v>3699</v>
      </c>
      <c r="I14" s="771"/>
      <c r="J14" s="773"/>
      <c r="K14" s="765"/>
    </row>
    <row r="15" spans="1:11" x14ac:dyDescent="0.2">
      <c r="A15" s="2173" t="s">
        <v>4</v>
      </c>
      <c r="B15" s="2173"/>
      <c r="C15" s="2173"/>
      <c r="D15" s="2173"/>
      <c r="E15" s="2201"/>
      <c r="F15" s="789" t="s">
        <v>855</v>
      </c>
      <c r="G15" s="771"/>
      <c r="H15" s="764"/>
      <c r="I15" s="764"/>
      <c r="J15" s="765"/>
      <c r="K15" s="765"/>
    </row>
    <row r="16" spans="1:11" x14ac:dyDescent="0.2">
      <c r="A16" s="2173" t="s">
        <v>298</v>
      </c>
      <c r="B16" s="2173"/>
      <c r="C16" s="2173"/>
      <c r="D16" s="2173"/>
      <c r="E16" s="2201"/>
      <c r="F16" s="789" t="s">
        <v>923</v>
      </c>
      <c r="G16" s="772"/>
      <c r="H16" s="767"/>
      <c r="I16" s="767"/>
      <c r="J16" s="769"/>
      <c r="K16" s="769"/>
    </row>
    <row r="17" spans="1:11" x14ac:dyDescent="0.2">
      <c r="A17" s="2195" t="s">
        <v>935</v>
      </c>
      <c r="B17" s="2195"/>
      <c r="C17" s="2195"/>
      <c r="D17" s="2195"/>
      <c r="E17" s="2196"/>
      <c r="F17" s="790"/>
      <c r="G17" s="791"/>
      <c r="H17" s="792"/>
      <c r="I17" s="792"/>
      <c r="J17" s="793"/>
      <c r="K17" s="794"/>
    </row>
    <row r="18" spans="1:11" x14ac:dyDescent="0.2">
      <c r="A18" s="2187" t="s">
        <v>368</v>
      </c>
      <c r="B18" s="2188"/>
      <c r="C18" s="2188"/>
      <c r="D18" s="2188"/>
      <c r="E18" s="2189"/>
      <c r="F18" s="789" t="s">
        <v>932</v>
      </c>
      <c r="G18" s="782"/>
      <c r="H18" s="782"/>
      <c r="I18" s="782"/>
      <c r="J18" s="765"/>
      <c r="K18" s="795"/>
    </row>
    <row r="19" spans="1:11" ht="21.75" customHeight="1" x14ac:dyDescent="0.2">
      <c r="A19" s="2208" t="s">
        <v>1774</v>
      </c>
      <c r="B19" s="2208"/>
      <c r="C19" s="2208"/>
      <c r="D19" s="2208"/>
      <c r="E19" s="2209"/>
      <c r="F19" s="789" t="s">
        <v>933</v>
      </c>
      <c r="G19" s="782"/>
      <c r="H19" s="782"/>
      <c r="I19" s="782"/>
      <c r="J19" s="765"/>
      <c r="K19" s="795"/>
    </row>
    <row r="20" spans="1:11" x14ac:dyDescent="0.2">
      <c r="A20" s="2187" t="s">
        <v>1779</v>
      </c>
      <c r="B20" s="2188"/>
      <c r="C20" s="2188"/>
      <c r="D20" s="2188"/>
      <c r="E20" s="2189"/>
      <c r="F20" s="789" t="s">
        <v>934</v>
      </c>
      <c r="G20" s="782"/>
      <c r="H20" s="782"/>
      <c r="I20" s="782"/>
      <c r="J20" s="765"/>
      <c r="K20" s="795"/>
    </row>
    <row r="21" spans="1:11" ht="13.5" thickBot="1" x14ac:dyDescent="0.25">
      <c r="A21" s="2193" t="s">
        <v>638</v>
      </c>
      <c r="B21" s="2193"/>
      <c r="C21" s="2193"/>
      <c r="D21" s="2193"/>
      <c r="E21" s="2193"/>
      <c r="F21" s="1759"/>
      <c r="G21" s="792"/>
      <c r="H21" s="796"/>
      <c r="I21" s="796"/>
      <c r="J21" s="1760">
        <f>SUM(J18:J20)</f>
        <v>0</v>
      </c>
      <c r="K21" s="793"/>
    </row>
    <row r="22" spans="1:11" ht="13.5" thickTop="1" x14ac:dyDescent="0.2">
      <c r="A22" s="2173" t="s">
        <v>1780</v>
      </c>
      <c r="B22" s="2173"/>
      <c r="C22" s="2173"/>
      <c r="D22" s="2173"/>
      <c r="E22" s="2201"/>
      <c r="F22" s="789" t="s">
        <v>862</v>
      </c>
      <c r="G22" s="782"/>
      <c r="H22" s="764"/>
      <c r="I22" s="764"/>
      <c r="J22" s="797"/>
      <c r="K22" s="765"/>
    </row>
    <row r="23" spans="1:11" ht="13.5" thickBot="1" x14ac:dyDescent="0.25">
      <c r="A23" s="2194" t="s">
        <v>906</v>
      </c>
      <c r="B23" s="2193"/>
      <c r="C23" s="2193"/>
      <c r="D23" s="2193"/>
      <c r="E23" s="2193"/>
      <c r="F23" s="1761"/>
      <c r="G23" s="1758">
        <f>SUM(G14:G16,G21,G22)</f>
        <v>0</v>
      </c>
      <c r="H23" s="1758">
        <f>SUM(H14:H16,H21,H22)</f>
        <v>3699</v>
      </c>
      <c r="I23" s="1758">
        <f>SUM(I14:I16,I21,I22)</f>
        <v>0</v>
      </c>
      <c r="J23" s="1758">
        <f>SUM(J14:J16,J21,J22)</f>
        <v>0</v>
      </c>
      <c r="K23" s="1758">
        <f>SUM(K14:K16,K21,K22)</f>
        <v>0</v>
      </c>
    </row>
    <row r="24" spans="1:11" ht="14.25" thickTop="1" thickBot="1" x14ac:dyDescent="0.25">
      <c r="A24" s="2194" t="s">
        <v>1927</v>
      </c>
      <c r="B24" s="2193"/>
      <c r="C24" s="2193"/>
      <c r="D24" s="2193"/>
      <c r="E24" s="219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47" t="s">
        <v>1873</v>
      </c>
      <c r="B28" s="1848"/>
      <c r="C28" s="1848"/>
      <c r="D28" s="1848"/>
      <c r="E28" s="184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03"/>
      <c r="I31" s="2204"/>
      <c r="J31" s="2204"/>
      <c r="K31" s="2204"/>
    </row>
    <row r="32" spans="1:11" x14ac:dyDescent="0.2">
      <c r="A32" s="809"/>
      <c r="B32" s="237"/>
      <c r="C32" s="237"/>
      <c r="D32" s="237"/>
      <c r="E32" s="805"/>
      <c r="F32" s="811" t="s">
        <v>540</v>
      </c>
      <c r="G32" s="764"/>
      <c r="H32" s="2205"/>
      <c r="I32" s="2204"/>
      <c r="J32" s="2204"/>
      <c r="K32" s="2204"/>
    </row>
    <row r="33" spans="1:11" ht="1.5" customHeight="1" x14ac:dyDescent="0.2">
      <c r="A33" s="812" t="s">
        <v>1169</v>
      </c>
      <c r="B33" s="364"/>
      <c r="C33" s="364"/>
      <c r="D33" s="364"/>
      <c r="E33" s="364"/>
      <c r="F33" s="364"/>
      <c r="G33" s="813"/>
      <c r="H33" s="2205"/>
      <c r="I33" s="2204"/>
      <c r="J33" s="2204"/>
      <c r="K33" s="2204"/>
    </row>
    <row r="34" spans="1:11" x14ac:dyDescent="0.2">
      <c r="A34" s="814" t="s">
        <v>1781</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173" t="s">
        <v>541</v>
      </c>
      <c r="B41" s="2174"/>
      <c r="C41" s="2174"/>
      <c r="D41" s="2174"/>
      <c r="E41" s="2174"/>
      <c r="F41" s="217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1775</v>
      </c>
      <c r="B46" s="408" t="s">
        <v>1644</v>
      </c>
    </row>
    <row r="47" spans="1:11" s="823" customFormat="1" ht="12.75" customHeight="1" x14ac:dyDescent="0.2">
      <c r="A47" s="821"/>
      <c r="B47" s="822" t="s">
        <v>1645</v>
      </c>
      <c r="E47" s="822"/>
      <c r="K47" s="824"/>
    </row>
    <row r="48" spans="1:11" ht="12.75" customHeight="1" x14ac:dyDescent="0.2">
      <c r="A48" s="1532" t="s">
        <v>1776</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G1" colorId="8" zoomScale="110" zoomScaleNormal="110" workbookViewId="0">
      <selection activeCell="M19" sqref="M1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12" t="s">
        <v>1872</v>
      </c>
      <c r="B1" s="2213"/>
      <c r="C1" s="2214"/>
      <c r="D1" s="826"/>
      <c r="E1" s="827"/>
      <c r="F1" s="827"/>
      <c r="G1" s="828"/>
      <c r="H1" s="829"/>
      <c r="I1" s="830"/>
      <c r="J1" s="2210"/>
      <c r="K1" s="2211"/>
      <c r="L1" s="2211"/>
    </row>
    <row r="2" spans="1:14" ht="69.75" customHeight="1" x14ac:dyDescent="0.2">
      <c r="A2" s="831" t="s">
        <v>1647</v>
      </c>
      <c r="B2" s="832" t="s">
        <v>378</v>
      </c>
      <c r="C2" s="833" t="s">
        <v>1928</v>
      </c>
      <c r="D2" s="833" t="s">
        <v>1929</v>
      </c>
      <c r="E2" s="833" t="s">
        <v>1930</v>
      </c>
      <c r="F2" s="833" t="s">
        <v>1931</v>
      </c>
      <c r="G2" s="833" t="s">
        <v>605</v>
      </c>
      <c r="H2" s="833" t="s">
        <v>1932</v>
      </c>
      <c r="I2" s="833" t="s">
        <v>1933</v>
      </c>
      <c r="J2" s="833" t="s">
        <v>1934</v>
      </c>
      <c r="K2" s="833" t="s">
        <v>1935</v>
      </c>
      <c r="L2" s="833" t="s">
        <v>1936</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3000</v>
      </c>
      <c r="D5" s="841"/>
      <c r="E5" s="841"/>
      <c r="F5" s="1760">
        <f>(C5+D5)-E5</f>
        <v>3000</v>
      </c>
      <c r="G5" s="837"/>
      <c r="H5" s="842"/>
      <c r="I5" s="842"/>
      <c r="J5" s="842"/>
      <c r="K5" s="793"/>
      <c r="L5" s="1769">
        <f>F5-K5</f>
        <v>3000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811311</v>
      </c>
      <c r="D8" s="844"/>
      <c r="E8" s="844"/>
      <c r="F8" s="1760">
        <f>(C8+D8)-E8</f>
        <v>811311</v>
      </c>
      <c r="G8" s="843">
        <v>50</v>
      </c>
      <c r="H8" s="765">
        <v>514649</v>
      </c>
      <c r="I8" s="765">
        <v>16548</v>
      </c>
      <c r="J8" s="765"/>
      <c r="K8" s="1769">
        <f>(H8+I8)-J8</f>
        <v>531197</v>
      </c>
      <c r="L8" s="1769">
        <f>F8-K8</f>
        <v>280114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47768</v>
      </c>
      <c r="D10" s="846"/>
      <c r="E10" s="846"/>
      <c r="F10" s="1764">
        <f>(C10+D10)-E10</f>
        <v>47768</v>
      </c>
      <c r="G10" s="843">
        <v>20</v>
      </c>
      <c r="H10" s="847">
        <v>32163</v>
      </c>
      <c r="I10" s="847">
        <v>1085</v>
      </c>
      <c r="J10" s="847"/>
      <c r="K10" s="1769">
        <f>(H10+I10)-J10</f>
        <v>33248</v>
      </c>
      <c r="L10" s="1769">
        <f>F10-K10</f>
        <v>14520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193260</v>
      </c>
      <c r="D12" s="844"/>
      <c r="E12" s="844"/>
      <c r="F12" s="1760">
        <f>(C12+D12)-E12</f>
        <v>193260</v>
      </c>
      <c r="G12" s="843">
        <v>10</v>
      </c>
      <c r="H12" s="765">
        <v>163095</v>
      </c>
      <c r="I12" s="765">
        <v>3406</v>
      </c>
      <c r="J12" s="765"/>
      <c r="K12" s="1769">
        <f>(H12+I12)-J12</f>
        <v>166501</v>
      </c>
      <c r="L12" s="1769">
        <f>F12-K12</f>
        <v>26759</v>
      </c>
    </row>
    <row r="13" spans="1:14" ht="14.25" thickTop="1" thickBot="1" x14ac:dyDescent="0.25">
      <c r="A13" s="848" t="s">
        <v>1122</v>
      </c>
      <c r="B13" s="840">
        <v>252</v>
      </c>
      <c r="C13" s="844">
        <v>298037</v>
      </c>
      <c r="D13" s="844"/>
      <c r="E13" s="844"/>
      <c r="F13" s="1760">
        <f>(C13+D13)-E13</f>
        <v>298037</v>
      </c>
      <c r="G13" s="843">
        <v>5</v>
      </c>
      <c r="H13" s="765">
        <v>254802</v>
      </c>
      <c r="I13" s="765">
        <v>15362</v>
      </c>
      <c r="J13" s="765"/>
      <c r="K13" s="1769">
        <f>(H13+I13)-J13</f>
        <v>270164</v>
      </c>
      <c r="L13" s="1769">
        <f>F13-K13</f>
        <v>27873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1353376</v>
      </c>
      <c r="D16" s="1760">
        <f>SUM(D3,D5:D6,D8:D10,D12:D15)</f>
        <v>0</v>
      </c>
      <c r="E16" s="1760">
        <f>SUM(E3,E5:E6,E8:E10,E12:E15)</f>
        <v>0</v>
      </c>
      <c r="F16" s="1760">
        <f>SUM(F3,F5:F6,F8:F10,F12:F15)</f>
        <v>1353376</v>
      </c>
      <c r="G16" s="843"/>
      <c r="H16" s="1760">
        <f>SUM(H3,H6,H8:H10,H12:H14,)</f>
        <v>964709</v>
      </c>
      <c r="I16" s="1760">
        <f>SUM(I3,I6,I8:I10,I12:I14,)</f>
        <v>36401</v>
      </c>
      <c r="J16" s="1760">
        <f>SUM(J3,J6,J8:J10,J12:J14,)</f>
        <v>0</v>
      </c>
      <c r="K16" s="1760">
        <f>(H16+I16)-J16</f>
        <v>1001110</v>
      </c>
      <c r="L16" s="1760">
        <f>F16-K16</f>
        <v>352266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36401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1" activePane="bottomLeft" state="frozen"/>
      <selection activeCell="A47" sqref="A47"/>
      <selection pane="bottomLeft" activeCell="D167" sqref="D16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18" t="s">
        <v>1937</v>
      </c>
      <c r="B1" s="2219"/>
      <c r="C1" s="2219"/>
      <c r="D1" s="2219"/>
      <c r="E1" s="2219"/>
      <c r="F1" s="2220"/>
      <c r="G1" s="855"/>
    </row>
    <row r="2" spans="1:7" ht="15" customHeight="1" thickBot="1" x14ac:dyDescent="0.25">
      <c r="A2" s="2221" t="s">
        <v>477</v>
      </c>
      <c r="B2" s="2222"/>
      <c r="C2" s="2222"/>
      <c r="D2" s="2222"/>
      <c r="E2" s="2222"/>
      <c r="F2" s="222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24"/>
      <c r="B5" s="2225"/>
      <c r="C5" s="2225"/>
      <c r="D5" s="2225"/>
      <c r="E5" s="2225"/>
      <c r="F5" s="2225"/>
    </row>
    <row r="6" spans="1:7" ht="13.5" customHeight="1" thickBot="1" x14ac:dyDescent="0.25">
      <c r="A6" s="2215" t="s">
        <v>1104</v>
      </c>
      <c r="B6" s="2216"/>
      <c r="C6" s="2216"/>
      <c r="D6" s="2216"/>
      <c r="E6" s="2216"/>
      <c r="F6" s="2217"/>
      <c r="G6" s="865"/>
    </row>
    <row r="7" spans="1:7" s="865" customFormat="1" ht="12" thickTop="1" x14ac:dyDescent="0.2">
      <c r="A7" s="866" t="s">
        <v>502</v>
      </c>
      <c r="B7" s="867"/>
      <c r="C7" s="868"/>
      <c r="D7" s="867"/>
      <c r="E7" s="868"/>
      <c r="F7" s="867"/>
    </row>
    <row r="8" spans="1:7" x14ac:dyDescent="0.2">
      <c r="A8" s="869" t="s">
        <v>459</v>
      </c>
      <c r="B8" s="870" t="s">
        <v>1454</v>
      </c>
      <c r="C8" s="871"/>
      <c r="D8" s="869" t="s">
        <v>501</v>
      </c>
      <c r="E8" s="868" t="s">
        <v>958</v>
      </c>
      <c r="F8" s="1868">
        <f>'Expenditures 15-22'!K114</f>
        <v>845786</v>
      </c>
      <c r="G8" s="865"/>
    </row>
    <row r="9" spans="1:7" x14ac:dyDescent="0.2">
      <c r="A9" s="869" t="s">
        <v>460</v>
      </c>
      <c r="B9" s="870" t="s">
        <v>1841</v>
      </c>
      <c r="C9" s="871"/>
      <c r="D9" s="869" t="s">
        <v>501</v>
      </c>
      <c r="E9" s="868"/>
      <c r="F9" s="1869">
        <f>'Expenditures 15-22'!K151</f>
        <v>101367</v>
      </c>
      <c r="G9" s="872"/>
    </row>
    <row r="10" spans="1:7" x14ac:dyDescent="0.2">
      <c r="A10" s="869" t="s">
        <v>499</v>
      </c>
      <c r="B10" s="870" t="s">
        <v>1842</v>
      </c>
      <c r="C10" s="871"/>
      <c r="D10" s="869" t="s">
        <v>501</v>
      </c>
      <c r="E10" s="868"/>
      <c r="F10" s="1869">
        <f>'Expenditures 15-22'!K174</f>
        <v>46813</v>
      </c>
      <c r="G10" s="872"/>
    </row>
    <row r="11" spans="1:7" x14ac:dyDescent="0.2">
      <c r="A11" s="869" t="s">
        <v>461</v>
      </c>
      <c r="B11" s="870" t="s">
        <v>1843</v>
      </c>
      <c r="C11" s="871"/>
      <c r="D11" s="869" t="s">
        <v>501</v>
      </c>
      <c r="E11" s="868"/>
      <c r="F11" s="1869">
        <f>'Expenditures 15-22'!K210</f>
        <v>38166</v>
      </c>
      <c r="G11" s="872"/>
    </row>
    <row r="12" spans="1:7" x14ac:dyDescent="0.2">
      <c r="A12" s="869" t="s">
        <v>462</v>
      </c>
      <c r="B12" s="870" t="s">
        <v>1844</v>
      </c>
      <c r="C12" s="871"/>
      <c r="D12" s="869" t="s">
        <v>501</v>
      </c>
      <c r="E12" s="868"/>
      <c r="F12" s="1869">
        <f>'Expenditures 15-22'!K295</f>
        <v>40268</v>
      </c>
      <c r="G12" s="872"/>
    </row>
    <row r="13" spans="1:7" x14ac:dyDescent="0.2">
      <c r="A13" s="869" t="s">
        <v>106</v>
      </c>
      <c r="B13" s="870" t="s">
        <v>1845</v>
      </c>
      <c r="C13" s="871"/>
      <c r="D13" s="869" t="s">
        <v>501</v>
      </c>
      <c r="E13" s="868"/>
      <c r="F13" s="1869">
        <f>'Expenditures 15-22'!K342</f>
        <v>55140</v>
      </c>
      <c r="G13" s="873"/>
    </row>
    <row r="14" spans="1:7" ht="12" customHeight="1" thickBot="1" x14ac:dyDescent="0.25">
      <c r="A14" s="1770"/>
      <c r="B14" s="1771"/>
      <c r="C14" s="1772"/>
      <c r="D14" s="1773" t="s">
        <v>501</v>
      </c>
      <c r="E14" s="1774" t="s">
        <v>958</v>
      </c>
      <c r="F14" s="1775">
        <f>SUM(F8:F13)</f>
        <v>1127540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70">
        <f>'Revenues 9-14'!F43</f>
        <v>0</v>
      </c>
      <c r="G18" s="865"/>
    </row>
    <row r="19" spans="1:7" x14ac:dyDescent="0.2">
      <c r="A19" s="869" t="s">
        <v>461</v>
      </c>
      <c r="B19" s="870" t="s">
        <v>1011</v>
      </c>
      <c r="C19" s="877">
        <f>'Revenues 9-14'!B47</f>
        <v>1421</v>
      </c>
      <c r="D19" s="878" t="str">
        <f>'Revenues 9-14'!A47</f>
        <v>Summer Sch - Transp. Fees from Pupils or Parents (In State)</v>
      </c>
      <c r="E19" s="879"/>
      <c r="F19" s="1871">
        <f>'Revenues 9-14'!F47</f>
        <v>0</v>
      </c>
      <c r="G19" s="865"/>
    </row>
    <row r="20" spans="1:7" x14ac:dyDescent="0.2">
      <c r="A20" s="869" t="s">
        <v>461</v>
      </c>
      <c r="B20" s="870" t="s">
        <v>1012</v>
      </c>
      <c r="C20" s="875">
        <f>'Revenues 9-14'!B48</f>
        <v>1422</v>
      </c>
      <c r="D20" s="876" t="str">
        <f>'Revenues 9-14'!A48</f>
        <v>Summer Sch - Transp. Fees from Other Districts (In State)</v>
      </c>
      <c r="E20" s="868"/>
      <c r="F20" s="1872">
        <f>'Revenues 9-14'!F48</f>
        <v>0</v>
      </c>
      <c r="G20" s="865"/>
    </row>
    <row r="21" spans="1:7" x14ac:dyDescent="0.2">
      <c r="A21" s="869" t="s">
        <v>461</v>
      </c>
      <c r="B21" s="870" t="s">
        <v>1013</v>
      </c>
      <c r="C21" s="877">
        <f>'Revenues 9-14'!B49</f>
        <v>1423</v>
      </c>
      <c r="D21" s="876" t="str">
        <f>'Revenues 9-14'!A49</f>
        <v>Summer Sch - Transp. Fees from Other Sources (In State)</v>
      </c>
      <c r="E21" s="868"/>
      <c r="F21" s="1873">
        <f>'Revenues 9-14'!F49</f>
        <v>0</v>
      </c>
      <c r="G21" s="865"/>
    </row>
    <row r="22" spans="1:7" x14ac:dyDescent="0.2">
      <c r="A22" s="869" t="s">
        <v>461</v>
      </c>
      <c r="B22" s="870" t="s">
        <v>1014</v>
      </c>
      <c r="C22" s="877">
        <f>'Revenues 9-14'!B50</f>
        <v>1424</v>
      </c>
      <c r="D22" s="876" t="str">
        <f>'Revenues 9-14'!A50</f>
        <v>Summer Sch - Transp. Fees from Other Sources (Out of State)</v>
      </c>
      <c r="E22" s="868"/>
      <c r="F22" s="1873">
        <f>'Revenues 9-14'!F50</f>
        <v>0</v>
      </c>
      <c r="G22" s="865"/>
    </row>
    <row r="23" spans="1:7" x14ac:dyDescent="0.2">
      <c r="A23" s="869" t="s">
        <v>461</v>
      </c>
      <c r="B23" s="870" t="s">
        <v>1015</v>
      </c>
      <c r="C23" s="875">
        <f>'Revenues 9-14'!B52</f>
        <v>1432</v>
      </c>
      <c r="D23" s="876" t="str">
        <f>'Revenues 9-14'!A52</f>
        <v>CTE - Transp Fees from Other Districts (In State)</v>
      </c>
      <c r="E23" s="868"/>
      <c r="F23" s="1873">
        <f>'Revenues 9-14'!F52</f>
        <v>0</v>
      </c>
      <c r="G23" s="865"/>
    </row>
    <row r="24" spans="1:7" x14ac:dyDescent="0.2">
      <c r="A24" s="869" t="s">
        <v>461</v>
      </c>
      <c r="B24" s="870" t="s">
        <v>1016</v>
      </c>
      <c r="C24" s="875">
        <f>'Revenues 9-14'!B56</f>
        <v>1442</v>
      </c>
      <c r="D24" s="876" t="str">
        <f>'Revenues 9-14'!A56</f>
        <v>Special Ed - Transp Fees from Other Districts (In State)</v>
      </c>
      <c r="E24" s="868"/>
      <c r="F24" s="1873">
        <f>'Revenues 9-14'!F56</f>
        <v>0</v>
      </c>
      <c r="G24" s="865"/>
    </row>
    <row r="25" spans="1:7" x14ac:dyDescent="0.2">
      <c r="A25" s="869" t="s">
        <v>461</v>
      </c>
      <c r="B25" s="870" t="s">
        <v>1017</v>
      </c>
      <c r="C25" s="875">
        <f>'Revenues 9-14'!B59</f>
        <v>1451</v>
      </c>
      <c r="D25" s="876" t="str">
        <f>'Revenues 9-14'!A59</f>
        <v>Adult - Transp Fees from Pupils or Parents (In State)</v>
      </c>
      <c r="E25" s="868"/>
      <c r="F25" s="1873">
        <f>'Revenues 9-14'!F59</f>
        <v>0</v>
      </c>
      <c r="G25" s="865"/>
    </row>
    <row r="26" spans="1:7" x14ac:dyDescent="0.2">
      <c r="A26" s="869" t="s">
        <v>461</v>
      </c>
      <c r="B26" s="870" t="s">
        <v>1018</v>
      </c>
      <c r="C26" s="875">
        <f>'Revenues 9-14'!B60</f>
        <v>1452</v>
      </c>
      <c r="D26" s="876" t="str">
        <f>'Revenues 9-14'!A60</f>
        <v>Adult - Transp Fees from Other Districts (In State)</v>
      </c>
      <c r="E26" s="868"/>
      <c r="F26" s="1873">
        <f>'Revenues 9-14'!F60</f>
        <v>0</v>
      </c>
      <c r="G26" s="865"/>
    </row>
    <row r="27" spans="1:7" x14ac:dyDescent="0.2">
      <c r="A27" s="869" t="s">
        <v>461</v>
      </c>
      <c r="B27" s="870" t="s">
        <v>1019</v>
      </c>
      <c r="C27" s="875">
        <f>'Revenues 9-14'!B61</f>
        <v>1453</v>
      </c>
      <c r="D27" s="876" t="str">
        <f>'Revenues 9-14'!A61</f>
        <v>Adult - Transp Fees from Other Sources (In State)</v>
      </c>
      <c r="E27" s="868"/>
      <c r="F27" s="1873">
        <f>'Revenues 9-14'!F61</f>
        <v>0</v>
      </c>
      <c r="G27" s="865"/>
    </row>
    <row r="28" spans="1:7" x14ac:dyDescent="0.2">
      <c r="A28" s="869" t="s">
        <v>461</v>
      </c>
      <c r="B28" s="870" t="s">
        <v>1020</v>
      </c>
      <c r="C28" s="875">
        <f>'Revenues 9-14'!B62</f>
        <v>1454</v>
      </c>
      <c r="D28" s="876" t="str">
        <f>'Revenues 9-14'!A62</f>
        <v>Adult - Transp Fees from Other Sources (Out of State)</v>
      </c>
      <c r="E28" s="868"/>
      <c r="F28" s="1873">
        <f>'Revenues 9-14'!F62</f>
        <v>0</v>
      </c>
      <c r="G28" s="865"/>
    </row>
    <row r="29" spans="1:7" x14ac:dyDescent="0.2">
      <c r="A29" s="869" t="s">
        <v>1097</v>
      </c>
      <c r="B29" s="870" t="s">
        <v>810</v>
      </c>
      <c r="C29" s="880">
        <f>'Revenues 9-14'!B149</f>
        <v>3410</v>
      </c>
      <c r="D29" s="881" t="str">
        <f>'Revenues 9-14'!A149</f>
        <v>Adult Ed (from ICCB)</v>
      </c>
      <c r="E29" s="868"/>
      <c r="F29" s="1873">
        <f>SUM('Revenues 9-14'!D149,'Revenues 9-14'!F149)</f>
        <v>0</v>
      </c>
      <c r="G29" s="865"/>
    </row>
    <row r="30" spans="1:7" x14ac:dyDescent="0.2">
      <c r="A30" s="869" t="s">
        <v>1097</v>
      </c>
      <c r="B30" s="870" t="s">
        <v>1960</v>
      </c>
      <c r="C30" s="880">
        <f>'Revenues 9-14'!B150</f>
        <v>3499</v>
      </c>
      <c r="D30" s="881" t="str">
        <f>'Revenues 9-14'!A150</f>
        <v>Adult Ed - Other (Describe &amp; Itemize)</v>
      </c>
      <c r="E30" s="868"/>
      <c r="F30" s="1874">
        <f>('Revenues 9-14'!D150+'Revenues 9-14'!F150)</f>
        <v>0</v>
      </c>
      <c r="G30" s="865"/>
    </row>
    <row r="31" spans="1:7" x14ac:dyDescent="0.2">
      <c r="A31" s="869" t="s">
        <v>1097</v>
      </c>
      <c r="B31" s="870" t="s">
        <v>1961</v>
      </c>
      <c r="C31" s="875">
        <f>'Revenues 9-14'!B211</f>
        <v>4600</v>
      </c>
      <c r="D31" s="883" t="str">
        <f>'Revenues 9-14'!A211</f>
        <v>Fed - Spec Education - Preschool Flow-Through</v>
      </c>
      <c r="E31" s="884"/>
      <c r="F31" s="1873">
        <f>SUM('Revenues 9-14'!D211,'Revenues 9-14'!F211)</f>
        <v>0</v>
      </c>
      <c r="G31" s="865"/>
    </row>
    <row r="32" spans="1:7" x14ac:dyDescent="0.2">
      <c r="A32" s="869" t="s">
        <v>1097</v>
      </c>
      <c r="B32" s="870" t="s">
        <v>1962</v>
      </c>
      <c r="C32" s="875">
        <f>'Revenues 9-14'!B212</f>
        <v>4605</v>
      </c>
      <c r="D32" s="885" t="str">
        <f>'Revenues 9-14'!A212</f>
        <v>Fed - Spec Education - Preschool Discretionary</v>
      </c>
      <c r="E32" s="884"/>
      <c r="F32" s="1873">
        <f>SUM('Revenues 9-14'!D212,'Revenues 9-14'!F212)</f>
        <v>0</v>
      </c>
      <c r="G32" s="865"/>
    </row>
    <row r="33" spans="1:7" x14ac:dyDescent="0.2">
      <c r="A33" s="869" t="s">
        <v>460</v>
      </c>
      <c r="B33" s="870" t="s">
        <v>1963</v>
      </c>
      <c r="C33" s="875">
        <f>'Revenues 9-14'!B222</f>
        <v>4810</v>
      </c>
      <c r="D33" s="883" t="str">
        <f>'Revenues 9-14'!A222</f>
        <v>Federal - Adult Education</v>
      </c>
      <c r="E33" s="868"/>
      <c r="F33" s="1873">
        <f>'Revenues 9-14'!D222</f>
        <v>0</v>
      </c>
      <c r="G33" s="865"/>
    </row>
    <row r="34" spans="1:7" x14ac:dyDescent="0.2">
      <c r="A34" s="869" t="s">
        <v>459</v>
      </c>
      <c r="B34" s="869" t="s">
        <v>1455</v>
      </c>
      <c r="C34" s="886" t="str">
        <f>'Expenditures 15-22'!B7</f>
        <v>1125</v>
      </c>
      <c r="D34" s="887" t="str">
        <f>'Expenditures 15-22'!A7</f>
        <v>Pre-K Programs</v>
      </c>
      <c r="E34" s="868"/>
      <c r="F34" s="1873">
        <f>'Expenditures 15-22'!K7-SUM('Expenditures 15-22'!G7,'Expenditures 15-22'!I7)</f>
        <v>62801</v>
      </c>
      <c r="G34" s="865"/>
    </row>
    <row r="35" spans="1:7" x14ac:dyDescent="0.2">
      <c r="A35" s="869" t="s">
        <v>459</v>
      </c>
      <c r="B35" s="869" t="s">
        <v>1456</v>
      </c>
      <c r="C35" s="886" t="str">
        <f>'Expenditures 15-22'!B9</f>
        <v>1225</v>
      </c>
      <c r="D35" s="887" t="str">
        <f>'Expenditures 15-22'!A9</f>
        <v>Special Education Programs Pre-K</v>
      </c>
      <c r="E35" s="868"/>
      <c r="F35" s="187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873">
        <f>'Expenditures 15-22'!K11-SUM('Expenditures 15-22'!G11,'Expenditures 15-22'!I11)</f>
        <v>0</v>
      </c>
      <c r="G36" s="865"/>
    </row>
    <row r="37" spans="1:7" x14ac:dyDescent="0.2">
      <c r="A37" s="869" t="s">
        <v>459</v>
      </c>
      <c r="B37" s="869" t="s">
        <v>1457</v>
      </c>
      <c r="C37" s="886">
        <f>'Expenditures 15-22'!B12</f>
        <v>1300</v>
      </c>
      <c r="D37" s="888" t="str">
        <f>'Expenditures 15-22'!A12</f>
        <v>Adult/Continuing Education Programs</v>
      </c>
      <c r="E37" s="868"/>
      <c r="F37" s="1873">
        <f>'Expenditures 15-22'!K12-SUM('Expenditures 15-22'!G12+'Expenditures 15-22'!I12)</f>
        <v>0</v>
      </c>
      <c r="G37" s="865"/>
    </row>
    <row r="38" spans="1:7" x14ac:dyDescent="0.2">
      <c r="A38" s="869" t="s">
        <v>459</v>
      </c>
      <c r="B38" s="869" t="s">
        <v>1458</v>
      </c>
      <c r="C38" s="886">
        <f>'Expenditures 15-22'!B15</f>
        <v>1600</v>
      </c>
      <c r="D38" s="888" t="str">
        <f>'Expenditures 15-22'!A15</f>
        <v>Summer School Programs</v>
      </c>
      <c r="E38" s="868"/>
      <c r="F38" s="187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873">
        <f>'Expenditures 15-22'!K20</f>
        <v>0</v>
      </c>
      <c r="G39" s="865"/>
    </row>
    <row r="40" spans="1:7" x14ac:dyDescent="0.2">
      <c r="A40" s="869" t="s">
        <v>459</v>
      </c>
      <c r="B40" s="869" t="s">
        <v>118</v>
      </c>
      <c r="C40" s="886" t="str">
        <f>'Expenditures 15-22'!B21</f>
        <v>1911</v>
      </c>
      <c r="D40" s="888" t="str">
        <f>'Expenditures 15-22'!A21</f>
        <v>Regular K-12 Programs - Private Tuition</v>
      </c>
      <c r="E40" s="868"/>
      <c r="F40" s="187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7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87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7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7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73">
        <f>'Expenditures 15-22'!K26</f>
        <v>0</v>
      </c>
      <c r="G45" s="865"/>
    </row>
    <row r="46" spans="1:7" x14ac:dyDescent="0.2">
      <c r="A46" s="869" t="s">
        <v>459</v>
      </c>
      <c r="B46" s="869" t="s">
        <v>124</v>
      </c>
      <c r="C46" s="886" t="str">
        <f>'Expenditures 15-22'!B27</f>
        <v>1917</v>
      </c>
      <c r="D46" s="888" t="str">
        <f>'Expenditures 15-22'!A27</f>
        <v>CTE Programs - Private Tuition</v>
      </c>
      <c r="E46" s="868"/>
      <c r="F46" s="187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7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73">
        <f>'Expenditures 15-22'!K29</f>
        <v>0</v>
      </c>
      <c r="G48" s="865"/>
    </row>
    <row r="49" spans="1:7" x14ac:dyDescent="0.2">
      <c r="A49" s="869" t="s">
        <v>459</v>
      </c>
      <c r="B49" s="869" t="s">
        <v>127</v>
      </c>
      <c r="C49" s="886" t="str">
        <f>'Expenditures 15-22'!B30</f>
        <v>1920</v>
      </c>
      <c r="D49" s="888" t="str">
        <f>'Expenditures 15-22'!A30</f>
        <v>Gifted Programs - Private Tuition</v>
      </c>
      <c r="E49" s="868"/>
      <c r="F49" s="1873">
        <f>'Expenditures 15-22'!K30</f>
        <v>0</v>
      </c>
      <c r="G49" s="865"/>
    </row>
    <row r="50" spans="1:7" x14ac:dyDescent="0.2">
      <c r="A50" s="869" t="s">
        <v>459</v>
      </c>
      <c r="B50" s="869" t="s">
        <v>128</v>
      </c>
      <c r="C50" s="886" t="str">
        <f>'Expenditures 15-22'!B31</f>
        <v>1921</v>
      </c>
      <c r="D50" s="888" t="str">
        <f>'Expenditures 15-22'!A31</f>
        <v>Bilingual Programs - Private Tuition</v>
      </c>
      <c r="E50" s="868"/>
      <c r="F50" s="1873">
        <f>'Expenditures 15-22'!K31</f>
        <v>0</v>
      </c>
      <c r="G50" s="865"/>
    </row>
    <row r="51" spans="1:7" x14ac:dyDescent="0.2">
      <c r="A51" s="869" t="s">
        <v>459</v>
      </c>
      <c r="B51" s="869" t="s">
        <v>1459</v>
      </c>
      <c r="C51" s="886" t="str">
        <f>'Expenditures 15-22'!B32</f>
        <v>1922</v>
      </c>
      <c r="D51" s="888" t="str">
        <f>'Expenditures 15-22'!A32</f>
        <v>Truants Alternative/Optional Ed Progms - Private Tuition</v>
      </c>
      <c r="E51" s="868"/>
      <c r="F51" s="1873">
        <f>'Expenditures 15-22'!K32</f>
        <v>0</v>
      </c>
      <c r="G51" s="865"/>
    </row>
    <row r="52" spans="1:7" x14ac:dyDescent="0.2">
      <c r="A52" s="869" t="s">
        <v>459</v>
      </c>
      <c r="B52" s="869" t="s">
        <v>1460</v>
      </c>
      <c r="C52" s="889" t="str">
        <f>'Expenditures 15-22'!B75</f>
        <v>3000</v>
      </c>
      <c r="D52" s="888" t="s">
        <v>449</v>
      </c>
      <c r="E52" s="868"/>
      <c r="F52" s="1873">
        <f>'Expenditures 15-22'!K75-SUM('Expenditures 15-22'!G75,'Expenditures 15-22'!I75)</f>
        <v>20739</v>
      </c>
      <c r="G52" s="865"/>
    </row>
    <row r="53" spans="1:7" x14ac:dyDescent="0.2">
      <c r="A53" s="869" t="s">
        <v>459</v>
      </c>
      <c r="B53" s="869" t="s">
        <v>1461</v>
      </c>
      <c r="C53" s="889">
        <f>'Expenditures 15-22'!B102</f>
        <v>4000</v>
      </c>
      <c r="D53" s="888" t="str">
        <f>'Expenditures 15-22'!A102</f>
        <v>Total Payments to Other Govt Units</v>
      </c>
      <c r="E53" s="868"/>
      <c r="F53" s="1873">
        <f>'Expenditures 15-22'!K102</f>
        <v>30548</v>
      </c>
      <c r="G53" s="865"/>
    </row>
    <row r="54" spans="1:7" x14ac:dyDescent="0.2">
      <c r="A54" s="869" t="s">
        <v>459</v>
      </c>
      <c r="B54" s="869" t="s">
        <v>1462</v>
      </c>
      <c r="C54" s="889" t="s">
        <v>982</v>
      </c>
      <c r="D54" s="885" t="s">
        <v>1095</v>
      </c>
      <c r="E54" s="868"/>
      <c r="F54" s="1873">
        <f>'Expenditures 15-22'!G114</f>
        <v>0</v>
      </c>
      <c r="G54" s="865"/>
    </row>
    <row r="55" spans="1:7" x14ac:dyDescent="0.2">
      <c r="A55" s="869" t="s">
        <v>459</v>
      </c>
      <c r="B55" s="869" t="s">
        <v>1463</v>
      </c>
      <c r="C55" s="889" t="s">
        <v>982</v>
      </c>
      <c r="D55" s="885" t="s">
        <v>291</v>
      </c>
      <c r="E55" s="868"/>
      <c r="F55" s="1873">
        <f>'Expenditures 15-22'!I114</f>
        <v>0</v>
      </c>
      <c r="G55" s="865"/>
    </row>
    <row r="56" spans="1:7" x14ac:dyDescent="0.2">
      <c r="A56" s="869" t="s">
        <v>460</v>
      </c>
      <c r="B56" s="869" t="s">
        <v>1464</v>
      </c>
      <c r="C56" s="886" t="str">
        <f>'Expenditures 15-22'!B130</f>
        <v>3000</v>
      </c>
      <c r="D56" s="892" t="s">
        <v>449</v>
      </c>
      <c r="E56" s="868"/>
      <c r="F56" s="1873">
        <f>'Expenditures 15-22'!K130-SUM('Expenditures 15-22'!G130+'Expenditures 15-22'!I130)</f>
        <v>0</v>
      </c>
      <c r="G56" s="865"/>
    </row>
    <row r="57" spans="1:7" x14ac:dyDescent="0.2">
      <c r="A57" s="869" t="s">
        <v>460</v>
      </c>
      <c r="B57" s="869" t="s">
        <v>1846</v>
      </c>
      <c r="C57" s="889">
        <f>'Expenditures 15-22'!B139</f>
        <v>4000</v>
      </c>
      <c r="D57" s="887" t="str">
        <f>'Expenditures 15-22'!A139</f>
        <v>Total Payments to Other Govt Units</v>
      </c>
      <c r="E57" s="868"/>
      <c r="F57" s="1873">
        <f>'Expenditures 15-22'!K139</f>
        <v>0</v>
      </c>
      <c r="G57" s="865"/>
    </row>
    <row r="58" spans="1:7" x14ac:dyDescent="0.2">
      <c r="A58" s="869" t="s">
        <v>460</v>
      </c>
      <c r="B58" s="869" t="s">
        <v>1847</v>
      </c>
      <c r="C58" s="886" t="s">
        <v>982</v>
      </c>
      <c r="D58" s="885" t="s">
        <v>1095</v>
      </c>
      <c r="E58" s="868"/>
      <c r="F58" s="1875">
        <f>'Expenditures 15-22'!G151</f>
        <v>0</v>
      </c>
      <c r="G58" s="865"/>
    </row>
    <row r="59" spans="1:7" x14ac:dyDescent="0.2">
      <c r="A59" s="893" t="s">
        <v>460</v>
      </c>
      <c r="B59" s="856" t="s">
        <v>1848</v>
      </c>
      <c r="C59" s="894" t="s">
        <v>982</v>
      </c>
      <c r="D59" s="856" t="s">
        <v>291</v>
      </c>
      <c r="F59" s="1876">
        <f>'Expenditures 15-22'!I151</f>
        <v>0</v>
      </c>
      <c r="G59" s="865"/>
    </row>
    <row r="60" spans="1:7" x14ac:dyDescent="0.2">
      <c r="A60" s="893" t="s">
        <v>499</v>
      </c>
      <c r="B60" s="856" t="s">
        <v>1849</v>
      </c>
      <c r="C60" s="894">
        <v>4000</v>
      </c>
      <c r="D60" s="856" t="s">
        <v>312</v>
      </c>
      <c r="F60" s="1874">
        <f>'Expenditures 15-22'!K160</f>
        <v>0</v>
      </c>
      <c r="G60" s="865"/>
    </row>
    <row r="61" spans="1:7" x14ac:dyDescent="0.2">
      <c r="A61" s="895" t="s">
        <v>499</v>
      </c>
      <c r="B61" s="895" t="s">
        <v>1850</v>
      </c>
      <c r="C61" s="896" t="str">
        <f>'Expenditures 15-22'!B170</f>
        <v>5300</v>
      </c>
      <c r="D61" s="897" t="s">
        <v>311</v>
      </c>
      <c r="E61" s="879"/>
      <c r="F61" s="1873">
        <f>'Expenditures 15-22'!K170</f>
        <v>35000</v>
      </c>
      <c r="G61" s="865"/>
    </row>
    <row r="62" spans="1:7" x14ac:dyDescent="0.2">
      <c r="A62" s="869" t="s">
        <v>461</v>
      </c>
      <c r="B62" s="869" t="s">
        <v>1851</v>
      </c>
      <c r="C62" s="886">
        <f>'Expenditures 15-22'!B185</f>
        <v>3000</v>
      </c>
      <c r="D62" s="876" t="s">
        <v>449</v>
      </c>
      <c r="E62" s="868"/>
      <c r="F62" s="1873">
        <f>'Expenditures 15-22'!K185-SUM('Expenditures 15-22'!G185,'Expenditures 15-22'!I185)</f>
        <v>0</v>
      </c>
      <c r="G62" s="865"/>
    </row>
    <row r="63" spans="1:7" x14ac:dyDescent="0.2">
      <c r="A63" s="869" t="s">
        <v>461</v>
      </c>
      <c r="B63" s="869" t="s">
        <v>1852</v>
      </c>
      <c r="C63" s="886" t="str">
        <f>'Expenditures 15-22'!B196</f>
        <v>4000</v>
      </c>
      <c r="D63" s="887" t="str">
        <f>'Expenditures 15-22'!A196</f>
        <v>Total Payments to Other Govt Units</v>
      </c>
      <c r="E63" s="868"/>
      <c r="F63" s="1873">
        <f>'Expenditures 15-22'!K196</f>
        <v>0</v>
      </c>
      <c r="G63" s="865"/>
    </row>
    <row r="64" spans="1:7" x14ac:dyDescent="0.2">
      <c r="A64" s="895" t="s">
        <v>461</v>
      </c>
      <c r="B64" s="895" t="s">
        <v>1853</v>
      </c>
      <c r="C64" s="896" t="str">
        <f>'Expenditures 15-22'!B206</f>
        <v>5300</v>
      </c>
      <c r="D64" s="892" t="s">
        <v>311</v>
      </c>
      <c r="E64" s="868"/>
      <c r="F64" s="1873">
        <f>'Expenditures 15-22'!K206</f>
        <v>10583</v>
      </c>
      <c r="G64" s="865"/>
    </row>
    <row r="65" spans="1:8" x14ac:dyDescent="0.2">
      <c r="A65" s="869" t="s">
        <v>461</v>
      </c>
      <c r="B65" s="869" t="s">
        <v>1854</v>
      </c>
      <c r="C65" s="886" t="s">
        <v>982</v>
      </c>
      <c r="D65" s="885" t="s">
        <v>1095</v>
      </c>
      <c r="E65" s="868"/>
      <c r="F65" s="1873">
        <f>'Expenditures 15-22'!G210</f>
        <v>0</v>
      </c>
      <c r="G65" s="865"/>
    </row>
    <row r="66" spans="1:8" x14ac:dyDescent="0.2">
      <c r="A66" s="869" t="s">
        <v>461</v>
      </c>
      <c r="B66" s="869" t="s">
        <v>1855</v>
      </c>
      <c r="C66" s="886" t="s">
        <v>982</v>
      </c>
      <c r="D66" s="885" t="s">
        <v>291</v>
      </c>
      <c r="E66" s="868"/>
      <c r="F66" s="1873">
        <f>'Expenditures 15-22'!I210</f>
        <v>0</v>
      </c>
      <c r="G66" s="865"/>
    </row>
    <row r="67" spans="1:8" x14ac:dyDescent="0.2">
      <c r="A67" s="869" t="s">
        <v>462</v>
      </c>
      <c r="B67" s="869" t="s">
        <v>1856</v>
      </c>
      <c r="C67" s="886" t="str">
        <f>'Expenditures 15-22'!B216</f>
        <v>1125</v>
      </c>
      <c r="D67" s="892" t="str">
        <f>'Expenditures 15-22'!A216</f>
        <v>Pre-K Programs</v>
      </c>
      <c r="E67" s="868"/>
      <c r="F67" s="1873">
        <f>'Expenditures 15-22'!K216</f>
        <v>3159</v>
      </c>
      <c r="G67" s="865"/>
    </row>
    <row r="68" spans="1:8" x14ac:dyDescent="0.2">
      <c r="A68" s="869" t="s">
        <v>462</v>
      </c>
      <c r="B68" s="869" t="s">
        <v>1465</v>
      </c>
      <c r="C68" s="886" t="str">
        <f>'Expenditures 15-22'!B218</f>
        <v>1225</v>
      </c>
      <c r="D68" s="892" t="str">
        <f>'Expenditures 15-22'!A218</f>
        <v>Special Education Programs - Pre-K</v>
      </c>
      <c r="E68" s="868"/>
      <c r="F68" s="1873">
        <f>'Expenditures 15-22'!K218</f>
        <v>0</v>
      </c>
      <c r="G68" s="865"/>
    </row>
    <row r="69" spans="1:8" x14ac:dyDescent="0.2">
      <c r="A69" s="869" t="s">
        <v>462</v>
      </c>
      <c r="B69" s="869" t="s">
        <v>1857</v>
      </c>
      <c r="C69" s="886" t="str">
        <f>'Expenditures 15-22'!B220</f>
        <v>1275</v>
      </c>
      <c r="D69" s="892" t="str">
        <f>'Expenditures 15-22'!A220</f>
        <v>Remedial and Supplemental Programs - Pre-K</v>
      </c>
      <c r="E69" s="868"/>
      <c r="F69" s="1873">
        <f>'Expenditures 15-22'!K220</f>
        <v>0</v>
      </c>
      <c r="G69" s="865"/>
    </row>
    <row r="70" spans="1:8" x14ac:dyDescent="0.2">
      <c r="A70" s="869" t="s">
        <v>462</v>
      </c>
      <c r="B70" s="869" t="s">
        <v>1858</v>
      </c>
      <c r="C70" s="886">
        <f>'Expenditures 15-22'!B221</f>
        <v>1300</v>
      </c>
      <c r="D70" s="887" t="str">
        <f>'Expenditures 15-22'!A221</f>
        <v>Adult/Continuing Education Programs</v>
      </c>
      <c r="E70" s="868"/>
      <c r="F70" s="1873">
        <f>'Expenditures 15-22'!K221</f>
        <v>0</v>
      </c>
      <c r="G70" s="865"/>
    </row>
    <row r="71" spans="1:8" x14ac:dyDescent="0.2">
      <c r="A71" s="869" t="s">
        <v>462</v>
      </c>
      <c r="B71" s="869" t="s">
        <v>1859</v>
      </c>
      <c r="C71" s="886">
        <f>'Expenditures 15-22'!B224</f>
        <v>1600</v>
      </c>
      <c r="D71" s="887" t="str">
        <f>'Expenditures 15-22'!A224</f>
        <v>Summer School Programs</v>
      </c>
      <c r="E71" s="868"/>
      <c r="F71" s="1873">
        <f>'Expenditures 15-22'!K224</f>
        <v>0</v>
      </c>
      <c r="G71" s="865"/>
    </row>
    <row r="72" spans="1:8" x14ac:dyDescent="0.2">
      <c r="A72" s="869" t="s">
        <v>462</v>
      </c>
      <c r="B72" s="869" t="s">
        <v>1860</v>
      </c>
      <c r="C72" s="886">
        <f>'Expenditures 15-22'!B280</f>
        <v>3000</v>
      </c>
      <c r="D72" s="876" t="s">
        <v>449</v>
      </c>
      <c r="E72" s="868"/>
      <c r="F72" s="1873">
        <f>'Expenditures 15-22'!K280</f>
        <v>942</v>
      </c>
      <c r="G72" s="865"/>
    </row>
    <row r="73" spans="1:8" x14ac:dyDescent="0.2">
      <c r="A73" s="869" t="s">
        <v>462</v>
      </c>
      <c r="B73" s="869" t="s">
        <v>1861</v>
      </c>
      <c r="C73" s="886" t="str">
        <f>'Expenditures 15-22'!B285</f>
        <v>4000</v>
      </c>
      <c r="D73" s="887" t="str">
        <f>'Expenditures 15-22'!A285</f>
        <v>Total Payments to Other Govt Units</v>
      </c>
      <c r="E73" s="868"/>
      <c r="F73" s="1873">
        <f>'Expenditures 15-22'!K285</f>
        <v>0</v>
      </c>
      <c r="G73" s="865"/>
    </row>
    <row r="74" spans="1:8" x14ac:dyDescent="0.2">
      <c r="A74" s="869" t="s">
        <v>436</v>
      </c>
      <c r="B74" s="869" t="s">
        <v>1862</v>
      </c>
      <c r="C74" s="886" t="s">
        <v>860</v>
      </c>
      <c r="D74" s="887" t="s">
        <v>1473</v>
      </c>
      <c r="E74" s="868"/>
      <c r="F74" s="187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1863</v>
      </c>
      <c r="E76" s="1774" t="s">
        <v>958</v>
      </c>
      <c r="F76" s="1778">
        <f>SUM(F18:F74)</f>
        <v>163772</v>
      </c>
      <c r="G76" s="865"/>
    </row>
    <row r="77" spans="1:8" s="893" customFormat="1" ht="12" customHeight="1" thickTop="1" thickBot="1" x14ac:dyDescent="0.25">
      <c r="A77" s="1779"/>
      <c r="B77" s="1776"/>
      <c r="C77" s="1772"/>
      <c r="D77" s="1777" t="s">
        <v>1864</v>
      </c>
      <c r="E77" s="1774"/>
      <c r="F77" s="1780">
        <f>(F14-F76)</f>
        <v>963768</v>
      </c>
      <c r="G77" s="869"/>
    </row>
    <row r="78" spans="1:8" s="893" customFormat="1" ht="12" customHeight="1" thickTop="1" x14ac:dyDescent="0.2">
      <c r="A78" s="1781"/>
      <c r="B78" s="1776"/>
      <c r="C78" s="1772"/>
      <c r="D78" s="1777" t="s">
        <v>2023</v>
      </c>
      <c r="E78" s="1774"/>
      <c r="F78" s="898">
        <v>82.971000000000004</v>
      </c>
      <c r="G78" s="899"/>
      <c r="H78" s="869"/>
    </row>
    <row r="79" spans="1:8" s="893" customFormat="1" ht="12" customHeight="1" thickBot="1" x14ac:dyDescent="0.25">
      <c r="A79" s="1782"/>
      <c r="B79" s="1776"/>
      <c r="C79" s="1772"/>
      <c r="D79" s="1777" t="s">
        <v>1865</v>
      </c>
      <c r="E79" s="1774" t="s">
        <v>958</v>
      </c>
      <c r="F79" s="1783">
        <f>IF(F78&gt;0,F77/F78," Complete Line 78")</f>
        <v>11615.721155584481</v>
      </c>
      <c r="G79" s="869"/>
    </row>
    <row r="80" spans="1:8" s="893" customFormat="1" ht="8.25" customHeight="1" thickTop="1" x14ac:dyDescent="0.2">
      <c r="A80" s="900"/>
      <c r="B80" s="869"/>
      <c r="C80" s="871"/>
      <c r="D80" s="901"/>
      <c r="E80" s="868"/>
      <c r="F80" s="902"/>
      <c r="G80" s="869"/>
    </row>
    <row r="81" spans="1:7" s="893" customFormat="1" ht="12" thickBot="1" x14ac:dyDescent="0.25">
      <c r="A81" s="2215" t="s">
        <v>1105</v>
      </c>
      <c r="B81" s="2216"/>
      <c r="C81" s="2216"/>
      <c r="D81" s="2216"/>
      <c r="E81" s="2216"/>
      <c r="F81" s="221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6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8448</v>
      </c>
      <c r="G94" s="912"/>
    </row>
    <row r="95" spans="1:7" x14ac:dyDescent="0.2">
      <c r="A95" s="908" t="s">
        <v>140</v>
      </c>
      <c r="B95" s="908" t="s">
        <v>175</v>
      </c>
      <c r="C95" s="910">
        <v>1700</v>
      </c>
      <c r="D95" s="918" t="str">
        <f>'Revenues 9-14'!A82</f>
        <v>Total District/School Activity Income</v>
      </c>
      <c r="E95" s="906"/>
      <c r="F95" s="1789">
        <f>SUM('Revenues 9-14'!C82,'Revenues 9-14'!D82)</f>
        <v>2802</v>
      </c>
      <c r="G95" s="912"/>
    </row>
    <row r="96" spans="1:7" x14ac:dyDescent="0.2">
      <c r="A96" s="908" t="s">
        <v>459</v>
      </c>
      <c r="B96" s="908" t="s">
        <v>176</v>
      </c>
      <c r="C96" s="910">
        <f>'Revenues 9-14'!B84</f>
        <v>1811</v>
      </c>
      <c r="D96" s="911" t="str">
        <f>'Revenues 9-14'!A84</f>
        <v>Rentals - Regular Textbooks</v>
      </c>
      <c r="E96" s="906"/>
      <c r="F96" s="1789">
        <f>'Revenues 9-14'!C84</f>
        <v>2461</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171</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25</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3626</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1964</v>
      </c>
      <c r="C105" s="913">
        <v>3100</v>
      </c>
      <c r="D105" s="919" t="str">
        <f>'Revenues 9-14'!A132</f>
        <v>Total Special Education</v>
      </c>
      <c r="E105" s="906"/>
      <c r="F105" s="1789">
        <f>SUM('Revenues 9-14'!C132:D132,'Revenues 9-14'!F132)</f>
        <v>0</v>
      </c>
      <c r="G105" s="912"/>
    </row>
    <row r="106" spans="1:7" x14ac:dyDescent="0.2">
      <c r="A106" s="908" t="s">
        <v>673</v>
      </c>
      <c r="B106" s="908" t="s">
        <v>1965</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1966</v>
      </c>
      <c r="C107" s="920">
        <v>3300</v>
      </c>
      <c r="D107" s="911" t="str">
        <f>'Revenues 9-14'!A145</f>
        <v>Total Bilingual Ed</v>
      </c>
      <c r="E107" s="906"/>
      <c r="F107" s="1789">
        <f>SUM('Revenues 9-14'!C145,'Revenues 9-14'!G145)</f>
        <v>0</v>
      </c>
      <c r="G107" s="912"/>
    </row>
    <row r="108" spans="1:7" x14ac:dyDescent="0.2">
      <c r="A108" s="908" t="s">
        <v>459</v>
      </c>
      <c r="B108" s="908" t="s">
        <v>1967</v>
      </c>
      <c r="C108" s="920">
        <f>'Revenues 9-14'!B146</f>
        <v>3360</v>
      </c>
      <c r="D108" s="911" t="str">
        <f>'Revenues 9-14'!A146</f>
        <v>State Free Lunch &amp; Breakfast</v>
      </c>
      <c r="E108" s="906"/>
      <c r="F108" s="1789">
        <f>'Revenues 9-14'!C146</f>
        <v>394</v>
      </c>
      <c r="G108" s="912"/>
    </row>
    <row r="109" spans="1:7" x14ac:dyDescent="0.2">
      <c r="A109" s="908" t="s">
        <v>673</v>
      </c>
      <c r="B109" s="908" t="s">
        <v>1968</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1969</v>
      </c>
      <c r="C110" s="920">
        <f>'Revenues 9-14'!B148</f>
        <v>3370</v>
      </c>
      <c r="D110" s="911" t="str">
        <f>'Revenues 9-14'!A148</f>
        <v>Driver Education</v>
      </c>
      <c r="E110" s="906"/>
      <c r="F110" s="1789">
        <f>SUM('Revenues 9-14'!C148,'Revenues 9-14'!D148)</f>
        <v>0</v>
      </c>
      <c r="G110" s="912"/>
    </row>
    <row r="111" spans="1:7" x14ac:dyDescent="0.2">
      <c r="A111" s="908" t="s">
        <v>668</v>
      </c>
      <c r="B111" s="908" t="s">
        <v>1970</v>
      </c>
      <c r="C111" s="922">
        <v>3500</v>
      </c>
      <c r="D111" s="911" t="str">
        <f>'Revenues 9-14'!A155</f>
        <v>Total Transportation</v>
      </c>
      <c r="E111" s="906"/>
      <c r="F111" s="1789">
        <f>SUM('Revenues 9-14'!C155,'Revenues 9-14'!D155,'Revenues 9-14'!F155,'Revenues 9-14'!G155)</f>
        <v>25018</v>
      </c>
      <c r="G111" s="912"/>
    </row>
    <row r="112" spans="1:7" x14ac:dyDescent="0.2">
      <c r="A112" s="908" t="s">
        <v>459</v>
      </c>
      <c r="B112" s="908" t="s">
        <v>1971</v>
      </c>
      <c r="C112" s="920">
        <f>'Revenues 9-14'!B156</f>
        <v>3610</v>
      </c>
      <c r="D112" s="911" t="str">
        <f>'Revenues 9-14'!A156</f>
        <v>Learning Improvement - Change Grants</v>
      </c>
      <c r="E112" s="906"/>
      <c r="F112" s="1789">
        <f>'Revenues 9-14'!C156</f>
        <v>0</v>
      </c>
      <c r="G112" s="912"/>
    </row>
    <row r="113" spans="1:7" x14ac:dyDescent="0.2">
      <c r="A113" s="908" t="s">
        <v>668</v>
      </c>
      <c r="B113" s="908" t="s">
        <v>1972</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1973</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1974</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1975</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1976</v>
      </c>
      <c r="C117" s="924">
        <f>'Revenues 9-14'!B162</f>
        <v>3775</v>
      </c>
      <c r="D117" s="925" t="str">
        <f>'Revenues 9-14'!A162</f>
        <v>School Safety &amp; Educational Improvement Block Grant</v>
      </c>
      <c r="E117" s="906"/>
      <c r="F117" s="1867">
        <f>SUM('Revenues 9-14'!C162,'Revenues 9-14'!D162,'Revenues 9-14'!E162,'Revenues 9-14'!F162,'Revenues 9-14'!G162)</f>
        <v>0</v>
      </c>
      <c r="G117" s="912"/>
    </row>
    <row r="118" spans="1:7" x14ac:dyDescent="0.2">
      <c r="A118" s="923" t="s">
        <v>1009</v>
      </c>
      <c r="B118" s="923" t="s">
        <v>1977</v>
      </c>
      <c r="C118" s="924">
        <f>'Revenues 9-14'!B163</f>
        <v>3780</v>
      </c>
      <c r="D118" s="925" t="str">
        <f>'Revenues 9-14'!A163</f>
        <v>Technology - Technology for Success</v>
      </c>
      <c r="E118" s="906"/>
      <c r="F118" s="1867">
        <f>SUM('Revenues 9-14'!C163:G163)</f>
        <v>0</v>
      </c>
      <c r="G118" s="912"/>
    </row>
    <row r="119" spans="1:7" x14ac:dyDescent="0.2">
      <c r="A119" s="923" t="s">
        <v>504</v>
      </c>
      <c r="B119" s="923" t="s">
        <v>1978</v>
      </c>
      <c r="C119" s="924">
        <f>'Revenues 9-14'!B164</f>
        <v>3815</v>
      </c>
      <c r="D119" s="925" t="str">
        <f>'Revenues 9-14'!A164</f>
        <v>State Charter Schools</v>
      </c>
      <c r="E119" s="906"/>
      <c r="F119" s="1867">
        <f>SUM('Revenues 9-14'!C164,'Revenues 9-14'!F164)</f>
        <v>0</v>
      </c>
      <c r="G119" s="912"/>
    </row>
    <row r="120" spans="1:7" x14ac:dyDescent="0.2">
      <c r="A120" s="927" t="s">
        <v>460</v>
      </c>
      <c r="B120" s="927" t="s">
        <v>1979</v>
      </c>
      <c r="C120" s="928">
        <f>'Revenues 9-14'!B167</f>
        <v>3925</v>
      </c>
      <c r="D120" s="929" t="str">
        <f>'Revenues 9-14'!A167</f>
        <v>School Infrastructure - Maintenance Projects</v>
      </c>
      <c r="E120" s="906"/>
      <c r="F120" s="1789">
        <f>'Revenues 9-14'!D167</f>
        <v>0</v>
      </c>
      <c r="G120" s="930"/>
    </row>
    <row r="121" spans="1:7" x14ac:dyDescent="0.2">
      <c r="A121" s="927" t="s">
        <v>500</v>
      </c>
      <c r="B121" s="927" t="s">
        <v>1980</v>
      </c>
      <c r="C121" s="928">
        <f>'Revenues 9-14'!B168</f>
        <v>3999</v>
      </c>
      <c r="D121" s="929" t="s">
        <v>543</v>
      </c>
      <c r="E121" s="931"/>
      <c r="F121" s="1789">
        <f>SUM('Revenues 9-14'!C168:G168,'Revenues 9-14'!J168)</f>
        <v>0</v>
      </c>
      <c r="G121" s="930"/>
    </row>
    <row r="122" spans="1:7" x14ac:dyDescent="0.2">
      <c r="A122" s="927" t="s">
        <v>459</v>
      </c>
      <c r="B122" s="927" t="s">
        <v>1981</v>
      </c>
      <c r="C122" s="932">
        <f>'Revenues 9-14'!B177</f>
        <v>4045</v>
      </c>
      <c r="D122" s="929" t="str">
        <f>'Revenues 9-14'!A177 &amp; " (Subtract)"</f>
        <v>Head Start (Subtract)</v>
      </c>
      <c r="E122" s="906"/>
      <c r="F122" s="1789">
        <f>SUM(-'Revenues 9-14'!C177)</f>
        <v>0</v>
      </c>
      <c r="G122" s="930"/>
    </row>
    <row r="123" spans="1:7" x14ac:dyDescent="0.2">
      <c r="A123" s="927" t="s">
        <v>668</v>
      </c>
      <c r="B123" s="927" t="s">
        <v>1982</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1983</v>
      </c>
      <c r="C124" s="932">
        <v>4100</v>
      </c>
      <c r="D124" s="933" t="str">
        <f>'Revenues 9-14'!A188</f>
        <v>Total Title V</v>
      </c>
      <c r="E124" s="906"/>
      <c r="F124" s="1789">
        <f>SUM('Revenues 9-14'!C188,'Revenues 9-14'!D188,'Revenues 9-14'!F188,'Revenues 9-14'!G188)</f>
        <v>26936</v>
      </c>
      <c r="G124" s="930"/>
    </row>
    <row r="125" spans="1:7" x14ac:dyDescent="0.2">
      <c r="A125" s="927" t="s">
        <v>664</v>
      </c>
      <c r="B125" s="927" t="s">
        <v>1984</v>
      </c>
      <c r="C125" s="932">
        <v>4200</v>
      </c>
      <c r="D125" s="929" t="str">
        <f>'Revenues 9-14'!A198</f>
        <v>Total Food Service</v>
      </c>
      <c r="E125" s="906"/>
      <c r="F125" s="1789">
        <f>SUM('Revenues 9-14'!C198,'Revenues 9-14'!G198)</f>
        <v>21138</v>
      </c>
      <c r="G125" s="930"/>
    </row>
    <row r="126" spans="1:7" x14ac:dyDescent="0.2">
      <c r="A126" s="927" t="s">
        <v>668</v>
      </c>
      <c r="B126" s="927" t="s">
        <v>1985</v>
      </c>
      <c r="C126" s="932">
        <v>4300</v>
      </c>
      <c r="D126" s="933" t="str">
        <f>'Revenues 9-14'!A204</f>
        <v>Total Title I</v>
      </c>
      <c r="E126" s="906"/>
      <c r="F126" s="1789">
        <f>SUM('Revenues 9-14'!C204,'Revenues 9-14'!D204,'Revenues 9-14'!F204,'Revenues 9-14'!G204)</f>
        <v>26944</v>
      </c>
      <c r="G126" s="930"/>
    </row>
    <row r="127" spans="1:7" x14ac:dyDescent="0.2">
      <c r="A127" s="927" t="s">
        <v>668</v>
      </c>
      <c r="B127" s="927" t="s">
        <v>1986</v>
      </c>
      <c r="C127" s="932">
        <v>4400</v>
      </c>
      <c r="D127" s="933" t="str">
        <f>'Revenues 9-14'!A209</f>
        <v>Total Title IV</v>
      </c>
      <c r="E127" s="906"/>
      <c r="F127" s="1789">
        <f>SUM('Revenues 9-14'!C209,'Revenues 9-14'!D209,'Revenues 9-14'!F209,'Revenues 9-14'!G209)</f>
        <v>10140</v>
      </c>
      <c r="G127" s="930"/>
    </row>
    <row r="128" spans="1:7" x14ac:dyDescent="0.2">
      <c r="A128" s="927" t="s">
        <v>668</v>
      </c>
      <c r="B128" s="927" t="s">
        <v>1987</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1988</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1989</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1990</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1991</v>
      </c>
      <c r="C133" s="935" t="s">
        <v>207</v>
      </c>
      <c r="D133" s="936" t="str">
        <f>'Revenues 9-14'!A224</f>
        <v>ARRA - Title I - Low Income</v>
      </c>
      <c r="E133" s="937"/>
      <c r="F133" s="1867">
        <f>SUM('Revenues 9-14'!$C$224:$D$224,'Revenues 9-14'!$F$224:$G$224)</f>
        <v>0</v>
      </c>
      <c r="G133" s="905"/>
    </row>
    <row r="134" spans="1:7" s="867" customFormat="1" hidden="1" x14ac:dyDescent="0.2">
      <c r="A134" s="934" t="s">
        <v>206</v>
      </c>
      <c r="B134" s="934" t="s">
        <v>1992</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1993</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1994</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1995</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1996</v>
      </c>
      <c r="C138" s="935" t="s">
        <v>212</v>
      </c>
      <c r="D138" s="936" t="str">
        <f>'Revenues 9-14'!A229</f>
        <v>ARRA - IDEA - Part B - Preschool</v>
      </c>
      <c r="E138" s="937"/>
      <c r="F138" s="1789">
        <v>0</v>
      </c>
      <c r="G138" s="905"/>
    </row>
    <row r="139" spans="1:7" s="867" customFormat="1" hidden="1" x14ac:dyDescent="0.2">
      <c r="A139" s="934" t="s">
        <v>206</v>
      </c>
      <c r="B139" s="934" t="s">
        <v>1997</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1998</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1999</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2000</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1402</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2001</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2002</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2003</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1403</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2004</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2005</v>
      </c>
      <c r="C157" s="940" t="s">
        <v>841</v>
      </c>
      <c r="D157" s="941" t="s">
        <v>777</v>
      </c>
      <c r="E157" s="942"/>
      <c r="F157" s="1789">
        <f>SUM(F133:F156)</f>
        <v>0</v>
      </c>
      <c r="G157" s="905"/>
    </row>
    <row r="158" spans="1:7" s="867" customFormat="1" x14ac:dyDescent="0.2">
      <c r="A158" s="938" t="s">
        <v>459</v>
      </c>
      <c r="B158" s="939" t="s">
        <v>2006</v>
      </c>
      <c r="C158" s="940" t="s">
        <v>1413</v>
      </c>
      <c r="D158" s="941" t="s">
        <v>1414</v>
      </c>
      <c r="E158" s="942"/>
      <c r="F158" s="1789">
        <f>SUM('Revenues 9-14'!C253)</f>
        <v>0</v>
      </c>
      <c r="G158" s="905"/>
    </row>
    <row r="159" spans="1:7" s="867" customFormat="1" x14ac:dyDescent="0.2">
      <c r="A159" s="938" t="s">
        <v>500</v>
      </c>
      <c r="B159" s="939" t="s">
        <v>2007</v>
      </c>
      <c r="C159" s="940" t="s">
        <v>1452</v>
      </c>
      <c r="D159" s="941" t="s">
        <v>1453</v>
      </c>
      <c r="E159" s="942"/>
      <c r="F159" s="1789">
        <f>SUM('Revenues 9-14'!C254:H254,'Revenues 9-14'!J254:K254)</f>
        <v>0</v>
      </c>
      <c r="G159" s="905"/>
    </row>
    <row r="160" spans="1:7" x14ac:dyDescent="0.2">
      <c r="A160" s="927" t="s">
        <v>5</v>
      </c>
      <c r="B160" s="927" t="s">
        <v>2008</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2009</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2010</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2011</v>
      </c>
      <c r="C163" s="945">
        <f>'Revenues 9-14'!B258</f>
        <v>4930</v>
      </c>
      <c r="D163" s="946" t="str">
        <f>'Revenues 9-14'!A258</f>
        <v>Title II - Eisenhower Professional Development Formula</v>
      </c>
      <c r="E163" s="926"/>
      <c r="F163" s="1867">
        <f>SUM('Revenues 9-14'!C258:D258,'Revenues 9-14'!F258,'Revenues 9-14'!G258)</f>
        <v>0</v>
      </c>
      <c r="G163" s="930"/>
    </row>
    <row r="164" spans="1:7" x14ac:dyDescent="0.2">
      <c r="A164" s="927" t="s">
        <v>668</v>
      </c>
      <c r="B164" s="927" t="s">
        <v>2012</v>
      </c>
      <c r="C164" s="932">
        <f>'Revenues 9-14'!B259</f>
        <v>4932</v>
      </c>
      <c r="D164" s="933" t="str">
        <f>'Revenues 9-14'!A259</f>
        <v>Title II - Teacher Quality</v>
      </c>
      <c r="E164" s="906"/>
      <c r="F164" s="1867">
        <f>SUM('Revenues 9-14'!C259,'Revenues 9-14'!D259,'Revenues 9-14'!F259,'Revenues 9-14'!G259)</f>
        <v>2347</v>
      </c>
      <c r="G164" s="930"/>
    </row>
    <row r="165" spans="1:7" x14ac:dyDescent="0.2">
      <c r="A165" s="927" t="s">
        <v>668</v>
      </c>
      <c r="B165" s="927" t="s">
        <v>2013</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1958</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1959</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2014</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2015</v>
      </c>
      <c r="C169" s="932">
        <f>'Revenues 9-14'!B264</f>
        <v>4992</v>
      </c>
      <c r="D169" s="933" t="str">
        <f>'Revenues 9-14'!A264</f>
        <v>Medicaid Matching Funds - Fee-for-Service Program</v>
      </c>
      <c r="E169" s="906"/>
      <c r="F169" s="1789">
        <f>SUM('Revenues 9-14'!C264:D264,'Revenues 9-14'!F264:G264)</f>
        <v>6975</v>
      </c>
      <c r="G169" s="947"/>
    </row>
    <row r="170" spans="1:7" x14ac:dyDescent="0.2">
      <c r="A170" s="948" t="s">
        <v>668</v>
      </c>
      <c r="B170" s="944" t="s">
        <v>2016</v>
      </c>
      <c r="C170" s="945">
        <f>'Revenues 9-14'!B265</f>
        <v>4999</v>
      </c>
      <c r="D170" s="946" t="str">
        <f>'Revenues 9-14'!A265</f>
        <v>Other Restricted Revenue from Federal Sources (Describe &amp; Itemize)</v>
      </c>
      <c r="E170" s="906"/>
      <c r="F170" s="1789">
        <f>SUM('Revenues 9-14'!C265:D265,'Revenues 9-14'!F265:G265)</f>
        <v>2283</v>
      </c>
      <c r="G170" s="927"/>
    </row>
    <row r="171" spans="1:7" x14ac:dyDescent="0.2">
      <c r="A171" s="1878" t="s">
        <v>5</v>
      </c>
      <c r="B171" s="1879" t="s">
        <v>1882</v>
      </c>
      <c r="C171" s="1880">
        <v>3100</v>
      </c>
      <c r="D171" s="1881" t="s">
        <v>1884</v>
      </c>
      <c r="E171" s="906"/>
      <c r="F171" s="1866">
        <v>66607</v>
      </c>
      <c r="G171" s="927"/>
    </row>
    <row r="172" spans="1:7" x14ac:dyDescent="0.2">
      <c r="A172" s="1878" t="s">
        <v>664</v>
      </c>
      <c r="B172" s="1879" t="s">
        <v>1882</v>
      </c>
      <c r="C172" s="1880">
        <v>3300</v>
      </c>
      <c r="D172" s="1881" t="s">
        <v>1885</v>
      </c>
      <c r="E172" s="906"/>
      <c r="F172" s="1866">
        <v>0</v>
      </c>
      <c r="G172" s="927"/>
    </row>
    <row r="173" spans="1:7" ht="6" customHeight="1" x14ac:dyDescent="0.2">
      <c r="A173" s="927"/>
      <c r="B173" s="927"/>
      <c r="C173" s="949"/>
      <c r="D173" s="927"/>
      <c r="E173" s="906"/>
      <c r="F173" s="950"/>
      <c r="G173" s="947"/>
    </row>
    <row r="174" spans="1:7" x14ac:dyDescent="0.2">
      <c r="A174" s="1770"/>
      <c r="B174" s="1784"/>
      <c r="C174" s="1785"/>
      <c r="D174" s="1786" t="s">
        <v>2017</v>
      </c>
      <c r="E174" s="1787" t="s">
        <v>958</v>
      </c>
      <c r="F174" s="1788">
        <f>SUM(F84:F132,F157:F172)</f>
        <v>206315</v>
      </c>
    </row>
    <row r="175" spans="1:7" ht="12" customHeight="1" x14ac:dyDescent="0.2">
      <c r="A175" s="1770"/>
      <c r="B175" s="1784"/>
      <c r="C175" s="1785"/>
      <c r="D175" s="1786" t="s">
        <v>2018</v>
      </c>
      <c r="E175" s="1787"/>
      <c r="F175" s="1789">
        <f>'PCTC-OEPP 27-28'!F77-F174</f>
        <v>757453</v>
      </c>
    </row>
    <row r="176" spans="1:7" ht="12" customHeight="1" x14ac:dyDescent="0.2">
      <c r="A176" s="1770"/>
      <c r="B176" s="1784"/>
      <c r="C176" s="1785"/>
      <c r="D176" s="1786" t="s">
        <v>1782</v>
      </c>
      <c r="E176" s="1787"/>
      <c r="F176" s="1789">
        <f>'Cap Outlay Deprec 26'!I18</f>
        <v>36401</v>
      </c>
    </row>
    <row r="177" spans="1:7" ht="12" customHeight="1" x14ac:dyDescent="0.2">
      <c r="A177" s="1770"/>
      <c r="B177" s="1784"/>
      <c r="C177" s="1785"/>
      <c r="D177" s="1786" t="s">
        <v>2019</v>
      </c>
      <c r="E177" s="1787"/>
      <c r="F177" s="1789">
        <f>F175+F176</f>
        <v>793854</v>
      </c>
    </row>
    <row r="178" spans="1:7" ht="12" customHeight="1" x14ac:dyDescent="0.2">
      <c r="A178" s="1770"/>
      <c r="B178" s="1790"/>
      <c r="C178" s="1785"/>
      <c r="D178" s="1786" t="str">
        <f>D78</f>
        <v>9 Month ADA from District Average Daily Attendance/Prior General State Aid Inquiry 2018-2019</v>
      </c>
      <c r="E178" s="1787"/>
      <c r="F178" s="1791">
        <f>'PCTC-OEPP 27-28'!F78</f>
        <v>82.971000000000004</v>
      </c>
      <c r="G178" s="930"/>
    </row>
    <row r="179" spans="1:7" ht="12" customHeight="1" thickBot="1" x14ac:dyDescent="0.25">
      <c r="A179" s="1770"/>
      <c r="B179" s="1790"/>
      <c r="C179" s="1785"/>
      <c r="D179" s="1786" t="s">
        <v>2020</v>
      </c>
      <c r="E179" s="1787" t="s">
        <v>1515</v>
      </c>
      <c r="F179" s="1792">
        <f>F177/F178</f>
        <v>9567.8490074845431</v>
      </c>
      <c r="G179" s="856">
        <v>6323</v>
      </c>
    </row>
    <row r="180" spans="1:7" ht="12" thickTop="1" x14ac:dyDescent="0.2">
      <c r="B180" s="930"/>
      <c r="C180" s="949"/>
      <c r="D180" s="930"/>
      <c r="E180" s="949"/>
      <c r="F180" s="930"/>
      <c r="G180" s="951">
        <v>6326</v>
      </c>
    </row>
    <row r="181" spans="1:7" ht="12.2" customHeight="1" x14ac:dyDescent="0.2">
      <c r="A181" s="930" t="s">
        <v>1883</v>
      </c>
      <c r="B181" s="930"/>
      <c r="C181" s="949"/>
      <c r="D181" s="930"/>
      <c r="E181" s="949"/>
      <c r="F181" s="930"/>
      <c r="G181" s="930"/>
    </row>
    <row r="182" spans="1:7" s="1882" customFormat="1" ht="12.2" customHeight="1" x14ac:dyDescent="0.2">
      <c r="A182" s="1882" t="s">
        <v>1955</v>
      </c>
      <c r="B182" s="1883"/>
      <c r="C182" s="1884"/>
      <c r="D182" s="1883"/>
      <c r="E182" s="1884"/>
      <c r="F182" s="1883"/>
      <c r="G182" s="1883"/>
    </row>
    <row r="183" spans="1:7" s="1882" customFormat="1" ht="12.2" customHeight="1" x14ac:dyDescent="0.2">
      <c r="A183" s="1885" t="s">
        <v>1957</v>
      </c>
      <c r="C183" s="1884"/>
      <c r="D183" s="1883"/>
      <c r="E183" s="1884"/>
      <c r="F183" s="1883"/>
      <c r="G183" s="1883"/>
    </row>
    <row r="184" spans="1:7" ht="12" customHeight="1" x14ac:dyDescent="0.2">
      <c r="C184" s="949"/>
      <c r="D184" s="930"/>
      <c r="E184" s="949"/>
      <c r="F184" s="930"/>
      <c r="G184" s="930"/>
    </row>
    <row r="185" spans="1:7" x14ac:dyDescent="0.2">
      <c r="A185" s="1886" t="s">
        <v>1887</v>
      </c>
      <c r="B185" s="1887" t="s">
        <v>1886</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24" sqref="A24"/>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1797</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29" t="s">
        <v>1783</v>
      </c>
      <c r="B4" s="2230"/>
      <c r="C4" s="2230"/>
      <c r="D4" s="2230"/>
      <c r="E4" s="2230"/>
      <c r="F4" s="2230"/>
      <c r="G4" s="2231"/>
    </row>
    <row r="5" spans="1:7" x14ac:dyDescent="0.25">
      <c r="A5" s="2232"/>
      <c r="B5" s="2233"/>
      <c r="C5" s="2233"/>
      <c r="D5" s="2233"/>
      <c r="E5" s="2233"/>
      <c r="F5" s="2233"/>
      <c r="G5" s="2234"/>
    </row>
    <row r="6" spans="1:7" ht="18.75" x14ac:dyDescent="0.25">
      <c r="A6" s="1534" t="s">
        <v>1784</v>
      </c>
      <c r="B6" s="1535"/>
      <c r="C6" s="1535"/>
      <c r="D6" s="1535"/>
      <c r="E6" s="1535"/>
      <c r="F6" s="1535"/>
      <c r="G6" s="1536"/>
    </row>
    <row r="7" spans="1:7" ht="30.75" customHeight="1" x14ac:dyDescent="0.25">
      <c r="A7" s="2235" t="s">
        <v>1894</v>
      </c>
      <c r="B7" s="2236"/>
      <c r="C7" s="2236"/>
      <c r="D7" s="2236"/>
      <c r="E7" s="2236"/>
      <c r="F7" s="2236"/>
      <c r="G7" s="2237"/>
    </row>
    <row r="8" spans="1:7" ht="15.75" customHeight="1" x14ac:dyDescent="0.25">
      <c r="A8" s="2238" t="s">
        <v>1871</v>
      </c>
      <c r="B8" s="2239"/>
      <c r="C8" s="2239"/>
      <c r="D8" s="2239"/>
      <c r="E8" s="2239"/>
      <c r="F8" s="2239"/>
      <c r="G8" s="2240"/>
    </row>
    <row r="9" spans="1:7" ht="35.25" customHeight="1" x14ac:dyDescent="0.25">
      <c r="A9" s="2235" t="s">
        <v>1897</v>
      </c>
      <c r="B9" s="2236"/>
      <c r="C9" s="2236"/>
      <c r="D9" s="2236"/>
      <c r="E9" s="2236"/>
      <c r="F9" s="2236"/>
      <c r="G9" s="2237"/>
    </row>
    <row r="10" spans="1:7" ht="15" customHeight="1" x14ac:dyDescent="0.25">
      <c r="A10" s="1537" t="s">
        <v>1785</v>
      </c>
      <c r="B10" s="1538"/>
      <c r="C10" s="1538"/>
      <c r="D10" s="1538"/>
      <c r="E10" s="1538"/>
      <c r="F10" s="1538"/>
      <c r="G10" s="1539"/>
    </row>
    <row r="11" spans="1:7" ht="17.25" customHeight="1" x14ac:dyDescent="0.25">
      <c r="A11" s="2235" t="s">
        <v>1896</v>
      </c>
      <c r="B11" s="2236"/>
      <c r="C11" s="2236"/>
      <c r="D11" s="2236"/>
      <c r="E11" s="2236"/>
      <c r="F11" s="2236"/>
      <c r="G11" s="2237"/>
    </row>
    <row r="12" spans="1:7" ht="15" customHeight="1" x14ac:dyDescent="0.25">
      <c r="A12" s="1537" t="s">
        <v>1790</v>
      </c>
      <c r="B12" s="1538"/>
      <c r="C12" s="1538"/>
      <c r="D12" s="1538"/>
      <c r="E12" s="1538"/>
      <c r="F12" s="1538"/>
      <c r="G12" s="1539"/>
    </row>
    <row r="13" spans="1:7" ht="32.25" customHeight="1" x14ac:dyDescent="0.25">
      <c r="A13" s="2226" t="s">
        <v>1938</v>
      </c>
      <c r="B13" s="2227"/>
      <c r="C13" s="2227"/>
      <c r="D13" s="2227"/>
      <c r="E13" s="2227"/>
      <c r="F13" s="2227"/>
      <c r="G13" s="2228"/>
    </row>
    <row r="14" spans="1:7" x14ac:dyDescent="0.25">
      <c r="A14" s="1661" t="s">
        <v>1798</v>
      </c>
      <c r="B14" s="1662"/>
      <c r="C14" s="1662"/>
      <c r="D14" s="1662"/>
      <c r="E14" s="1662"/>
      <c r="F14" s="1662"/>
      <c r="G14" s="1663"/>
    </row>
    <row r="15" spans="1:7" ht="61.5" customHeight="1" x14ac:dyDescent="0.25">
      <c r="A15" s="1546" t="s">
        <v>1791</v>
      </c>
      <c r="B15" s="1546" t="s">
        <v>1792</v>
      </c>
      <c r="C15" s="1546" t="s">
        <v>1793</v>
      </c>
      <c r="D15" s="1547" t="s">
        <v>1794</v>
      </c>
      <c r="E15" s="1547" t="s">
        <v>1786</v>
      </c>
      <c r="F15" s="1547" t="s">
        <v>1795</v>
      </c>
      <c r="G15" s="1547" t="s">
        <v>1796</v>
      </c>
    </row>
    <row r="16" spans="1:7" x14ac:dyDescent="0.25">
      <c r="A16" s="1648" t="s">
        <v>1799</v>
      </c>
      <c r="B16" s="1649" t="s">
        <v>1789</v>
      </c>
      <c r="C16" s="1650" t="s">
        <v>1787</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30" x14ac:dyDescent="0.25">
      <c r="A17" s="1897" t="s">
        <v>2045</v>
      </c>
      <c r="B17" s="1898" t="s">
        <v>2046</v>
      </c>
      <c r="C17" s="1899" t="s">
        <v>2047</v>
      </c>
      <c r="D17" s="1844">
        <v>1527</v>
      </c>
      <c r="E17" s="1540">
        <f t="shared" ref="E17:E141" si="0">IF(D17&lt;=25000,D17,IF(D17&gt;25000,25000,0))</f>
        <v>1527</v>
      </c>
      <c r="F17" s="189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1527</v>
      </c>
      <c r="G17" s="1793">
        <f>IF(F17=0,0,D17-F17)</f>
        <v>0</v>
      </c>
      <c r="H17" s="1647"/>
    </row>
    <row r="18" spans="1:8" ht="30" x14ac:dyDescent="0.25">
      <c r="A18" s="1897" t="s">
        <v>2045</v>
      </c>
      <c r="B18" s="1898" t="s">
        <v>2046</v>
      </c>
      <c r="C18" s="1899" t="s">
        <v>2048</v>
      </c>
      <c r="D18" s="1844">
        <v>2707</v>
      </c>
      <c r="E18" s="1540">
        <f t="shared" ref="E18:E140" si="2">IF(D18&lt;=25000,D18,IF(D18&gt;25000,25000,0))</f>
        <v>2707</v>
      </c>
      <c r="F18" s="1892">
        <f t="shared" si="1"/>
        <v>2707</v>
      </c>
      <c r="G18" s="1793">
        <f t="shared" ref="G18:G140" si="3">IF(F18=0,0,D18-F18)</f>
        <v>0</v>
      </c>
    </row>
    <row r="19" spans="1:8" ht="30" x14ac:dyDescent="0.25">
      <c r="A19" s="1897" t="s">
        <v>2045</v>
      </c>
      <c r="B19" s="1898" t="s">
        <v>2046</v>
      </c>
      <c r="C19" s="1899" t="s">
        <v>2049</v>
      </c>
      <c r="D19" s="1844">
        <v>1752</v>
      </c>
      <c r="E19" s="1540">
        <f t="shared" si="2"/>
        <v>1752</v>
      </c>
      <c r="F19" s="1892">
        <f t="shared" si="1"/>
        <v>1752</v>
      </c>
      <c r="G19" s="1793">
        <f t="shared" si="3"/>
        <v>0</v>
      </c>
    </row>
    <row r="20" spans="1:8" ht="30" x14ac:dyDescent="0.25">
      <c r="A20" s="1897" t="s">
        <v>2045</v>
      </c>
      <c r="B20" s="1898" t="s">
        <v>2046</v>
      </c>
      <c r="C20" s="1899" t="s">
        <v>2050</v>
      </c>
      <c r="D20" s="1844">
        <v>1368</v>
      </c>
      <c r="E20" s="1540">
        <f t="shared" si="2"/>
        <v>1368</v>
      </c>
      <c r="F20" s="1892">
        <f t="shared" si="1"/>
        <v>1368</v>
      </c>
      <c r="G20" s="1793">
        <f t="shared" si="3"/>
        <v>0</v>
      </c>
    </row>
    <row r="21" spans="1:8" x14ac:dyDescent="0.25">
      <c r="A21" s="1653"/>
      <c r="B21" s="1894"/>
      <c r="C21" s="1656"/>
      <c r="D21" s="1844"/>
      <c r="E21" s="1540">
        <f t="shared" si="2"/>
        <v>0</v>
      </c>
      <c r="F21" s="1892">
        <f t="shared" si="1"/>
        <v>0</v>
      </c>
      <c r="G21" s="1793">
        <f t="shared" si="3"/>
        <v>0</v>
      </c>
    </row>
    <row r="22" spans="1:8" x14ac:dyDescent="0.25">
      <c r="A22" s="1653"/>
      <c r="B22" s="1894"/>
      <c r="C22" s="1656"/>
      <c r="D22" s="1844"/>
      <c r="E22" s="1540">
        <f t="shared" si="2"/>
        <v>0</v>
      </c>
      <c r="F22" s="1892">
        <f t="shared" si="1"/>
        <v>0</v>
      </c>
      <c r="G22" s="1793">
        <f t="shared" si="3"/>
        <v>0</v>
      </c>
    </row>
    <row r="23" spans="1:8" x14ac:dyDescent="0.25">
      <c r="A23" s="1653"/>
      <c r="B23" s="1894"/>
      <c r="C23" s="1656"/>
      <c r="D23" s="1844"/>
      <c r="E23" s="1540">
        <f t="shared" si="2"/>
        <v>0</v>
      </c>
      <c r="F23" s="1892">
        <f t="shared" si="1"/>
        <v>0</v>
      </c>
      <c r="G23" s="1793">
        <f t="shared" si="3"/>
        <v>0</v>
      </c>
    </row>
    <row r="24" spans="1:8" x14ac:dyDescent="0.25">
      <c r="A24" s="1653"/>
      <c r="B24" s="1894"/>
      <c r="C24" s="1656"/>
      <c r="D24" s="1844"/>
      <c r="E24" s="1540">
        <f t="shared" si="2"/>
        <v>0</v>
      </c>
      <c r="F24" s="1892">
        <f t="shared" si="1"/>
        <v>0</v>
      </c>
      <c r="G24" s="1793">
        <f t="shared" si="3"/>
        <v>0</v>
      </c>
    </row>
    <row r="25" spans="1:8" x14ac:dyDescent="0.25">
      <c r="A25" s="1653"/>
      <c r="B25" s="1894"/>
      <c r="C25" s="1656"/>
      <c r="D25" s="1844"/>
      <c r="E25" s="1540">
        <f t="shared" si="2"/>
        <v>0</v>
      </c>
      <c r="F25" s="1892">
        <f t="shared" si="1"/>
        <v>0</v>
      </c>
      <c r="G25" s="1793">
        <f t="shared" si="3"/>
        <v>0</v>
      </c>
    </row>
    <row r="26" spans="1:8" x14ac:dyDescent="0.25">
      <c r="A26" s="1653"/>
      <c r="B26" s="1894"/>
      <c r="C26" s="1654"/>
      <c r="D26" s="1844"/>
      <c r="E26" s="1540">
        <f t="shared" si="2"/>
        <v>0</v>
      </c>
      <c r="F26" s="1892">
        <f t="shared" si="1"/>
        <v>0</v>
      </c>
      <c r="G26" s="1793">
        <f t="shared" si="3"/>
        <v>0</v>
      </c>
    </row>
    <row r="27" spans="1:8" x14ac:dyDescent="0.25">
      <c r="A27" s="1653"/>
      <c r="B27" s="1894"/>
      <c r="C27" s="1654"/>
      <c r="D27" s="1844"/>
      <c r="E27" s="1540">
        <f t="shared" si="2"/>
        <v>0</v>
      </c>
      <c r="F27" s="1892">
        <f t="shared" si="1"/>
        <v>0</v>
      </c>
      <c r="G27" s="1793">
        <f t="shared" si="3"/>
        <v>0</v>
      </c>
    </row>
    <row r="28" spans="1:8" x14ac:dyDescent="0.25">
      <c r="A28" s="1653"/>
      <c r="B28" s="1894"/>
      <c r="C28" s="1654"/>
      <c r="D28" s="1844"/>
      <c r="E28" s="1540">
        <f t="shared" si="2"/>
        <v>0</v>
      </c>
      <c r="F28" s="1892">
        <f t="shared" si="1"/>
        <v>0</v>
      </c>
      <c r="G28" s="1793">
        <f t="shared" si="3"/>
        <v>0</v>
      </c>
    </row>
    <row r="29" spans="1:8" x14ac:dyDescent="0.25">
      <c r="A29" s="1653"/>
      <c r="B29" s="1894"/>
      <c r="C29" s="1654"/>
      <c r="D29" s="1844"/>
      <c r="E29" s="1540">
        <f t="shared" si="2"/>
        <v>0</v>
      </c>
      <c r="F29" s="1892">
        <f t="shared" si="1"/>
        <v>0</v>
      </c>
      <c r="G29" s="1793">
        <f t="shared" si="3"/>
        <v>0</v>
      </c>
    </row>
    <row r="30" spans="1:8" x14ac:dyDescent="0.25">
      <c r="A30" s="1653"/>
      <c r="B30" s="1894"/>
      <c r="C30" s="1654"/>
      <c r="D30" s="1844"/>
      <c r="E30" s="1540">
        <f t="shared" si="2"/>
        <v>0</v>
      </c>
      <c r="F30" s="1892">
        <f t="shared" si="1"/>
        <v>0</v>
      </c>
      <c r="G30" s="1793">
        <f t="shared" si="3"/>
        <v>0</v>
      </c>
    </row>
    <row r="31" spans="1:8" x14ac:dyDescent="0.25">
      <c r="A31" s="1653"/>
      <c r="B31" s="1894"/>
      <c r="C31" s="1654"/>
      <c r="D31" s="1844"/>
      <c r="E31" s="1540">
        <f t="shared" si="2"/>
        <v>0</v>
      </c>
      <c r="F31" s="1892">
        <f t="shared" si="1"/>
        <v>0</v>
      </c>
      <c r="G31" s="1793">
        <f t="shared" si="3"/>
        <v>0</v>
      </c>
    </row>
    <row r="32" spans="1:8" x14ac:dyDescent="0.25">
      <c r="A32" s="1653"/>
      <c r="B32" s="1894"/>
      <c r="C32" s="1654"/>
      <c r="D32" s="1844"/>
      <c r="E32" s="1540">
        <f t="shared" si="2"/>
        <v>0</v>
      </c>
      <c r="F32" s="1892">
        <f t="shared" si="1"/>
        <v>0</v>
      </c>
      <c r="G32" s="1793">
        <f t="shared" si="3"/>
        <v>0</v>
      </c>
    </row>
    <row r="33" spans="1:7" x14ac:dyDescent="0.25">
      <c r="A33" s="1653"/>
      <c r="B33" s="1894"/>
      <c r="C33" s="1654"/>
      <c r="D33" s="1844"/>
      <c r="E33" s="1540">
        <f t="shared" si="2"/>
        <v>0</v>
      </c>
      <c r="F33" s="1892">
        <f t="shared" si="1"/>
        <v>0</v>
      </c>
      <c r="G33" s="1793">
        <f t="shared" si="3"/>
        <v>0</v>
      </c>
    </row>
    <row r="34" spans="1:7" x14ac:dyDescent="0.25">
      <c r="A34" s="1653"/>
      <c r="B34" s="1894"/>
      <c r="C34" s="1654"/>
      <c r="D34" s="1844"/>
      <c r="E34" s="1540">
        <f t="shared" si="2"/>
        <v>0</v>
      </c>
      <c r="F34" s="1892">
        <f t="shared" si="1"/>
        <v>0</v>
      </c>
      <c r="G34" s="1793">
        <f t="shared" si="3"/>
        <v>0</v>
      </c>
    </row>
    <row r="35" spans="1:7" hidden="1" x14ac:dyDescent="0.25">
      <c r="A35" s="1653"/>
      <c r="B35" s="1894"/>
      <c r="C35" s="1654"/>
      <c r="D35" s="1844"/>
      <c r="E35" s="1540">
        <f t="shared" si="2"/>
        <v>0</v>
      </c>
      <c r="F35" s="1892">
        <f t="shared" si="1"/>
        <v>0</v>
      </c>
      <c r="G35" s="1793">
        <f t="shared" si="3"/>
        <v>0</v>
      </c>
    </row>
    <row r="36" spans="1:7" hidden="1" x14ac:dyDescent="0.25">
      <c r="A36" s="1653"/>
      <c r="B36" s="1894"/>
      <c r="C36" s="1654"/>
      <c r="D36" s="1844"/>
      <c r="E36" s="1540">
        <f t="shared" si="2"/>
        <v>0</v>
      </c>
      <c r="F36" s="1892">
        <f t="shared" si="1"/>
        <v>0</v>
      </c>
      <c r="G36" s="1793">
        <f t="shared" si="3"/>
        <v>0</v>
      </c>
    </row>
    <row r="37" spans="1:7" hidden="1" x14ac:dyDescent="0.25">
      <c r="A37" s="1653"/>
      <c r="B37" s="1894"/>
      <c r="C37" s="1654"/>
      <c r="D37" s="1844"/>
      <c r="E37" s="1540">
        <f t="shared" si="2"/>
        <v>0</v>
      </c>
      <c r="F37" s="1892">
        <f t="shared" si="1"/>
        <v>0</v>
      </c>
      <c r="G37" s="1793">
        <f t="shared" si="3"/>
        <v>0</v>
      </c>
    </row>
    <row r="38" spans="1:7" hidden="1" x14ac:dyDescent="0.25">
      <c r="A38" s="1653"/>
      <c r="B38" s="1895"/>
      <c r="C38" s="1654"/>
      <c r="D38" s="1844"/>
      <c r="E38" s="1540">
        <f t="shared" si="2"/>
        <v>0</v>
      </c>
      <c r="F38" s="1892">
        <f t="shared" si="1"/>
        <v>0</v>
      </c>
      <c r="G38" s="1793">
        <f t="shared" si="3"/>
        <v>0</v>
      </c>
    </row>
    <row r="39" spans="1:7" hidden="1" x14ac:dyDescent="0.25">
      <c r="A39" s="1653"/>
      <c r="B39" s="1895"/>
      <c r="C39" s="1654"/>
      <c r="D39" s="1844"/>
      <c r="E39" s="1540">
        <f t="shared" si="2"/>
        <v>0</v>
      </c>
      <c r="F39" s="1892">
        <f t="shared" si="1"/>
        <v>0</v>
      </c>
      <c r="G39" s="1793">
        <f t="shared" si="3"/>
        <v>0</v>
      </c>
    </row>
    <row r="40" spans="1:7" hidden="1" x14ac:dyDescent="0.25">
      <c r="A40" s="1653"/>
      <c r="B40" s="1895"/>
      <c r="C40" s="1654"/>
      <c r="D40" s="1844"/>
      <c r="E40" s="1540">
        <f t="shared" si="2"/>
        <v>0</v>
      </c>
      <c r="F40" s="1892">
        <f t="shared" si="1"/>
        <v>0</v>
      </c>
      <c r="G40" s="1793">
        <f t="shared" si="3"/>
        <v>0</v>
      </c>
    </row>
    <row r="41" spans="1:7" hidden="1" x14ac:dyDescent="0.25">
      <c r="A41" s="1653"/>
      <c r="B41" s="1895"/>
      <c r="C41" s="1654"/>
      <c r="D41" s="1844"/>
      <c r="E41" s="1540">
        <f t="shared" si="2"/>
        <v>0</v>
      </c>
      <c r="F41" s="1892">
        <f t="shared" si="1"/>
        <v>0</v>
      </c>
      <c r="G41" s="1793">
        <f t="shared" si="3"/>
        <v>0</v>
      </c>
    </row>
    <row r="42" spans="1:7" hidden="1" x14ac:dyDescent="0.25">
      <c r="A42" s="1653"/>
      <c r="B42" s="1895"/>
      <c r="C42" s="1654"/>
      <c r="D42" s="1844"/>
      <c r="E42" s="1540">
        <f t="shared" si="2"/>
        <v>0</v>
      </c>
      <c r="F42" s="1892">
        <f t="shared" si="1"/>
        <v>0</v>
      </c>
      <c r="G42" s="1793">
        <f t="shared" si="3"/>
        <v>0</v>
      </c>
    </row>
    <row r="43" spans="1:7" hidden="1" x14ac:dyDescent="0.25">
      <c r="A43" s="1653"/>
      <c r="B43" s="1895"/>
      <c r="C43" s="1654"/>
      <c r="D43" s="1844"/>
      <c r="E43" s="1540">
        <f t="shared" si="2"/>
        <v>0</v>
      </c>
      <c r="F43" s="1892">
        <f t="shared" si="1"/>
        <v>0</v>
      </c>
      <c r="G43" s="1793">
        <f t="shared" si="3"/>
        <v>0</v>
      </c>
    </row>
    <row r="44" spans="1:7" hidden="1" x14ac:dyDescent="0.25">
      <c r="A44" s="1653"/>
      <c r="B44" s="1895"/>
      <c r="C44" s="1654"/>
      <c r="D44" s="1844"/>
      <c r="E44" s="1540">
        <f t="shared" si="2"/>
        <v>0</v>
      </c>
      <c r="F44" s="1892">
        <f t="shared" si="1"/>
        <v>0</v>
      </c>
      <c r="G44" s="1793">
        <f t="shared" si="3"/>
        <v>0</v>
      </c>
    </row>
    <row r="45" spans="1:7" hidden="1" x14ac:dyDescent="0.25">
      <c r="A45" s="1653"/>
      <c r="B45" s="1895"/>
      <c r="C45" s="1654"/>
      <c r="D45" s="1844"/>
      <c r="E45" s="1540">
        <f t="shared" si="2"/>
        <v>0</v>
      </c>
      <c r="F45" s="1892">
        <f t="shared" si="1"/>
        <v>0</v>
      </c>
      <c r="G45" s="1793">
        <f t="shared" si="3"/>
        <v>0</v>
      </c>
    </row>
    <row r="46" spans="1:7" hidden="1" x14ac:dyDescent="0.25">
      <c r="A46" s="1653"/>
      <c r="B46" s="1667"/>
      <c r="C46" s="1654"/>
      <c r="D46" s="1844"/>
      <c r="E46" s="1540">
        <f t="shared" si="2"/>
        <v>0</v>
      </c>
      <c r="F46" s="1892">
        <f t="shared" si="1"/>
        <v>0</v>
      </c>
      <c r="G46" s="1793">
        <f t="shared" si="3"/>
        <v>0</v>
      </c>
    </row>
    <row r="47" spans="1:7" hidden="1" x14ac:dyDescent="0.25">
      <c r="A47" s="1653"/>
      <c r="B47" s="1667"/>
      <c r="C47" s="1654"/>
      <c r="D47" s="1844"/>
      <c r="E47" s="1540">
        <f t="shared" si="2"/>
        <v>0</v>
      </c>
      <c r="F47" s="1892">
        <f t="shared" si="1"/>
        <v>0</v>
      </c>
      <c r="G47" s="1793">
        <f t="shared" si="3"/>
        <v>0</v>
      </c>
    </row>
    <row r="48" spans="1:7" hidden="1" x14ac:dyDescent="0.25">
      <c r="A48" s="1653"/>
      <c r="B48" s="1667"/>
      <c r="C48" s="1654"/>
      <c r="D48" s="1844"/>
      <c r="E48" s="1540">
        <f t="shared" si="2"/>
        <v>0</v>
      </c>
      <c r="F48" s="1892">
        <f t="shared" si="1"/>
        <v>0</v>
      </c>
      <c r="G48" s="1793">
        <f t="shared" si="3"/>
        <v>0</v>
      </c>
    </row>
    <row r="49" spans="1:7" hidden="1" x14ac:dyDescent="0.25">
      <c r="A49" s="1653"/>
      <c r="B49" s="1667"/>
      <c r="C49" s="1654"/>
      <c r="D49" s="1844"/>
      <c r="E49" s="1540">
        <f t="shared" si="2"/>
        <v>0</v>
      </c>
      <c r="F49" s="1892">
        <f t="shared" si="1"/>
        <v>0</v>
      </c>
      <c r="G49" s="1793">
        <f t="shared" si="3"/>
        <v>0</v>
      </c>
    </row>
    <row r="50" spans="1:7" hidden="1" x14ac:dyDescent="0.25">
      <c r="A50" s="1653"/>
      <c r="B50" s="1667"/>
      <c r="C50" s="1654"/>
      <c r="D50" s="1844"/>
      <c r="E50" s="1540">
        <f t="shared" si="2"/>
        <v>0</v>
      </c>
      <c r="F50" s="1892">
        <f t="shared" si="1"/>
        <v>0</v>
      </c>
      <c r="G50" s="1793">
        <f t="shared" si="3"/>
        <v>0</v>
      </c>
    </row>
    <row r="51" spans="1:7" hidden="1" x14ac:dyDescent="0.25">
      <c r="A51" s="1653"/>
      <c r="B51" s="1667"/>
      <c r="C51" s="1654"/>
      <c r="D51" s="1844"/>
      <c r="E51" s="1540">
        <f t="shared" si="2"/>
        <v>0</v>
      </c>
      <c r="F51" s="1892">
        <f t="shared" si="1"/>
        <v>0</v>
      </c>
      <c r="G51" s="1793">
        <f t="shared" si="3"/>
        <v>0</v>
      </c>
    </row>
    <row r="52" spans="1:7" hidden="1" x14ac:dyDescent="0.25">
      <c r="A52" s="1653"/>
      <c r="B52" s="1667"/>
      <c r="C52" s="1654"/>
      <c r="D52" s="1844"/>
      <c r="E52" s="1540">
        <f t="shared" si="2"/>
        <v>0</v>
      </c>
      <c r="F52" s="1892">
        <f t="shared" si="1"/>
        <v>0</v>
      </c>
      <c r="G52" s="1793">
        <f t="shared" si="3"/>
        <v>0</v>
      </c>
    </row>
    <row r="53" spans="1:7" hidden="1" x14ac:dyDescent="0.25">
      <c r="A53" s="1653"/>
      <c r="B53" s="1667"/>
      <c r="C53" s="1654"/>
      <c r="D53" s="1844"/>
      <c r="E53" s="1540">
        <f t="shared" si="2"/>
        <v>0</v>
      </c>
      <c r="F53" s="1892">
        <f t="shared" si="1"/>
        <v>0</v>
      </c>
      <c r="G53" s="1793">
        <f t="shared" si="3"/>
        <v>0</v>
      </c>
    </row>
    <row r="54" spans="1:7" hidden="1" x14ac:dyDescent="0.25">
      <c r="A54" s="1653"/>
      <c r="B54" s="1667"/>
      <c r="C54" s="1654"/>
      <c r="D54" s="1844"/>
      <c r="E54" s="1540">
        <f t="shared" si="2"/>
        <v>0</v>
      </c>
      <c r="F54" s="1892">
        <f t="shared" si="1"/>
        <v>0</v>
      </c>
      <c r="G54" s="1793">
        <f t="shared" si="3"/>
        <v>0</v>
      </c>
    </row>
    <row r="55" spans="1:7" hidden="1" x14ac:dyDescent="0.25">
      <c r="A55" s="1653"/>
      <c r="B55" s="1667"/>
      <c r="C55" s="1654"/>
      <c r="D55" s="1844"/>
      <c r="E55" s="1540">
        <f t="shared" si="2"/>
        <v>0</v>
      </c>
      <c r="F55" s="1892">
        <f t="shared" si="1"/>
        <v>0</v>
      </c>
      <c r="G55" s="1793">
        <f t="shared" si="3"/>
        <v>0</v>
      </c>
    </row>
    <row r="56" spans="1:7" hidden="1" x14ac:dyDescent="0.25">
      <c r="A56" s="1653"/>
      <c r="B56" s="1667"/>
      <c r="C56" s="1654"/>
      <c r="D56" s="1844"/>
      <c r="E56" s="1540">
        <f t="shared" si="2"/>
        <v>0</v>
      </c>
      <c r="F56" s="1892">
        <f t="shared" si="1"/>
        <v>0</v>
      </c>
      <c r="G56" s="1793">
        <f t="shared" si="3"/>
        <v>0</v>
      </c>
    </row>
    <row r="57" spans="1:7" hidden="1" x14ac:dyDescent="0.25">
      <c r="A57" s="1653"/>
      <c r="B57" s="1667"/>
      <c r="C57" s="1654"/>
      <c r="D57" s="1844"/>
      <c r="E57" s="1540">
        <f t="shared" si="2"/>
        <v>0</v>
      </c>
      <c r="F57" s="1892">
        <f t="shared" si="1"/>
        <v>0</v>
      </c>
      <c r="G57" s="1793">
        <f t="shared" si="3"/>
        <v>0</v>
      </c>
    </row>
    <row r="58" spans="1:7" hidden="1" x14ac:dyDescent="0.25">
      <c r="A58" s="1653"/>
      <c r="B58" s="1667"/>
      <c r="C58" s="1654"/>
      <c r="D58" s="1844"/>
      <c r="E58" s="1540">
        <f t="shared" si="2"/>
        <v>0</v>
      </c>
      <c r="F58" s="1892">
        <f t="shared" si="1"/>
        <v>0</v>
      </c>
      <c r="G58" s="1793">
        <f t="shared" si="3"/>
        <v>0</v>
      </c>
    </row>
    <row r="59" spans="1:7" hidden="1" x14ac:dyDescent="0.25">
      <c r="A59" s="1653"/>
      <c r="B59" s="1667"/>
      <c r="C59" s="1654"/>
      <c r="D59" s="1844"/>
      <c r="E59" s="1540">
        <f t="shared" si="2"/>
        <v>0</v>
      </c>
      <c r="F59" s="1892">
        <f t="shared" si="1"/>
        <v>0</v>
      </c>
      <c r="G59" s="1793">
        <f t="shared" si="3"/>
        <v>0</v>
      </c>
    </row>
    <row r="60" spans="1:7" hidden="1" x14ac:dyDescent="0.25">
      <c r="A60" s="1653"/>
      <c r="B60" s="1667"/>
      <c r="C60" s="1654"/>
      <c r="D60" s="1844"/>
      <c r="E60" s="1540">
        <f t="shared" si="2"/>
        <v>0</v>
      </c>
      <c r="F60" s="1892">
        <f t="shared" si="1"/>
        <v>0</v>
      </c>
      <c r="G60" s="1793">
        <f t="shared" si="3"/>
        <v>0</v>
      </c>
    </row>
    <row r="61" spans="1:7" hidden="1" x14ac:dyDescent="0.25">
      <c r="A61" s="1653"/>
      <c r="B61" s="1667"/>
      <c r="C61" s="1654"/>
      <c r="D61" s="1844"/>
      <c r="E61" s="1540">
        <f t="shared" si="2"/>
        <v>0</v>
      </c>
      <c r="F61" s="1892">
        <f t="shared" si="1"/>
        <v>0</v>
      </c>
      <c r="G61" s="1793">
        <f t="shared" si="3"/>
        <v>0</v>
      </c>
    </row>
    <row r="62" spans="1:7" hidden="1" x14ac:dyDescent="0.25">
      <c r="A62" s="1653"/>
      <c r="B62" s="1667"/>
      <c r="C62" s="1654"/>
      <c r="D62" s="1844"/>
      <c r="E62" s="1540">
        <f t="shared" si="2"/>
        <v>0</v>
      </c>
      <c r="F62" s="1892">
        <f t="shared" si="1"/>
        <v>0</v>
      </c>
      <c r="G62" s="1793">
        <f t="shared" si="3"/>
        <v>0</v>
      </c>
    </row>
    <row r="63" spans="1:7" hidden="1" x14ac:dyDescent="0.25">
      <c r="A63" s="1653"/>
      <c r="B63" s="1667"/>
      <c r="C63" s="1654"/>
      <c r="D63" s="1844"/>
      <c r="E63" s="1540">
        <f t="shared" si="2"/>
        <v>0</v>
      </c>
      <c r="F63" s="1892">
        <f t="shared" si="1"/>
        <v>0</v>
      </c>
      <c r="G63" s="1793">
        <f t="shared" si="3"/>
        <v>0</v>
      </c>
    </row>
    <row r="64" spans="1:7" hidden="1" x14ac:dyDescent="0.25">
      <c r="A64" s="1655"/>
      <c r="B64" s="1667"/>
      <c r="C64" s="1656"/>
      <c r="D64" s="1844"/>
      <c r="E64" s="1540">
        <f t="shared" si="2"/>
        <v>0</v>
      </c>
      <c r="F64" s="1892">
        <f t="shared" si="1"/>
        <v>0</v>
      </c>
      <c r="G64" s="1793">
        <f t="shared" si="3"/>
        <v>0</v>
      </c>
    </row>
    <row r="65" spans="1:7" hidden="1" x14ac:dyDescent="0.25">
      <c r="A65" s="1653"/>
      <c r="B65" s="1667"/>
      <c r="C65" s="1654"/>
      <c r="D65" s="1844"/>
      <c r="E65" s="1540">
        <f t="shared" si="2"/>
        <v>0</v>
      </c>
      <c r="F65" s="1892">
        <f t="shared" si="1"/>
        <v>0</v>
      </c>
      <c r="G65" s="1793">
        <f t="shared" si="3"/>
        <v>0</v>
      </c>
    </row>
    <row r="66" spans="1:7" hidden="1" x14ac:dyDescent="0.25">
      <c r="A66" s="1653"/>
      <c r="B66" s="1667"/>
      <c r="C66" s="1654"/>
      <c r="D66" s="1844"/>
      <c r="E66" s="1540">
        <f t="shared" si="2"/>
        <v>0</v>
      </c>
      <c r="F66" s="1892">
        <f t="shared" si="1"/>
        <v>0</v>
      </c>
      <c r="G66" s="1793">
        <f t="shared" si="3"/>
        <v>0</v>
      </c>
    </row>
    <row r="67" spans="1:7" hidden="1" x14ac:dyDescent="0.25">
      <c r="A67" s="1653"/>
      <c r="B67" s="1667"/>
      <c r="C67" s="1654"/>
      <c r="D67" s="1844"/>
      <c r="E67" s="1540">
        <f t="shared" si="2"/>
        <v>0</v>
      </c>
      <c r="F67" s="1892">
        <f t="shared" si="1"/>
        <v>0</v>
      </c>
      <c r="G67" s="1793">
        <f t="shared" si="3"/>
        <v>0</v>
      </c>
    </row>
    <row r="68" spans="1:7" hidden="1" x14ac:dyDescent="0.25">
      <c r="A68" s="1653"/>
      <c r="B68" s="1667"/>
      <c r="C68" s="1654"/>
      <c r="D68" s="1844"/>
      <c r="E68" s="1540">
        <f t="shared" si="2"/>
        <v>0</v>
      </c>
      <c r="F68" s="1892">
        <f t="shared" si="1"/>
        <v>0</v>
      </c>
      <c r="G68" s="1793">
        <f t="shared" si="3"/>
        <v>0</v>
      </c>
    </row>
    <row r="69" spans="1:7" hidden="1" x14ac:dyDescent="0.25">
      <c r="A69" s="1653"/>
      <c r="B69" s="1667"/>
      <c r="C69" s="1654"/>
      <c r="D69" s="1844"/>
      <c r="E69" s="1540">
        <f t="shared" si="2"/>
        <v>0</v>
      </c>
      <c r="F69" s="1892">
        <f t="shared" si="1"/>
        <v>0</v>
      </c>
      <c r="G69" s="1793">
        <f t="shared" si="3"/>
        <v>0</v>
      </c>
    </row>
    <row r="70" spans="1:7" hidden="1" x14ac:dyDescent="0.25">
      <c r="A70" s="1653"/>
      <c r="B70" s="1667"/>
      <c r="C70" s="1654"/>
      <c r="D70" s="1844"/>
      <c r="E70" s="1540">
        <f t="shared" si="2"/>
        <v>0</v>
      </c>
      <c r="F70" s="1892">
        <f t="shared" si="1"/>
        <v>0</v>
      </c>
      <c r="G70" s="1793">
        <f t="shared" si="3"/>
        <v>0</v>
      </c>
    </row>
    <row r="71" spans="1:7" hidden="1" x14ac:dyDescent="0.25">
      <c r="A71" s="1653"/>
      <c r="B71" s="1667"/>
      <c r="C71" s="1654"/>
      <c r="D71" s="1844"/>
      <c r="E71" s="1540">
        <f t="shared" si="2"/>
        <v>0</v>
      </c>
      <c r="F71" s="1892">
        <f t="shared" si="1"/>
        <v>0</v>
      </c>
      <c r="G71" s="1793">
        <f t="shared" si="3"/>
        <v>0</v>
      </c>
    </row>
    <row r="72" spans="1:7" hidden="1" x14ac:dyDescent="0.25">
      <c r="A72" s="1653"/>
      <c r="B72" s="1667"/>
      <c r="C72" s="1654"/>
      <c r="D72" s="1844"/>
      <c r="E72" s="1540">
        <f t="shared" si="2"/>
        <v>0</v>
      </c>
      <c r="F72" s="1892">
        <f t="shared" si="1"/>
        <v>0</v>
      </c>
      <c r="G72" s="1793">
        <f t="shared" si="3"/>
        <v>0</v>
      </c>
    </row>
    <row r="73" spans="1:7" hidden="1" x14ac:dyDescent="0.25">
      <c r="A73" s="1653"/>
      <c r="B73" s="1667"/>
      <c r="C73" s="1654"/>
      <c r="D73" s="1844"/>
      <c r="E73" s="1540">
        <f t="shared" ref="E73:E84" si="4">IF(D73&lt;=25000,D73,IF(D73&gt;25000,25000,0))</f>
        <v>0</v>
      </c>
      <c r="F73" s="1892">
        <f t="shared" si="1"/>
        <v>0</v>
      </c>
      <c r="G73" s="1793">
        <f t="shared" ref="G73:G84" si="5">IF(F73=0,0,D73-F73)</f>
        <v>0</v>
      </c>
    </row>
    <row r="74" spans="1:7" hidden="1" x14ac:dyDescent="0.25">
      <c r="A74" s="1653"/>
      <c r="B74" s="1667"/>
      <c r="C74" s="1654"/>
      <c r="D74" s="1844"/>
      <c r="E74" s="1540">
        <f t="shared" si="4"/>
        <v>0</v>
      </c>
      <c r="F74" s="1892">
        <f t="shared" si="1"/>
        <v>0</v>
      </c>
      <c r="G74" s="1793">
        <f t="shared" si="5"/>
        <v>0</v>
      </c>
    </row>
    <row r="75" spans="1:7" hidden="1" x14ac:dyDescent="0.25">
      <c r="A75" s="1653"/>
      <c r="B75" s="1667"/>
      <c r="C75" s="1654"/>
      <c r="D75" s="1844"/>
      <c r="E75" s="1540">
        <f t="shared" si="4"/>
        <v>0</v>
      </c>
      <c r="F75" s="1892">
        <f t="shared" si="1"/>
        <v>0</v>
      </c>
      <c r="G75" s="1793">
        <f t="shared" si="5"/>
        <v>0</v>
      </c>
    </row>
    <row r="76" spans="1:7" hidden="1" x14ac:dyDescent="0.25">
      <c r="A76" s="1653"/>
      <c r="B76" s="1667"/>
      <c r="C76" s="1654"/>
      <c r="D76" s="1844"/>
      <c r="E76" s="1540">
        <f t="shared" si="4"/>
        <v>0</v>
      </c>
      <c r="F76" s="1892">
        <f t="shared" si="1"/>
        <v>0</v>
      </c>
      <c r="G76" s="1793">
        <f t="shared" si="5"/>
        <v>0</v>
      </c>
    </row>
    <row r="77" spans="1:7" hidden="1" x14ac:dyDescent="0.25">
      <c r="A77" s="1653"/>
      <c r="B77" s="1667"/>
      <c r="C77" s="1654"/>
      <c r="D77" s="1844"/>
      <c r="E77" s="1540">
        <f t="shared" si="4"/>
        <v>0</v>
      </c>
      <c r="F77" s="1892">
        <f t="shared" si="1"/>
        <v>0</v>
      </c>
      <c r="G77" s="1793">
        <f t="shared" si="5"/>
        <v>0</v>
      </c>
    </row>
    <row r="78" spans="1:7" hidden="1" x14ac:dyDescent="0.25">
      <c r="A78" s="1653"/>
      <c r="B78" s="1667"/>
      <c r="C78" s="1654"/>
      <c r="D78" s="1844"/>
      <c r="E78" s="1540">
        <f t="shared" si="4"/>
        <v>0</v>
      </c>
      <c r="F78" s="1892">
        <f t="shared" si="1"/>
        <v>0</v>
      </c>
      <c r="G78" s="1793">
        <f t="shared" si="5"/>
        <v>0</v>
      </c>
    </row>
    <row r="79" spans="1:7" hidden="1" x14ac:dyDescent="0.25">
      <c r="A79" s="1653"/>
      <c r="B79" s="1667"/>
      <c r="C79" s="1654"/>
      <c r="D79" s="1844"/>
      <c r="E79" s="1540">
        <f t="shared" si="4"/>
        <v>0</v>
      </c>
      <c r="F79" s="1892">
        <f t="shared" si="1"/>
        <v>0</v>
      </c>
      <c r="G79" s="1793">
        <f t="shared" si="5"/>
        <v>0</v>
      </c>
    </row>
    <row r="80" spans="1:7" hidden="1" x14ac:dyDescent="0.25">
      <c r="A80" s="1653"/>
      <c r="B80" s="1667"/>
      <c r="C80" s="1654"/>
      <c r="D80" s="1844"/>
      <c r="E80" s="1540">
        <f t="shared" si="4"/>
        <v>0</v>
      </c>
      <c r="F80" s="1892">
        <f t="shared" si="1"/>
        <v>0</v>
      </c>
      <c r="G80" s="1793">
        <f t="shared" si="5"/>
        <v>0</v>
      </c>
    </row>
    <row r="81" spans="1:7" hidden="1" x14ac:dyDescent="0.25">
      <c r="A81" s="1653"/>
      <c r="B81" s="1667"/>
      <c r="C81" s="1654"/>
      <c r="D81" s="1844"/>
      <c r="E81" s="1540">
        <f t="shared" si="4"/>
        <v>0</v>
      </c>
      <c r="F81" s="189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hidden="1" x14ac:dyDescent="0.25">
      <c r="A82" s="1653"/>
      <c r="B82" s="1667"/>
      <c r="C82" s="1654"/>
      <c r="D82" s="1844"/>
      <c r="E82" s="1540">
        <f t="shared" si="4"/>
        <v>0</v>
      </c>
      <c r="F82" s="1892">
        <f t="shared" si="6"/>
        <v>0</v>
      </c>
      <c r="G82" s="1793">
        <f t="shared" si="5"/>
        <v>0</v>
      </c>
    </row>
    <row r="83" spans="1:7" hidden="1" x14ac:dyDescent="0.25">
      <c r="A83" s="1653"/>
      <c r="B83" s="1667"/>
      <c r="C83" s="1654"/>
      <c r="D83" s="1844"/>
      <c r="E83" s="1540">
        <f t="shared" si="4"/>
        <v>0</v>
      </c>
      <c r="F83" s="1892">
        <f t="shared" si="6"/>
        <v>0</v>
      </c>
      <c r="G83" s="1793">
        <f t="shared" si="5"/>
        <v>0</v>
      </c>
    </row>
    <row r="84" spans="1:7" hidden="1" x14ac:dyDescent="0.25">
      <c r="A84" s="1653"/>
      <c r="B84" s="1667"/>
      <c r="C84" s="1654"/>
      <c r="D84" s="1844"/>
      <c r="E84" s="1540">
        <f t="shared" si="4"/>
        <v>0</v>
      </c>
      <c r="F84" s="1892">
        <f t="shared" si="6"/>
        <v>0</v>
      </c>
      <c r="G84" s="1793">
        <f t="shared" si="5"/>
        <v>0</v>
      </c>
    </row>
    <row r="85" spans="1:7" hidden="1" x14ac:dyDescent="0.25">
      <c r="A85" s="1653"/>
      <c r="B85" s="1667"/>
      <c r="C85" s="1654"/>
      <c r="D85" s="1844"/>
      <c r="E85" s="1540">
        <f t="shared" si="2"/>
        <v>0</v>
      </c>
      <c r="F85" s="1892">
        <f t="shared" si="6"/>
        <v>0</v>
      </c>
      <c r="G85" s="1793">
        <f t="shared" si="3"/>
        <v>0</v>
      </c>
    </row>
    <row r="86" spans="1:7" hidden="1" x14ac:dyDescent="0.25">
      <c r="A86" s="1653"/>
      <c r="B86" s="1667"/>
      <c r="C86" s="1654"/>
      <c r="D86" s="1844"/>
      <c r="E86" s="1540">
        <f t="shared" si="2"/>
        <v>0</v>
      </c>
      <c r="F86" s="1892">
        <f t="shared" si="6"/>
        <v>0</v>
      </c>
      <c r="G86" s="1793">
        <f t="shared" si="3"/>
        <v>0</v>
      </c>
    </row>
    <row r="87" spans="1:7" hidden="1" x14ac:dyDescent="0.25">
      <c r="A87" s="1653"/>
      <c r="B87" s="1667"/>
      <c r="C87" s="1654"/>
      <c r="D87" s="1844"/>
      <c r="E87" s="1540">
        <f t="shared" si="2"/>
        <v>0</v>
      </c>
      <c r="F87" s="1892">
        <f t="shared" si="6"/>
        <v>0</v>
      </c>
      <c r="G87" s="1793">
        <f t="shared" si="3"/>
        <v>0</v>
      </c>
    </row>
    <row r="88" spans="1:7" hidden="1" x14ac:dyDescent="0.25">
      <c r="A88" s="1653"/>
      <c r="B88" s="1667"/>
      <c r="C88" s="1654"/>
      <c r="D88" s="1844"/>
      <c r="E88" s="1540">
        <f t="shared" si="2"/>
        <v>0</v>
      </c>
      <c r="F88" s="1892">
        <f t="shared" si="6"/>
        <v>0</v>
      </c>
      <c r="G88" s="1793">
        <f t="shared" si="3"/>
        <v>0</v>
      </c>
    </row>
    <row r="89" spans="1:7" hidden="1" x14ac:dyDescent="0.25">
      <c r="A89" s="1653"/>
      <c r="B89" s="1667"/>
      <c r="C89" s="1654"/>
      <c r="D89" s="1844"/>
      <c r="E89" s="1540">
        <f t="shared" si="2"/>
        <v>0</v>
      </c>
      <c r="F89" s="1892">
        <f t="shared" si="6"/>
        <v>0</v>
      </c>
      <c r="G89" s="1793">
        <f t="shared" si="3"/>
        <v>0</v>
      </c>
    </row>
    <row r="90" spans="1:7" hidden="1" x14ac:dyDescent="0.25">
      <c r="A90" s="1653"/>
      <c r="B90" s="1667"/>
      <c r="C90" s="1654"/>
      <c r="D90" s="1844"/>
      <c r="E90" s="1540">
        <f t="shared" si="2"/>
        <v>0</v>
      </c>
      <c r="F90" s="1892">
        <f t="shared" si="6"/>
        <v>0</v>
      </c>
      <c r="G90" s="1793">
        <f t="shared" si="3"/>
        <v>0</v>
      </c>
    </row>
    <row r="91" spans="1:7" hidden="1" x14ac:dyDescent="0.25">
      <c r="A91" s="1653"/>
      <c r="B91" s="1667"/>
      <c r="C91" s="1654"/>
      <c r="D91" s="1844"/>
      <c r="E91" s="1540">
        <f t="shared" si="2"/>
        <v>0</v>
      </c>
      <c r="F91" s="1892">
        <f t="shared" si="6"/>
        <v>0</v>
      </c>
      <c r="G91" s="1793">
        <f t="shared" si="3"/>
        <v>0</v>
      </c>
    </row>
    <row r="92" spans="1:7" hidden="1" x14ac:dyDescent="0.25">
      <c r="A92" s="1653"/>
      <c r="B92" s="1667"/>
      <c r="C92" s="1654"/>
      <c r="D92" s="1844"/>
      <c r="E92" s="1540">
        <f t="shared" si="2"/>
        <v>0</v>
      </c>
      <c r="F92" s="1892">
        <f t="shared" si="6"/>
        <v>0</v>
      </c>
      <c r="G92" s="1793">
        <f t="shared" si="3"/>
        <v>0</v>
      </c>
    </row>
    <row r="93" spans="1:7" hidden="1" x14ac:dyDescent="0.25">
      <c r="A93" s="1653"/>
      <c r="B93" s="1667"/>
      <c r="C93" s="1654"/>
      <c r="D93" s="1844"/>
      <c r="E93" s="1540">
        <f t="shared" ref="E93" si="7">IF(D93&lt;=25000,D93,IF(D93&gt;25000,25000,0))</f>
        <v>0</v>
      </c>
      <c r="F93" s="1892">
        <f t="shared" si="6"/>
        <v>0</v>
      </c>
      <c r="G93" s="1793">
        <f t="shared" ref="G93" si="8">IF(F93=0,0,D93-F93)</f>
        <v>0</v>
      </c>
    </row>
    <row r="94" spans="1:7" hidden="1" x14ac:dyDescent="0.25">
      <c r="A94" s="1653"/>
      <c r="B94" s="1667"/>
      <c r="C94" s="1654"/>
      <c r="D94" s="1844"/>
      <c r="E94" s="1540">
        <f t="shared" si="2"/>
        <v>0</v>
      </c>
      <c r="F94" s="1892">
        <f t="shared" si="6"/>
        <v>0</v>
      </c>
      <c r="G94" s="1793">
        <f t="shared" si="3"/>
        <v>0</v>
      </c>
    </row>
    <row r="95" spans="1:7" hidden="1" x14ac:dyDescent="0.25">
      <c r="A95" s="1653"/>
      <c r="B95" s="1667"/>
      <c r="C95" s="1654"/>
      <c r="D95" s="1844"/>
      <c r="E95" s="1540">
        <f t="shared" ref="E95:E98" si="9">IF(D95&lt;=25000,D95,IF(D95&gt;25000,25000,0))</f>
        <v>0</v>
      </c>
      <c r="F95" s="1892">
        <f t="shared" si="6"/>
        <v>0</v>
      </c>
      <c r="G95" s="1793">
        <f t="shared" ref="G95:G98" si="10">IF(F95=0,0,D95-F95)</f>
        <v>0</v>
      </c>
    </row>
    <row r="96" spans="1:7" hidden="1" x14ac:dyDescent="0.25">
      <c r="A96" s="1653"/>
      <c r="B96" s="1667"/>
      <c r="C96" s="1654"/>
      <c r="D96" s="1844"/>
      <c r="E96" s="1540">
        <f t="shared" si="9"/>
        <v>0</v>
      </c>
      <c r="F96" s="1892">
        <f t="shared" si="6"/>
        <v>0</v>
      </c>
      <c r="G96" s="1793">
        <f t="shared" si="10"/>
        <v>0</v>
      </c>
    </row>
    <row r="97" spans="1:7" hidden="1" x14ac:dyDescent="0.25">
      <c r="A97" s="1653"/>
      <c r="B97" s="1667"/>
      <c r="C97" s="1654"/>
      <c r="D97" s="1844"/>
      <c r="E97" s="1540">
        <f t="shared" si="9"/>
        <v>0</v>
      </c>
      <c r="F97" s="1892">
        <f t="shared" si="6"/>
        <v>0</v>
      </c>
      <c r="G97" s="1793">
        <f t="shared" si="10"/>
        <v>0</v>
      </c>
    </row>
    <row r="98" spans="1:7" hidden="1" x14ac:dyDescent="0.25">
      <c r="A98" s="1653"/>
      <c r="B98" s="1667"/>
      <c r="C98" s="1654"/>
      <c r="D98" s="1844"/>
      <c r="E98" s="1540">
        <f t="shared" si="9"/>
        <v>0</v>
      </c>
      <c r="F98" s="1892">
        <f t="shared" si="6"/>
        <v>0</v>
      </c>
      <c r="G98" s="1793">
        <f t="shared" si="10"/>
        <v>0</v>
      </c>
    </row>
    <row r="99" spans="1:7" hidden="1" x14ac:dyDescent="0.25">
      <c r="A99" s="1653"/>
      <c r="B99" s="1667"/>
      <c r="C99" s="1654"/>
      <c r="D99" s="1844"/>
      <c r="E99" s="1540">
        <f t="shared" ref="E99" si="11">IF(D99&lt;=25000,D99,IF(D99&gt;25000,25000,0))</f>
        <v>0</v>
      </c>
      <c r="F99" s="1892">
        <f t="shared" si="6"/>
        <v>0</v>
      </c>
      <c r="G99" s="1793">
        <f t="shared" ref="G99" si="12">IF(F99=0,0,D99-F99)</f>
        <v>0</v>
      </c>
    </row>
    <row r="100" spans="1:7" hidden="1" x14ac:dyDescent="0.25">
      <c r="A100" s="1653"/>
      <c r="B100" s="1667"/>
      <c r="C100" s="1654"/>
      <c r="D100" s="1844"/>
      <c r="E100" s="1540">
        <f t="shared" ref="E100:E112" si="13">IF(D100&lt;=25000,D100,IF(D100&gt;25000,25000,0))</f>
        <v>0</v>
      </c>
      <c r="F100" s="1892">
        <f t="shared" si="6"/>
        <v>0</v>
      </c>
      <c r="G100" s="1793">
        <f t="shared" ref="G100:G112" si="14">IF(F100=0,0,D100-F100)</f>
        <v>0</v>
      </c>
    </row>
    <row r="101" spans="1:7" hidden="1" x14ac:dyDescent="0.25">
      <c r="A101" s="1653"/>
      <c r="B101" s="1667"/>
      <c r="C101" s="1654"/>
      <c r="D101" s="1844"/>
      <c r="E101" s="1540">
        <f t="shared" si="13"/>
        <v>0</v>
      </c>
      <c r="F101" s="1892">
        <f t="shared" si="6"/>
        <v>0</v>
      </c>
      <c r="G101" s="1793">
        <f t="shared" si="14"/>
        <v>0</v>
      </c>
    </row>
    <row r="102" spans="1:7" hidden="1" x14ac:dyDescent="0.25">
      <c r="A102" s="1653"/>
      <c r="B102" s="1667"/>
      <c r="C102" s="1654"/>
      <c r="D102" s="1844"/>
      <c r="E102" s="1540">
        <f t="shared" si="13"/>
        <v>0</v>
      </c>
      <c r="F102" s="1892">
        <f t="shared" si="6"/>
        <v>0</v>
      </c>
      <c r="G102" s="1793">
        <f t="shared" si="14"/>
        <v>0</v>
      </c>
    </row>
    <row r="103" spans="1:7" hidden="1" x14ac:dyDescent="0.25">
      <c r="A103" s="1653"/>
      <c r="B103" s="1667"/>
      <c r="C103" s="1654"/>
      <c r="D103" s="1844"/>
      <c r="E103" s="1540">
        <f t="shared" si="13"/>
        <v>0</v>
      </c>
      <c r="F103" s="1892">
        <f t="shared" si="6"/>
        <v>0</v>
      </c>
      <c r="G103" s="1793">
        <f t="shared" si="14"/>
        <v>0</v>
      </c>
    </row>
    <row r="104" spans="1:7" hidden="1" x14ac:dyDescent="0.25">
      <c r="A104" s="1653"/>
      <c r="B104" s="1667"/>
      <c r="C104" s="1654"/>
      <c r="D104" s="1844"/>
      <c r="E104" s="1540">
        <f t="shared" si="13"/>
        <v>0</v>
      </c>
      <c r="F104" s="1892">
        <f t="shared" si="6"/>
        <v>0</v>
      </c>
      <c r="G104" s="1793">
        <f t="shared" si="14"/>
        <v>0</v>
      </c>
    </row>
    <row r="105" spans="1:7" hidden="1" x14ac:dyDescent="0.25">
      <c r="A105" s="1653"/>
      <c r="B105" s="1667"/>
      <c r="C105" s="1654"/>
      <c r="D105" s="1844"/>
      <c r="E105" s="1540">
        <f t="shared" si="13"/>
        <v>0</v>
      </c>
      <c r="F105" s="1892">
        <f t="shared" si="6"/>
        <v>0</v>
      </c>
      <c r="G105" s="1793">
        <f t="shared" si="14"/>
        <v>0</v>
      </c>
    </row>
    <row r="106" spans="1:7" hidden="1" x14ac:dyDescent="0.25">
      <c r="A106" s="1653"/>
      <c r="B106" s="1667"/>
      <c r="C106" s="1654"/>
      <c r="D106" s="1844"/>
      <c r="E106" s="1540">
        <f t="shared" si="13"/>
        <v>0</v>
      </c>
      <c r="F106" s="1892">
        <f t="shared" si="6"/>
        <v>0</v>
      </c>
      <c r="G106" s="1793">
        <f t="shared" si="14"/>
        <v>0</v>
      </c>
    </row>
    <row r="107" spans="1:7" hidden="1" x14ac:dyDescent="0.25">
      <c r="A107" s="1653"/>
      <c r="B107" s="1667"/>
      <c r="C107" s="1654"/>
      <c r="D107" s="1844"/>
      <c r="E107" s="1540">
        <f t="shared" si="13"/>
        <v>0</v>
      </c>
      <c r="F107" s="1892">
        <f t="shared" si="6"/>
        <v>0</v>
      </c>
      <c r="G107" s="1793">
        <f t="shared" si="14"/>
        <v>0</v>
      </c>
    </row>
    <row r="108" spans="1:7" hidden="1" x14ac:dyDescent="0.25">
      <c r="A108" s="1653"/>
      <c r="B108" s="1667"/>
      <c r="C108" s="1654"/>
      <c r="D108" s="1844"/>
      <c r="E108" s="1540">
        <f t="shared" si="13"/>
        <v>0</v>
      </c>
      <c r="F108" s="1892">
        <f t="shared" si="6"/>
        <v>0</v>
      </c>
      <c r="G108" s="1793">
        <f t="shared" si="14"/>
        <v>0</v>
      </c>
    </row>
    <row r="109" spans="1:7" hidden="1" x14ac:dyDescent="0.25">
      <c r="A109" s="1653"/>
      <c r="B109" s="1667"/>
      <c r="C109" s="1654"/>
      <c r="D109" s="1844"/>
      <c r="E109" s="1540">
        <f t="shared" si="13"/>
        <v>0</v>
      </c>
      <c r="F109" s="1892">
        <f t="shared" si="6"/>
        <v>0</v>
      </c>
      <c r="G109" s="1793">
        <f t="shared" si="14"/>
        <v>0</v>
      </c>
    </row>
    <row r="110" spans="1:7" hidden="1" x14ac:dyDescent="0.25">
      <c r="A110" s="1653"/>
      <c r="B110" s="1667"/>
      <c r="C110" s="1654"/>
      <c r="D110" s="1844"/>
      <c r="E110" s="1540">
        <f t="shared" si="13"/>
        <v>0</v>
      </c>
      <c r="F110" s="1892">
        <f t="shared" si="6"/>
        <v>0</v>
      </c>
      <c r="G110" s="1793">
        <f t="shared" si="14"/>
        <v>0</v>
      </c>
    </row>
    <row r="111" spans="1:7" hidden="1" x14ac:dyDescent="0.25">
      <c r="A111" s="1653"/>
      <c r="B111" s="1667"/>
      <c r="C111" s="1654"/>
      <c r="D111" s="1844"/>
      <c r="E111" s="1540">
        <f t="shared" si="13"/>
        <v>0</v>
      </c>
      <c r="F111" s="1892">
        <f t="shared" si="6"/>
        <v>0</v>
      </c>
      <c r="G111" s="1793">
        <f t="shared" si="14"/>
        <v>0</v>
      </c>
    </row>
    <row r="112" spans="1:7" hidden="1" x14ac:dyDescent="0.25">
      <c r="A112" s="1653"/>
      <c r="B112" s="1667"/>
      <c r="C112" s="1654"/>
      <c r="D112" s="1844"/>
      <c r="E112" s="1540">
        <f t="shared" si="13"/>
        <v>0</v>
      </c>
      <c r="F112" s="1892">
        <f t="shared" si="6"/>
        <v>0</v>
      </c>
      <c r="G112" s="1793">
        <f t="shared" si="14"/>
        <v>0</v>
      </c>
    </row>
    <row r="113" spans="1:7" hidden="1" x14ac:dyDescent="0.25">
      <c r="A113" s="1653"/>
      <c r="B113" s="1667"/>
      <c r="C113" s="1654"/>
      <c r="D113" s="1844"/>
      <c r="E113" s="1540">
        <f t="shared" ref="E113:E125" si="15">IF(D113&lt;=25000,D113,IF(D113&gt;25000,25000,0))</f>
        <v>0</v>
      </c>
      <c r="F113" s="1892">
        <f t="shared" si="6"/>
        <v>0</v>
      </c>
      <c r="G113" s="1793">
        <f t="shared" ref="G113:G125" si="16">IF(F113=0,0,D113-F113)</f>
        <v>0</v>
      </c>
    </row>
    <row r="114" spans="1:7" hidden="1" x14ac:dyDescent="0.25">
      <c r="A114" s="1653"/>
      <c r="B114" s="1667"/>
      <c r="C114" s="1654"/>
      <c r="D114" s="1844"/>
      <c r="E114" s="1540">
        <f t="shared" si="15"/>
        <v>0</v>
      </c>
      <c r="F114" s="1892">
        <f t="shared" si="6"/>
        <v>0</v>
      </c>
      <c r="G114" s="1793">
        <f t="shared" si="16"/>
        <v>0</v>
      </c>
    </row>
    <row r="115" spans="1:7" hidden="1" x14ac:dyDescent="0.25">
      <c r="A115" s="1653"/>
      <c r="B115" s="1667"/>
      <c r="C115" s="1654"/>
      <c r="D115" s="1844"/>
      <c r="E115" s="1540">
        <f t="shared" si="15"/>
        <v>0</v>
      </c>
      <c r="F115" s="1892">
        <f t="shared" si="6"/>
        <v>0</v>
      </c>
      <c r="G115" s="1793">
        <f t="shared" si="16"/>
        <v>0</v>
      </c>
    </row>
    <row r="116" spans="1:7" hidden="1" x14ac:dyDescent="0.25">
      <c r="A116" s="1653"/>
      <c r="B116" s="1667"/>
      <c r="C116" s="1654"/>
      <c r="D116" s="1844"/>
      <c r="E116" s="1540">
        <f t="shared" si="15"/>
        <v>0</v>
      </c>
      <c r="F116" s="1892">
        <f t="shared" si="6"/>
        <v>0</v>
      </c>
      <c r="G116" s="1793">
        <f t="shared" si="16"/>
        <v>0</v>
      </c>
    </row>
    <row r="117" spans="1:7" hidden="1" x14ac:dyDescent="0.25">
      <c r="A117" s="1653"/>
      <c r="B117" s="1667"/>
      <c r="C117" s="1654"/>
      <c r="D117" s="1844"/>
      <c r="E117" s="1540">
        <f t="shared" si="15"/>
        <v>0</v>
      </c>
      <c r="F117" s="1892">
        <f t="shared" si="6"/>
        <v>0</v>
      </c>
      <c r="G117" s="1793">
        <f t="shared" si="16"/>
        <v>0</v>
      </c>
    </row>
    <row r="118" spans="1:7" hidden="1" x14ac:dyDescent="0.25">
      <c r="A118" s="1653"/>
      <c r="B118" s="1667"/>
      <c r="C118" s="1654"/>
      <c r="D118" s="1844"/>
      <c r="E118" s="1540">
        <f t="shared" si="15"/>
        <v>0</v>
      </c>
      <c r="F118" s="1892">
        <f t="shared" si="6"/>
        <v>0</v>
      </c>
      <c r="G118" s="1793">
        <f t="shared" si="16"/>
        <v>0</v>
      </c>
    </row>
    <row r="119" spans="1:7" hidden="1" x14ac:dyDescent="0.25">
      <c r="A119" s="1653"/>
      <c r="B119" s="1667"/>
      <c r="C119" s="1654"/>
      <c r="D119" s="1844"/>
      <c r="E119" s="1540">
        <f t="shared" si="15"/>
        <v>0</v>
      </c>
      <c r="F119" s="1892">
        <f t="shared" si="6"/>
        <v>0</v>
      </c>
      <c r="G119" s="1793">
        <f t="shared" si="16"/>
        <v>0</v>
      </c>
    </row>
    <row r="120" spans="1:7" hidden="1" x14ac:dyDescent="0.25">
      <c r="A120" s="1653"/>
      <c r="B120" s="1667"/>
      <c r="C120" s="1654"/>
      <c r="D120" s="1844"/>
      <c r="E120" s="1540">
        <f t="shared" si="15"/>
        <v>0</v>
      </c>
      <c r="F120" s="1892">
        <f t="shared" si="6"/>
        <v>0</v>
      </c>
      <c r="G120" s="1793">
        <f t="shared" si="16"/>
        <v>0</v>
      </c>
    </row>
    <row r="121" spans="1:7" hidden="1" x14ac:dyDescent="0.25">
      <c r="A121" s="1653"/>
      <c r="B121" s="1667"/>
      <c r="C121" s="1654"/>
      <c r="D121" s="1844"/>
      <c r="E121" s="1540">
        <f t="shared" si="15"/>
        <v>0</v>
      </c>
      <c r="F121" s="1892">
        <f t="shared" si="6"/>
        <v>0</v>
      </c>
      <c r="G121" s="1793">
        <f t="shared" si="16"/>
        <v>0</v>
      </c>
    </row>
    <row r="122" spans="1:7" hidden="1" x14ac:dyDescent="0.25">
      <c r="A122" s="1653"/>
      <c r="B122" s="1667"/>
      <c r="C122" s="1654"/>
      <c r="D122" s="1844"/>
      <c r="E122" s="1540">
        <f t="shared" si="15"/>
        <v>0</v>
      </c>
      <c r="F122" s="1892">
        <f t="shared" si="6"/>
        <v>0</v>
      </c>
      <c r="G122" s="1793">
        <f t="shared" si="16"/>
        <v>0</v>
      </c>
    </row>
    <row r="123" spans="1:7" hidden="1" x14ac:dyDescent="0.25">
      <c r="A123" s="1653"/>
      <c r="B123" s="1667"/>
      <c r="C123" s="1654"/>
      <c r="D123" s="1844"/>
      <c r="E123" s="1540">
        <f t="shared" si="15"/>
        <v>0</v>
      </c>
      <c r="F123" s="1892">
        <f t="shared" si="6"/>
        <v>0</v>
      </c>
      <c r="G123" s="1793">
        <f t="shared" si="16"/>
        <v>0</v>
      </c>
    </row>
    <row r="124" spans="1:7" hidden="1" x14ac:dyDescent="0.25">
      <c r="A124" s="1653"/>
      <c r="B124" s="1667"/>
      <c r="C124" s="1654"/>
      <c r="D124" s="1844"/>
      <c r="E124" s="1540">
        <f t="shared" si="15"/>
        <v>0</v>
      </c>
      <c r="F124" s="1892">
        <f t="shared" si="6"/>
        <v>0</v>
      </c>
      <c r="G124" s="1793">
        <f t="shared" si="16"/>
        <v>0</v>
      </c>
    </row>
    <row r="125" spans="1:7" hidden="1" x14ac:dyDescent="0.25">
      <c r="A125" s="1653"/>
      <c r="B125" s="1667"/>
      <c r="C125" s="1654"/>
      <c r="D125" s="1844"/>
      <c r="E125" s="1540">
        <f t="shared" si="15"/>
        <v>0</v>
      </c>
      <c r="F125" s="1892">
        <f t="shared" si="6"/>
        <v>0</v>
      </c>
      <c r="G125" s="1793">
        <f t="shared" si="16"/>
        <v>0</v>
      </c>
    </row>
    <row r="126" spans="1:7" hidden="1" x14ac:dyDescent="0.25">
      <c r="A126" s="1653"/>
      <c r="B126" s="1667"/>
      <c r="C126" s="1654"/>
      <c r="D126" s="1844"/>
      <c r="E126" s="1540">
        <f t="shared" ref="E126:E134" si="17">IF(D126&lt;=25000,D126,IF(D126&gt;25000,25000,0))</f>
        <v>0</v>
      </c>
      <c r="F126" s="1892">
        <f t="shared" si="6"/>
        <v>0</v>
      </c>
      <c r="G126" s="1793">
        <f t="shared" ref="G126:G134" si="18">IF(F126=0,0,D126-F126)</f>
        <v>0</v>
      </c>
    </row>
    <row r="127" spans="1:7" hidden="1" x14ac:dyDescent="0.25">
      <c r="A127" s="1653"/>
      <c r="B127" s="1667"/>
      <c r="C127" s="1654"/>
      <c r="D127" s="1844"/>
      <c r="E127" s="1540">
        <f t="shared" si="17"/>
        <v>0</v>
      </c>
      <c r="F127" s="1892">
        <f t="shared" si="6"/>
        <v>0</v>
      </c>
      <c r="G127" s="1793">
        <f t="shared" si="18"/>
        <v>0</v>
      </c>
    </row>
    <row r="128" spans="1:7" hidden="1" x14ac:dyDescent="0.25">
      <c r="A128" s="1653"/>
      <c r="B128" s="1667"/>
      <c r="C128" s="1654"/>
      <c r="D128" s="1844"/>
      <c r="E128" s="1540">
        <f t="shared" si="17"/>
        <v>0</v>
      </c>
      <c r="F128" s="1892">
        <f t="shared" si="6"/>
        <v>0</v>
      </c>
      <c r="G128" s="1793">
        <f t="shared" si="18"/>
        <v>0</v>
      </c>
    </row>
    <row r="129" spans="1:7" hidden="1" x14ac:dyDescent="0.25">
      <c r="A129" s="1653"/>
      <c r="B129" s="1667"/>
      <c r="C129" s="1654"/>
      <c r="D129" s="1844"/>
      <c r="E129" s="1540">
        <f t="shared" si="17"/>
        <v>0</v>
      </c>
      <c r="F129" s="1892">
        <f t="shared" si="6"/>
        <v>0</v>
      </c>
      <c r="G129" s="1793">
        <f t="shared" si="18"/>
        <v>0</v>
      </c>
    </row>
    <row r="130" spans="1:7" hidden="1" x14ac:dyDescent="0.25">
      <c r="A130" s="1653"/>
      <c r="B130" s="1667"/>
      <c r="C130" s="1654"/>
      <c r="D130" s="1844"/>
      <c r="E130" s="1540">
        <f t="shared" si="17"/>
        <v>0</v>
      </c>
      <c r="F130" s="1892">
        <f t="shared" si="6"/>
        <v>0</v>
      </c>
      <c r="G130" s="1793">
        <f t="shared" si="18"/>
        <v>0</v>
      </c>
    </row>
    <row r="131" spans="1:7" hidden="1" x14ac:dyDescent="0.25">
      <c r="A131" s="1653"/>
      <c r="B131" s="1837"/>
      <c r="C131" s="1654"/>
      <c r="D131" s="1844"/>
      <c r="E131" s="1540">
        <f t="shared" si="17"/>
        <v>0</v>
      </c>
      <c r="F131" s="1892">
        <f t="shared" si="6"/>
        <v>0</v>
      </c>
      <c r="G131" s="1793">
        <f t="shared" si="18"/>
        <v>0</v>
      </c>
    </row>
    <row r="132" spans="1:7" hidden="1" x14ac:dyDescent="0.25">
      <c r="A132" s="1653"/>
      <c r="B132" s="1837"/>
      <c r="C132" s="1654"/>
      <c r="D132" s="1844"/>
      <c r="E132" s="1540">
        <f t="shared" si="17"/>
        <v>0</v>
      </c>
      <c r="F132" s="1892">
        <f t="shared" si="6"/>
        <v>0</v>
      </c>
      <c r="G132" s="1793">
        <f t="shared" si="18"/>
        <v>0</v>
      </c>
    </row>
    <row r="133" spans="1:7" hidden="1" x14ac:dyDescent="0.25">
      <c r="A133" s="1653"/>
      <c r="B133" s="1667"/>
      <c r="C133" s="1654"/>
      <c r="D133" s="1844"/>
      <c r="E133" s="1540">
        <f t="shared" si="17"/>
        <v>0</v>
      </c>
      <c r="F133" s="1892">
        <f t="shared" si="6"/>
        <v>0</v>
      </c>
      <c r="G133" s="1793">
        <f t="shared" si="18"/>
        <v>0</v>
      </c>
    </row>
    <row r="134" spans="1:7" hidden="1" x14ac:dyDescent="0.25">
      <c r="A134" s="1653"/>
      <c r="B134" s="1667"/>
      <c r="C134" s="1654"/>
      <c r="D134" s="1844"/>
      <c r="E134" s="1540">
        <f t="shared" si="17"/>
        <v>0</v>
      </c>
      <c r="F134" s="1892">
        <f t="shared" si="6"/>
        <v>0</v>
      </c>
      <c r="G134" s="1793">
        <f t="shared" si="18"/>
        <v>0</v>
      </c>
    </row>
    <row r="135" spans="1:7" hidden="1" x14ac:dyDescent="0.25">
      <c r="A135" s="1653"/>
      <c r="B135" s="1667"/>
      <c r="C135" s="1654"/>
      <c r="D135" s="1844"/>
      <c r="E135" s="1540">
        <f t="shared" ref="E135:E139" si="19">IF(D135&lt;=25000,D135,IF(D135&gt;25000,25000,0))</f>
        <v>0</v>
      </c>
      <c r="F135" s="1892">
        <f t="shared" si="6"/>
        <v>0</v>
      </c>
      <c r="G135" s="1793">
        <f t="shared" ref="G135:G139" si="20">IF(F135=0,0,D135-F135)</f>
        <v>0</v>
      </c>
    </row>
    <row r="136" spans="1:7" hidden="1" x14ac:dyDescent="0.25">
      <c r="A136" s="1653"/>
      <c r="B136" s="1667"/>
      <c r="C136" s="1654"/>
      <c r="D136" s="1844"/>
      <c r="E136" s="1540">
        <f t="shared" si="19"/>
        <v>0</v>
      </c>
      <c r="F136" s="1892">
        <f t="shared" si="6"/>
        <v>0</v>
      </c>
      <c r="G136" s="1793">
        <f t="shared" si="20"/>
        <v>0</v>
      </c>
    </row>
    <row r="137" spans="1:7" hidden="1" x14ac:dyDescent="0.25">
      <c r="A137" s="1653"/>
      <c r="B137" s="1667"/>
      <c r="C137" s="1654"/>
      <c r="D137" s="1844"/>
      <c r="E137" s="1540">
        <f t="shared" si="19"/>
        <v>0</v>
      </c>
      <c r="F137" s="1892">
        <f t="shared" si="6"/>
        <v>0</v>
      </c>
      <c r="G137" s="1793">
        <f t="shared" si="20"/>
        <v>0</v>
      </c>
    </row>
    <row r="138" spans="1:7" hidden="1" x14ac:dyDescent="0.25">
      <c r="A138" s="1653"/>
      <c r="B138" s="1667"/>
      <c r="C138" s="1654"/>
      <c r="D138" s="1844"/>
      <c r="E138" s="1540">
        <f t="shared" si="19"/>
        <v>0</v>
      </c>
      <c r="F138" s="1892">
        <f t="shared" si="6"/>
        <v>0</v>
      </c>
      <c r="G138" s="1793">
        <f t="shared" si="20"/>
        <v>0</v>
      </c>
    </row>
    <row r="139" spans="1:7" hidden="1" x14ac:dyDescent="0.25">
      <c r="A139" s="1653"/>
      <c r="B139" s="1667"/>
      <c r="C139" s="1654"/>
      <c r="D139" s="1844"/>
      <c r="E139" s="1540">
        <f t="shared" si="19"/>
        <v>0</v>
      </c>
      <c r="F139" s="1892">
        <f t="shared" si="6"/>
        <v>0</v>
      </c>
      <c r="G139" s="1793">
        <f t="shared" si="20"/>
        <v>0</v>
      </c>
    </row>
    <row r="140" spans="1:7" hidden="1" x14ac:dyDescent="0.25">
      <c r="A140" s="1653"/>
      <c r="B140" s="1666"/>
      <c r="C140" s="1654"/>
      <c r="D140" s="1844"/>
      <c r="E140" s="1540">
        <f t="shared" si="2"/>
        <v>0</v>
      </c>
      <c r="F140" s="1892">
        <f t="shared" si="6"/>
        <v>0</v>
      </c>
      <c r="G140" s="1793">
        <f t="shared" si="3"/>
        <v>0</v>
      </c>
    </row>
    <row r="141" spans="1:7" x14ac:dyDescent="0.25">
      <c r="A141" s="1796" t="s">
        <v>156</v>
      </c>
      <c r="B141" s="1797"/>
      <c r="C141" s="1798"/>
      <c r="D141" s="1794">
        <f>SUM(D17:D140)</f>
        <v>7354</v>
      </c>
      <c r="E141" s="1541">
        <f t="shared" si="0"/>
        <v>7354</v>
      </c>
      <c r="F141" s="1893">
        <f>SUM(F17:F140)</f>
        <v>7354</v>
      </c>
      <c r="G141" s="179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41" t="s">
        <v>1648</v>
      </c>
      <c r="B5" s="2242"/>
      <c r="C5" s="2242"/>
      <c r="D5" s="2242"/>
      <c r="E5" s="2242"/>
      <c r="F5" s="2242"/>
      <c r="G5" s="224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1895</v>
      </c>
      <c r="B10" s="971"/>
      <c r="C10" s="976"/>
      <c r="D10" s="972"/>
      <c r="E10" s="973"/>
      <c r="F10" s="974"/>
      <c r="G10" s="975"/>
      <c r="H10" s="162"/>
      <c r="I10" s="162"/>
    </row>
    <row r="11" spans="1:9" s="668" customFormat="1" ht="22.5" customHeight="1" x14ac:dyDescent="0.2">
      <c r="A11" s="2246" t="s">
        <v>1939</v>
      </c>
      <c r="B11" s="2247"/>
      <c r="C11" s="2247"/>
      <c r="D11" s="2248"/>
      <c r="E11" s="977">
        <v>1901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563232</v>
      </c>
      <c r="F19" s="1799"/>
      <c r="G19" s="1801">
        <f>'Expenditures 15-22'!K33-SUM('Expenditures 15-22'!G33,'Expenditures 15-22'!I33)+'Expenditures 15-22'!D229</f>
        <v>563232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29700</v>
      </c>
      <c r="F21" s="1802"/>
      <c r="G21" s="1805">
        <f>'Expenditures 15-22'!K42-SUM('Expenditures 15-22'!G42,'Expenditures 15-22'!I42)+'Expenditures 15-22'!K120-SUM('Expenditures 15-22'!G120,'Expenditures 15-22'!I120)+'Expenditures 15-22'!K180-SUM('Expenditures 15-22'!G180,'Expenditures 15-22'!I180)+'Expenditures 15-22'!D238</f>
        <v>29700</v>
      </c>
      <c r="H21" s="987"/>
      <c r="I21" s="162"/>
    </row>
    <row r="22" spans="1:9" s="668" customFormat="1" ht="12" customHeight="1" x14ac:dyDescent="0.2">
      <c r="A22" s="994" t="s">
        <v>564</v>
      </c>
      <c r="B22" s="995"/>
      <c r="C22" s="993">
        <v>2200</v>
      </c>
      <c r="D22" s="1802"/>
      <c r="E22" s="1804">
        <f>'Expenditures 15-22'!K47-SUM('Expenditures 15-22'!G47,'Expenditures 15-22'!I47)+'Expenditures 15-22'!D243</f>
        <v>39842</v>
      </c>
      <c r="F22" s="1802"/>
      <c r="G22" s="1805">
        <f>'Expenditures 15-22'!K47-SUM('Expenditures 15-22'!G47,'Expenditures 15-22'!I47)+'Expenditures 15-22'!D243</f>
        <v>39842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136513</v>
      </c>
      <c r="F23" s="1802"/>
      <c r="G23" s="1804">
        <f>'Expenditures 15-22'!K53-SUM('Expenditures 15-22'!G53,'Expenditures 15-22'!I53)+'Expenditures 15-22'!D257+'Expenditures 15-22'!K330-SUM('Expenditures 15-22'!G330,'Expenditures 15-22'!I330)</f>
        <v>136513</v>
      </c>
      <c r="H23" s="987"/>
      <c r="I23" s="162"/>
    </row>
    <row r="24" spans="1:9" s="668" customFormat="1" ht="12" customHeight="1" x14ac:dyDescent="0.2">
      <c r="A24" s="994" t="s">
        <v>566</v>
      </c>
      <c r="B24" s="995"/>
      <c r="C24" s="993">
        <v>2400</v>
      </c>
      <c r="D24" s="1802"/>
      <c r="E24" s="1804">
        <f>'Expenditures 15-22'!K57-SUM('Expenditures 15-22'!G57,'Expenditures 15-22'!I57)+'Expenditures 15-22'!D261</f>
        <v>62162</v>
      </c>
      <c r="F24" s="1802"/>
      <c r="G24" s="1805">
        <f>'Expenditures 15-22'!K57-SUM('Expenditures 15-22'!G57,'Expenditures 15-22'!I57)+'Expenditures 15-22'!D261</f>
        <v>62162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17004</v>
      </c>
      <c r="E27" s="1804">
        <f>E8</f>
        <v>0</v>
      </c>
      <c r="F27" s="1804">
        <f>'Expenditures 15-22'!K60-SUM('Expenditures 15-22'!G60,'Expenditures 15-22'!I60)+'Expenditures 15-22'!D264-E8</f>
        <v>17004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105192</v>
      </c>
      <c r="F28" s="1806">
        <f>'Expenditures 15-22'!K61-SUM('Expenditures 15-22'!G61,'Expenditures 15-22'!I61)+'Expenditures 15-22'!K124-SUM('Expenditures 15-22'!G124,'Expenditures 15-22'!I124)+'Expenditures 15-22'!D266-E9</f>
        <v>105192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30232</v>
      </c>
      <c r="F29" s="1802"/>
      <c r="G29" s="1805">
        <f>'Expenditures 15-22'!K62-SUM('Expenditures 15-22'!G62,'Expenditures 15-22'!I62)+'Expenditures 15-22'!K125-SUM('Expenditures 15-22'!G125,'Expenditures 15-22'!I125)+'Expenditures 15-22'!K182-SUM('Expenditures 15-22'!G182,'Expenditures 15-22'!I182)+'Expenditures 15-22'!D267</f>
        <v>30232</v>
      </c>
      <c r="H29" s="985"/>
    </row>
    <row r="30" spans="1:9" ht="12" customHeight="1" x14ac:dyDescent="0.2">
      <c r="A30" s="994" t="s">
        <v>100</v>
      </c>
      <c r="B30" s="997"/>
      <c r="C30" s="993">
        <v>2560</v>
      </c>
      <c r="D30" s="1802"/>
      <c r="E30" s="1804">
        <f>'Expenditures 15-22'!K63-SUM('Expenditures 15-22'!G63,'Expenditures 15-22'!I63)+'Expenditures 15-22'!D268-E10</f>
        <v>33124</v>
      </c>
      <c r="F30" s="1802"/>
      <c r="G30" s="1804">
        <f>'Expenditures 15-22'!K63-SUM('Expenditures 15-22'!G63,'Expenditures 15-22'!I63)+'Expenditures 15-22'!D268-E10</f>
        <v>33124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21681</v>
      </c>
      <c r="F39" s="1802"/>
      <c r="G39" s="1804">
        <f>'Expenditures 15-22'!K75-SUM('Expenditures 15-22'!G75,'Expenditures 15-22'!I75)+'Expenditures 15-22'!K130-SUM('Expenditures 15-22'!G130,'Expenditures 15-22'!I130)+'Expenditures 15-22'!K185-SUM('Expenditures 15-22'!G185,'Expenditures 15-22'!I185)+'Expenditures 15-22'!D280</f>
        <v>21681</v>
      </c>
    </row>
    <row r="40" spans="1:7" ht="12" customHeight="1" x14ac:dyDescent="0.2">
      <c r="A40" s="990" t="s">
        <v>1788</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17004</v>
      </c>
      <c r="E41" s="1806">
        <f>SUM(E19:E40)</f>
        <v>1021678</v>
      </c>
      <c r="F41" s="1806">
        <f>SUM(F19:F39)</f>
        <v>122196</v>
      </c>
      <c r="G41" s="1806">
        <f>SUM(G19:G40)</f>
        <v>916486</v>
      </c>
    </row>
    <row r="42" spans="1:7" x14ac:dyDescent="0.2">
      <c r="A42" s="987"/>
      <c r="B42" s="162"/>
      <c r="C42" s="1001"/>
      <c r="D42" s="2244" t="s">
        <v>522</v>
      </c>
      <c r="E42" s="2245"/>
      <c r="F42" s="1002" t="s">
        <v>523</v>
      </c>
      <c r="G42" s="1003"/>
    </row>
    <row r="43" spans="1:7" ht="12" customHeight="1" x14ac:dyDescent="0.2">
      <c r="A43" s="987"/>
      <c r="B43" s="162"/>
      <c r="C43" s="1001"/>
      <c r="D43" s="1807" t="s">
        <v>473</v>
      </c>
      <c r="E43" s="1808">
        <f>D41</f>
        <v>17004</v>
      </c>
      <c r="F43" s="1807" t="s">
        <v>473</v>
      </c>
      <c r="G43" s="1808">
        <f>F41</f>
        <v>122196</v>
      </c>
    </row>
    <row r="44" spans="1:7" ht="12" customHeight="1" x14ac:dyDescent="0.2">
      <c r="A44" s="987"/>
      <c r="B44" s="162"/>
      <c r="C44" s="1001"/>
      <c r="D44" s="1807" t="s">
        <v>474</v>
      </c>
      <c r="E44" s="1808">
        <f>E41</f>
        <v>1021678</v>
      </c>
      <c r="F44" s="1807" t="s">
        <v>474</v>
      </c>
      <c r="G44" s="1808">
        <f>G41</f>
        <v>916486</v>
      </c>
    </row>
    <row r="45" spans="1:7" ht="12" customHeight="1" x14ac:dyDescent="0.2">
      <c r="A45" s="987"/>
      <c r="B45" s="162"/>
      <c r="C45" s="162"/>
      <c r="D45" s="1809" t="s">
        <v>1006</v>
      </c>
      <c r="E45" s="1810">
        <f>(E43/E44)</f>
        <v>1.6643208525582424E-2</v>
      </c>
      <c r="F45" s="1809" t="s">
        <v>1006</v>
      </c>
      <c r="G45" s="1810">
        <f>(G43/G44)</f>
        <v>0.13333100560183134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54" t="s">
        <v>672</v>
      </c>
      <c r="B6" s="1642"/>
      <c r="C6" s="1642"/>
      <c r="D6" s="1642"/>
      <c r="E6" s="1643"/>
      <c r="F6" s="1015"/>
      <c r="G6" s="1009"/>
      <c r="H6" s="1016" t="s">
        <v>1028</v>
      </c>
      <c r="I6" s="2254" t="str">
        <f>COVER!A17</f>
        <v>MALDEN COMMUNITY CONSOLIDATED SCHOOL DISTRICT 84</v>
      </c>
      <c r="J6" s="2255"/>
      <c r="Q6" s="1664"/>
    </row>
    <row r="7" spans="1:17" x14ac:dyDescent="0.2">
      <c r="A7" s="2256" t="s">
        <v>869</v>
      </c>
      <c r="B7" s="2257"/>
      <c r="C7" s="2257"/>
      <c r="D7" s="2257"/>
      <c r="E7" s="2258"/>
      <c r="F7" s="1017"/>
      <c r="G7" s="1009"/>
      <c r="H7" s="1016" t="s">
        <v>372</v>
      </c>
      <c r="I7" s="2259">
        <f>COVER!A13</f>
        <v>28006084004</v>
      </c>
      <c r="J7" s="225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55" t="s">
        <v>1940</v>
      </c>
      <c r="F9" s="1023"/>
      <c r="G9" s="1023"/>
      <c r="H9" s="1856" t="s">
        <v>1941</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260" t="s">
        <v>481</v>
      </c>
      <c r="B11" s="2261"/>
      <c r="C11" s="226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66521</v>
      </c>
      <c r="F12" s="1039"/>
      <c r="G12" s="1811">
        <f t="shared" ref="G12:G18" si="0">SUM(E12:F12)</f>
        <v>66521</v>
      </c>
      <c r="H12" s="1040">
        <v>67050</v>
      </c>
      <c r="I12" s="1039"/>
      <c r="J12" s="1811">
        <f t="shared" ref="J12:J18" si="1">SUM(H12:I12)</f>
        <v>67050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263" t="s">
        <v>7</v>
      </c>
      <c r="C18" s="2264"/>
      <c r="D18" s="226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66521</v>
      </c>
      <c r="F19" s="1813">
        <f t="shared" si="2"/>
        <v>0</v>
      </c>
      <c r="G19" s="1813">
        <f t="shared" si="2"/>
        <v>66521</v>
      </c>
      <c r="H19" s="1813">
        <f t="shared" si="2"/>
        <v>67050</v>
      </c>
      <c r="I19" s="1813">
        <f t="shared" si="2"/>
        <v>0</v>
      </c>
      <c r="J19" s="1813">
        <f t="shared" si="2"/>
        <v>67050</v>
      </c>
    </row>
    <row r="20" spans="1:10" ht="13.5" thickTop="1" x14ac:dyDescent="0.2">
      <c r="A20" s="1035">
        <v>9</v>
      </c>
      <c r="B20" s="2266" t="s">
        <v>1942</v>
      </c>
      <c r="C20" s="2266"/>
      <c r="D20" s="2267"/>
      <c r="E20" s="1046"/>
      <c r="F20" s="1046"/>
      <c r="G20" s="1046"/>
      <c r="H20" s="1046"/>
      <c r="I20" s="1046"/>
      <c r="J20" s="1814">
        <f>IF(AND(G19&gt;0,J19&gt;0),(((J19-G19)/G19)),"Enter Budget Data")</f>
        <v>7.9523759414320289E-3</v>
      </c>
    </row>
    <row r="21" spans="1:10" ht="9" customHeight="1" x14ac:dyDescent="0.2">
      <c r="B21" s="1047"/>
    </row>
    <row r="22" spans="1:10" x14ac:dyDescent="0.2">
      <c r="A22" s="1048" t="s">
        <v>133</v>
      </c>
      <c r="B22" s="1047"/>
    </row>
    <row r="23" spans="1:10" x14ac:dyDescent="0.2">
      <c r="A23" s="1011" t="s">
        <v>1943</v>
      </c>
      <c r="B23" s="1047"/>
    </row>
    <row r="24" spans="1:10" x14ac:dyDescent="0.2">
      <c r="A24" s="1011" t="s">
        <v>1956</v>
      </c>
      <c r="B24" s="1047"/>
    </row>
    <row r="25" spans="1:10" x14ac:dyDescent="0.2">
      <c r="A25" s="1049"/>
      <c r="B25" s="1047"/>
    </row>
    <row r="26" spans="1:10" ht="20.100000000000001" customHeight="1" x14ac:dyDescent="0.2">
      <c r="B26" s="1047"/>
      <c r="C26" s="2272"/>
      <c r="D26" s="2272"/>
      <c r="E26" s="1050"/>
      <c r="F26" s="2271"/>
      <c r="G26" s="2271"/>
    </row>
    <row r="27" spans="1:10" x14ac:dyDescent="0.2">
      <c r="B27" s="1047"/>
      <c r="C27" s="1051" t="s">
        <v>1033</v>
      </c>
      <c r="D27" s="1052"/>
      <c r="E27" s="1053"/>
      <c r="F27" s="2268" t="s">
        <v>1495</v>
      </c>
      <c r="G27" s="2268"/>
    </row>
    <row r="28" spans="1:10" ht="28.5" customHeight="1" x14ac:dyDescent="0.2">
      <c r="B28" s="1047"/>
      <c r="C28" s="2270"/>
      <c r="D28" s="2270"/>
      <c r="E28" s="1054"/>
      <c r="F28" s="2270"/>
      <c r="G28" s="2270"/>
    </row>
    <row r="29" spans="1:10" x14ac:dyDescent="0.2">
      <c r="B29" s="1047"/>
      <c r="C29" s="1055" t="s">
        <v>1530</v>
      </c>
      <c r="E29" s="1056"/>
      <c r="F29" s="2269" t="s">
        <v>1496</v>
      </c>
      <c r="G29" s="226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251" t="s">
        <v>132</v>
      </c>
      <c r="D33" s="2252"/>
      <c r="E33" s="2252"/>
      <c r="F33" s="2252"/>
      <c r="G33" s="2252"/>
      <c r="H33" s="2252"/>
      <c r="I33" s="2252"/>
    </row>
    <row r="34" spans="1:10" ht="10.35" customHeight="1" x14ac:dyDescent="0.2">
      <c r="C34" s="2252"/>
      <c r="D34" s="2252"/>
      <c r="E34" s="2252"/>
      <c r="F34" s="2252"/>
      <c r="G34" s="2252"/>
      <c r="H34" s="2252"/>
      <c r="I34" s="2252"/>
    </row>
    <row r="35" spans="1:10" ht="7.5" customHeight="1" x14ac:dyDescent="0.2">
      <c r="C35" s="1062"/>
    </row>
    <row r="36" spans="1:10" ht="13.5" customHeight="1" x14ac:dyDescent="0.2">
      <c r="B36" s="1061"/>
      <c r="C36" s="2253" t="s">
        <v>1944</v>
      </c>
      <c r="D36" s="2252"/>
      <c r="E36" s="2252"/>
      <c r="F36" s="2252"/>
      <c r="G36" s="2252"/>
      <c r="H36" s="2252"/>
      <c r="I36" s="2252"/>
      <c r="J36" s="1063"/>
    </row>
    <row r="37" spans="1:10" ht="22.5" customHeight="1" x14ac:dyDescent="0.2">
      <c r="C37" s="2252"/>
      <c r="D37" s="2252"/>
      <c r="E37" s="2252"/>
      <c r="F37" s="2252"/>
      <c r="G37" s="2252"/>
      <c r="H37" s="2252"/>
      <c r="I37" s="2252"/>
      <c r="J37" s="1063"/>
    </row>
    <row r="38" spans="1:10" ht="7.5" customHeight="1" x14ac:dyDescent="0.2">
      <c r="C38" s="1062"/>
      <c r="D38" s="1064"/>
      <c r="E38" s="1065"/>
      <c r="F38" s="1066"/>
      <c r="G38" s="1065"/>
    </row>
    <row r="39" spans="1:10" ht="13.5" customHeight="1" x14ac:dyDescent="0.2">
      <c r="B39" s="1061"/>
      <c r="C39" s="2249" t="s">
        <v>882</v>
      </c>
      <c r="D39" s="2250"/>
      <c r="E39" s="2250"/>
      <c r="F39" s="2250"/>
      <c r="G39" s="2250"/>
      <c r="H39" s="2250"/>
      <c r="I39" s="225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0" sqref="A1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2051</v>
      </c>
    </row>
    <row r="6" spans="1:2" x14ac:dyDescent="0.2">
      <c r="A6" s="1068">
        <v>2</v>
      </c>
      <c r="B6" s="329" t="s">
        <v>2052</v>
      </c>
    </row>
    <row r="7" spans="1:2" x14ac:dyDescent="0.2">
      <c r="A7" s="1068">
        <v>3</v>
      </c>
      <c r="B7" s="329" t="s">
        <v>2053</v>
      </c>
    </row>
    <row r="8" spans="1:2" x14ac:dyDescent="0.2">
      <c r="A8" s="1068">
        <v>4</v>
      </c>
      <c r="B8" s="329" t="s">
        <v>2054</v>
      </c>
    </row>
    <row r="9" spans="1:2" x14ac:dyDescent="0.2">
      <c r="A9" s="1069">
        <v>5</v>
      </c>
      <c r="B9" s="329" t="s">
        <v>2055</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MALDEN COMMUNITY CONSOLIDATED SCHOOL DISTRICT 84</v>
      </c>
    </row>
    <row r="65" spans="2:2" x14ac:dyDescent="0.2">
      <c r="B65" s="1070">
        <f>COVER!A13</f>
        <v>28006084004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1400</v>
      </c>
      <c r="D6" s="24"/>
    </row>
    <row r="7" spans="1:4" ht="13.5" customHeight="1" x14ac:dyDescent="0.2">
      <c r="A7" s="23"/>
      <c r="B7" s="25"/>
      <c r="C7" s="65" t="s">
        <v>1401</v>
      </c>
      <c r="D7" s="24"/>
    </row>
    <row r="8" spans="1:4" ht="13.5" customHeight="1" x14ac:dyDescent="0.2">
      <c r="A8" s="23"/>
      <c r="B8" s="146" t="s">
        <v>943</v>
      </c>
      <c r="C8" s="65" t="s">
        <v>1386</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1385</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1823</v>
      </c>
      <c r="C4" s="162" t="s">
        <v>1169</v>
      </c>
      <c r="D4" s="169" t="s">
        <v>10</v>
      </c>
      <c r="E4" s="170" t="s">
        <v>22</v>
      </c>
    </row>
    <row r="5" spans="1:5" x14ac:dyDescent="0.2">
      <c r="A5" s="168" t="s">
        <v>1825</v>
      </c>
      <c r="C5" s="162" t="s">
        <v>1169</v>
      </c>
      <c r="D5" s="169" t="s">
        <v>10</v>
      </c>
      <c r="E5" s="170" t="s">
        <v>22</v>
      </c>
    </row>
    <row r="6" spans="1:5" x14ac:dyDescent="0.2">
      <c r="A6" s="168" t="s">
        <v>1824</v>
      </c>
      <c r="C6" s="162" t="s">
        <v>1169</v>
      </c>
      <c r="D6" s="167" t="s">
        <v>11</v>
      </c>
      <c r="E6" s="170" t="s">
        <v>941</v>
      </c>
    </row>
    <row r="7" spans="1:5" x14ac:dyDescent="0.2">
      <c r="A7" s="168" t="s">
        <v>1826</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1827</v>
      </c>
      <c r="C11" s="162" t="s">
        <v>1169</v>
      </c>
      <c r="D11" s="169" t="s">
        <v>14</v>
      </c>
      <c r="E11" s="170" t="s">
        <v>1156</v>
      </c>
    </row>
    <row r="12" spans="1:5" x14ac:dyDescent="0.2">
      <c r="B12" s="169" t="s">
        <v>1828</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1829</v>
      </c>
      <c r="C15" s="162" t="s">
        <v>1169</v>
      </c>
      <c r="D15" s="169" t="s">
        <v>17</v>
      </c>
      <c r="E15" s="170" t="s">
        <v>636</v>
      </c>
    </row>
    <row r="16" spans="1:5" x14ac:dyDescent="0.2">
      <c r="A16" s="172"/>
      <c r="B16" s="162" t="s">
        <v>1830</v>
      </c>
      <c r="C16" s="162" t="s">
        <v>1169</v>
      </c>
      <c r="D16" s="169" t="s">
        <v>681</v>
      </c>
      <c r="E16" s="170" t="s">
        <v>1040</v>
      </c>
    </row>
    <row r="17" spans="1:5" x14ac:dyDescent="0.2">
      <c r="B17" s="167" t="s">
        <v>988</v>
      </c>
      <c r="C17" s="162" t="s">
        <v>1169</v>
      </c>
    </row>
    <row r="18" spans="1:5" x14ac:dyDescent="0.2">
      <c r="B18" s="167" t="s">
        <v>1836</v>
      </c>
      <c r="D18" s="169" t="s">
        <v>18</v>
      </c>
      <c r="E18" s="170" t="s">
        <v>1041</v>
      </c>
    </row>
    <row r="19" spans="1:5" x14ac:dyDescent="0.2">
      <c r="A19" s="168" t="s">
        <v>1099</v>
      </c>
      <c r="C19" s="162" t="s">
        <v>1169</v>
      </c>
      <c r="D19" s="169"/>
      <c r="E19" s="171"/>
    </row>
    <row r="20" spans="1:5" x14ac:dyDescent="0.2">
      <c r="B20" s="167" t="s">
        <v>1831</v>
      </c>
      <c r="C20" s="162" t="s">
        <v>1169</v>
      </c>
      <c r="D20" s="169" t="s">
        <v>19</v>
      </c>
      <c r="E20" s="170" t="s">
        <v>51</v>
      </c>
    </row>
    <row r="21" spans="1:5" x14ac:dyDescent="0.2">
      <c r="B21" s="167" t="s">
        <v>1832</v>
      </c>
      <c r="C21" s="162" t="s">
        <v>1169</v>
      </c>
      <c r="D21" s="169" t="s">
        <v>20</v>
      </c>
      <c r="E21" s="170" t="s">
        <v>1579</v>
      </c>
    </row>
    <row r="22" spans="1:5" x14ac:dyDescent="0.2">
      <c r="A22" s="168"/>
      <c r="B22" s="162" t="s">
        <v>1820</v>
      </c>
      <c r="C22" s="162" t="s">
        <v>1169</v>
      </c>
      <c r="D22" s="167" t="s">
        <v>1822</v>
      </c>
      <c r="E22" s="1836" t="s">
        <v>1580</v>
      </c>
    </row>
    <row r="23" spans="1:5" x14ac:dyDescent="0.2">
      <c r="A23" s="168"/>
      <c r="B23" s="162" t="s">
        <v>1821</v>
      </c>
      <c r="D23" s="167" t="s">
        <v>637</v>
      </c>
      <c r="E23" s="1836" t="s">
        <v>959</v>
      </c>
    </row>
    <row r="24" spans="1:5" x14ac:dyDescent="0.2">
      <c r="A24" s="168" t="s">
        <v>1578</v>
      </c>
      <c r="C24" s="162" t="s">
        <v>1169</v>
      </c>
      <c r="D24" s="167" t="s">
        <v>1379</v>
      </c>
      <c r="E24" s="170" t="s">
        <v>960</v>
      </c>
    </row>
    <row r="25" spans="1:5" x14ac:dyDescent="0.2">
      <c r="A25" s="168" t="s">
        <v>1833</v>
      </c>
      <c r="C25" s="162" t="s">
        <v>1169</v>
      </c>
      <c r="D25" s="169" t="s">
        <v>21</v>
      </c>
      <c r="E25" s="170" t="s">
        <v>1042</v>
      </c>
    </row>
    <row r="26" spans="1:5" x14ac:dyDescent="0.2">
      <c r="A26" s="168" t="s">
        <v>1834</v>
      </c>
      <c r="C26" s="162" t="s">
        <v>1169</v>
      </c>
      <c r="D26" s="169" t="s">
        <v>563</v>
      </c>
      <c r="E26" s="170" t="s">
        <v>1043</v>
      </c>
    </row>
    <row r="27" spans="1:5" x14ac:dyDescent="0.2">
      <c r="A27" s="168" t="s">
        <v>1835</v>
      </c>
      <c r="C27" s="162" t="s">
        <v>1169</v>
      </c>
      <c r="D27" s="169" t="s">
        <v>557</v>
      </c>
      <c r="E27" s="170" t="s">
        <v>683</v>
      </c>
    </row>
    <row r="28" spans="1:5" x14ac:dyDescent="0.2">
      <c r="A28" s="168" t="s">
        <v>1837</v>
      </c>
      <c r="D28" s="169" t="s">
        <v>684</v>
      </c>
      <c r="E28" s="170" t="s">
        <v>1366</v>
      </c>
    </row>
    <row r="29" spans="1:5" x14ac:dyDescent="0.2">
      <c r="A29" s="168" t="s">
        <v>1838</v>
      </c>
      <c r="D29" s="169" t="s">
        <v>1380</v>
      </c>
      <c r="E29" s="170" t="s">
        <v>1375</v>
      </c>
    </row>
    <row r="30" spans="1:5" x14ac:dyDescent="0.2">
      <c r="A30" s="173" t="s">
        <v>1839</v>
      </c>
      <c r="C30" s="162" t="s">
        <v>1169</v>
      </c>
      <c r="D30" s="169" t="s">
        <v>40</v>
      </c>
      <c r="E30" s="170" t="s">
        <v>982</v>
      </c>
    </row>
    <row r="31" spans="1:5" x14ac:dyDescent="0.2">
      <c r="A31" s="168" t="s">
        <v>1507</v>
      </c>
      <c r="C31" s="162" t="s">
        <v>1169</v>
      </c>
      <c r="D31" s="167"/>
      <c r="E31" s="171"/>
    </row>
    <row r="32" spans="1:5" x14ac:dyDescent="0.2">
      <c r="B32" s="167" t="s">
        <v>1840</v>
      </c>
      <c r="C32" s="162" t="s">
        <v>1169</v>
      </c>
      <c r="D32" s="169" t="s">
        <v>1508</v>
      </c>
      <c r="E32" s="170" t="s">
        <v>1381</v>
      </c>
    </row>
    <row r="33" spans="1:5" x14ac:dyDescent="0.2">
      <c r="A33" s="172"/>
      <c r="D33" s="169"/>
      <c r="E33" s="171"/>
    </row>
    <row r="34" spans="1:5" x14ac:dyDescent="0.2">
      <c r="A34" s="172"/>
      <c r="D34" s="169"/>
      <c r="E34" s="171"/>
    </row>
    <row r="35" spans="1:5" ht="15.75" customHeight="1" thickBot="1" x14ac:dyDescent="0.25">
      <c r="A35" s="2012" t="s">
        <v>1065</v>
      </c>
      <c r="B35" s="2012"/>
      <c r="C35" s="2012"/>
      <c r="D35" s="2012"/>
      <c r="E35" s="201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09" t="s">
        <v>691</v>
      </c>
      <c r="B40" s="2009"/>
      <c r="C40" s="2009"/>
      <c r="D40" s="2009"/>
      <c r="E40" s="2009"/>
    </row>
    <row r="41" spans="1:5" x14ac:dyDescent="0.2">
      <c r="A41" s="2010" t="s">
        <v>1577</v>
      </c>
      <c r="B41" s="2010"/>
      <c r="C41" s="2010"/>
      <c r="D41" s="2010"/>
      <c r="E41" s="2010"/>
    </row>
    <row r="42" spans="1:5" ht="12.75" customHeight="1" x14ac:dyDescent="0.2">
      <c r="A42" s="2011" t="s">
        <v>1022</v>
      </c>
      <c r="B42" s="2011"/>
      <c r="C42" s="2011"/>
      <c r="D42" s="2011"/>
      <c r="E42" s="2011"/>
    </row>
    <row r="43" spans="1:5" ht="6.75" customHeight="1" x14ac:dyDescent="0.2">
      <c r="A43" s="167"/>
      <c r="B43" s="176"/>
    </row>
    <row r="44" spans="1:5" x14ac:dyDescent="0.2">
      <c r="A44" s="185" t="s">
        <v>983</v>
      </c>
      <c r="B44" s="186" t="s">
        <v>1866</v>
      </c>
    </row>
    <row r="45" spans="1:5" ht="6.75" customHeight="1" x14ac:dyDescent="0.2">
      <c r="A45" s="187"/>
      <c r="B45" s="186"/>
    </row>
    <row r="46" spans="1:5" x14ac:dyDescent="0.2">
      <c r="A46" s="185" t="s">
        <v>984</v>
      </c>
      <c r="B46" s="169" t="s">
        <v>1582</v>
      </c>
    </row>
    <row r="47" spans="1:5" ht="9.75" customHeight="1" x14ac:dyDescent="0.2">
      <c r="A47" s="189"/>
      <c r="B47" s="188"/>
    </row>
    <row r="48" spans="1:5" x14ac:dyDescent="0.2">
      <c r="A48" s="169" t="s">
        <v>1581</v>
      </c>
      <c r="B48" s="169" t="s">
        <v>1586</v>
      </c>
      <c r="C48" s="177"/>
    </row>
    <row r="49" spans="1:3" ht="9.75" customHeight="1" x14ac:dyDescent="0.2">
      <c r="A49" s="188"/>
      <c r="B49" s="188"/>
      <c r="C49" s="177"/>
    </row>
    <row r="50" spans="1:3" x14ac:dyDescent="0.2">
      <c r="A50" s="200" t="s">
        <v>1583</v>
      </c>
      <c r="B50" s="198" t="s">
        <v>1587</v>
      </c>
    </row>
    <row r="51" spans="1:3" x14ac:dyDescent="0.2">
      <c r="B51" s="169" t="s">
        <v>1736</v>
      </c>
    </row>
    <row r="52" spans="1:3" x14ac:dyDescent="0.2">
      <c r="A52" s="190"/>
      <c r="B52" s="188" t="s">
        <v>1756</v>
      </c>
    </row>
    <row r="53" spans="1:3" ht="4.5" customHeight="1" x14ac:dyDescent="0.2">
      <c r="A53" s="190"/>
      <c r="B53" s="190"/>
    </row>
    <row r="54" spans="1:3" x14ac:dyDescent="0.2">
      <c r="A54" s="190"/>
      <c r="B54" s="201" t="s">
        <v>1584</v>
      </c>
    </row>
    <row r="55" spans="1:3" ht="8.25" customHeight="1" x14ac:dyDescent="0.2">
      <c r="A55" s="190"/>
      <c r="B55" s="191"/>
    </row>
    <row r="56" spans="1:3" x14ac:dyDescent="0.2">
      <c r="A56" s="192"/>
      <c r="B56" s="169" t="s">
        <v>1737</v>
      </c>
    </row>
    <row r="57" spans="1:3" x14ac:dyDescent="0.2">
      <c r="A57" s="193"/>
      <c r="B57" s="190" t="s">
        <v>1739</v>
      </c>
    </row>
    <row r="58" spans="1:3" x14ac:dyDescent="0.2">
      <c r="A58" s="194"/>
      <c r="B58" s="190" t="s">
        <v>1740</v>
      </c>
    </row>
    <row r="59" spans="1:3" x14ac:dyDescent="0.2">
      <c r="A59" s="195"/>
      <c r="B59" s="1485" t="s">
        <v>1741</v>
      </c>
    </row>
    <row r="60" spans="1:3" x14ac:dyDescent="0.2">
      <c r="A60" s="196"/>
      <c r="B60" s="1485" t="s">
        <v>1742</v>
      </c>
    </row>
    <row r="61" spans="1:3" ht="6" customHeight="1" x14ac:dyDescent="0.2">
      <c r="A61" s="197"/>
      <c r="B61" s="189"/>
    </row>
    <row r="62" spans="1:3" x14ac:dyDescent="0.2">
      <c r="A62" s="169" t="s">
        <v>1585</v>
      </c>
      <c r="B62" s="198" t="s">
        <v>1738</v>
      </c>
    </row>
    <row r="63" spans="1:3" x14ac:dyDescent="0.2">
      <c r="A63" s="188"/>
      <c r="B63" s="169" t="s">
        <v>1753</v>
      </c>
    </row>
    <row r="64" spans="1:3" x14ac:dyDescent="0.2">
      <c r="A64" s="195"/>
      <c r="B64" s="1487" t="s">
        <v>1743</v>
      </c>
    </row>
    <row r="65" spans="1:9" x14ac:dyDescent="0.2">
      <c r="A65" s="188"/>
      <c r="B65" s="169" t="s">
        <v>1754</v>
      </c>
    </row>
    <row r="66" spans="1:9" x14ac:dyDescent="0.2">
      <c r="A66" s="190"/>
      <c r="B66" s="190" t="s">
        <v>1744</v>
      </c>
    </row>
    <row r="67" spans="1:9" ht="12" customHeight="1" x14ac:dyDescent="0.2">
      <c r="A67" s="188"/>
      <c r="B67" s="169" t="s">
        <v>1755</v>
      </c>
    </row>
    <row r="68" spans="1:9" x14ac:dyDescent="0.2">
      <c r="A68" s="189"/>
      <c r="B68" s="190" t="s">
        <v>1745</v>
      </c>
    </row>
    <row r="69" spans="1:9" x14ac:dyDescent="0.2">
      <c r="A69" s="190"/>
      <c r="B69" s="188" t="s">
        <v>1746</v>
      </c>
    </row>
    <row r="70" spans="1:9" ht="13.5" customHeight="1" x14ac:dyDescent="0.2">
      <c r="A70" s="190"/>
      <c r="B70" s="188" t="s">
        <v>1747</v>
      </c>
    </row>
    <row r="71" spans="1:9" ht="12" customHeight="1" x14ac:dyDescent="0.2">
      <c r="A71" s="192"/>
      <c r="B71" s="1486" t="s">
        <v>1588</v>
      </c>
    </row>
    <row r="72" spans="1:9" ht="9" customHeight="1" x14ac:dyDescent="0.2">
      <c r="A72" s="192"/>
      <c r="B72" s="199"/>
    </row>
    <row r="73" spans="1:9" x14ac:dyDescent="0.2">
      <c r="A73" s="189" t="s">
        <v>1589</v>
      </c>
      <c r="B73" s="169" t="s">
        <v>1749</v>
      </c>
    </row>
    <row r="74" spans="1:9" x14ac:dyDescent="0.2">
      <c r="A74" s="189"/>
      <c r="B74" s="169" t="s">
        <v>1748</v>
      </c>
    </row>
    <row r="75" spans="1:9" ht="8.25" customHeight="1" x14ac:dyDescent="0.2">
      <c r="A75" s="189"/>
      <c r="B75" s="189"/>
    </row>
    <row r="76" spans="1:9" ht="12.2" customHeight="1" x14ac:dyDescent="0.2">
      <c r="A76" s="189" t="s">
        <v>1590</v>
      </c>
      <c r="B76" s="198" t="s">
        <v>1750</v>
      </c>
    </row>
    <row r="77" spans="1:9" ht="12.2" customHeight="1" x14ac:dyDescent="0.2">
      <c r="A77" s="190"/>
      <c r="B77" s="169" t="s">
        <v>1591</v>
      </c>
      <c r="C77" s="179"/>
      <c r="D77" s="180"/>
      <c r="E77" s="181"/>
      <c r="F77" s="181"/>
      <c r="G77" s="181"/>
      <c r="H77" s="181"/>
      <c r="I77" s="181"/>
    </row>
    <row r="78" spans="1:9" ht="11.25" customHeight="1" x14ac:dyDescent="0.2">
      <c r="A78" s="190"/>
      <c r="B78" s="190" t="s">
        <v>1752</v>
      </c>
      <c r="C78" s="179"/>
      <c r="D78" s="182"/>
      <c r="E78" s="182"/>
      <c r="F78" s="182"/>
      <c r="G78" s="182"/>
      <c r="H78" s="182"/>
      <c r="I78" s="181"/>
    </row>
    <row r="79" spans="1:9" ht="12.2" customHeight="1" x14ac:dyDescent="0.2">
      <c r="A79" s="190"/>
      <c r="B79" s="169" t="s">
        <v>1592</v>
      </c>
      <c r="C79" s="179"/>
      <c r="D79" s="182"/>
      <c r="E79" s="182"/>
      <c r="F79" s="182"/>
      <c r="G79" s="182"/>
      <c r="H79" s="182"/>
      <c r="I79" s="181"/>
    </row>
    <row r="80" spans="1:9" ht="11.25" customHeight="1" x14ac:dyDescent="0.2">
      <c r="A80" s="189"/>
      <c r="B80" s="190" t="s">
        <v>1751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6" zoomScale="110" zoomScaleNormal="110" workbookViewId="0">
      <selection activeCell="B38" sqref="B38:B4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1479</v>
      </c>
    </row>
    <row r="15" spans="1:6" x14ac:dyDescent="0.2">
      <c r="A15" s="389" t="s">
        <v>857</v>
      </c>
    </row>
    <row r="16" spans="1:6" s="1071" customFormat="1" ht="45" customHeight="1" x14ac:dyDescent="0.2">
      <c r="A16" s="1073"/>
      <c r="B16" s="1073" t="s">
        <v>1649</v>
      </c>
    </row>
    <row r="17" spans="1:2" ht="6" customHeight="1" x14ac:dyDescent="0.2"/>
    <row r="18" spans="1:2" ht="24.75" customHeight="1" x14ac:dyDescent="0.2">
      <c r="A18" s="2273" t="s">
        <v>1650</v>
      </c>
      <c r="B18" s="227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1447800</xdr:colOff>
                <xdr:row>0</xdr:row>
                <xdr:rowOff>28575</xdr:rowOff>
              </from>
              <to>
                <xdr:col>1</xdr:col>
                <xdr:colOff>2352675</xdr:colOff>
                <xdr:row>4</xdr:row>
                <xdr:rowOff>66675</xdr:rowOff>
              </to>
            </anchor>
          </objectPr>
        </oleObject>
      </mc:Choice>
      <mc:Fallback>
        <oleObject progId="Acrobat Document" dvAspect="DVASPECT_ICON" shapeId="35844" r:id="rId8"/>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274" t="s">
        <v>1655</v>
      </c>
      <c r="B1" s="2275"/>
      <c r="C1" s="2275"/>
      <c r="D1" s="2275"/>
      <c r="E1" s="2275"/>
      <c r="F1" s="2276"/>
    </row>
    <row r="2" spans="1:8" ht="45" customHeight="1" x14ac:dyDescent="0.2">
      <c r="A2" s="2284" t="s">
        <v>1948</v>
      </c>
      <c r="B2" s="2285"/>
      <c r="C2" s="2285"/>
      <c r="D2" s="2285"/>
      <c r="E2" s="2285"/>
      <c r="F2" s="2286"/>
      <c r="G2" s="1074"/>
      <c r="H2" s="1074"/>
    </row>
    <row r="3" spans="1:8" ht="57" customHeight="1" x14ac:dyDescent="0.2">
      <c r="A3" s="2287" t="s">
        <v>1651</v>
      </c>
      <c r="B3" s="2288"/>
      <c r="C3" s="2288"/>
      <c r="D3" s="2288"/>
      <c r="E3" s="2288"/>
      <c r="F3" s="2289"/>
      <c r="G3" s="1074"/>
      <c r="H3" s="1074"/>
    </row>
    <row r="4" spans="1:8" ht="14.25" customHeight="1" x14ac:dyDescent="0.2">
      <c r="A4" s="2293" t="s">
        <v>1949</v>
      </c>
      <c r="B4" s="2294"/>
      <c r="C4" s="2294"/>
      <c r="D4" s="2294"/>
      <c r="E4" s="2294"/>
      <c r="F4" s="2295"/>
      <c r="G4" s="1074"/>
      <c r="H4" s="1074"/>
    </row>
    <row r="5" spans="1:8" ht="14.25" customHeight="1" x14ac:dyDescent="0.2">
      <c r="A5" s="2296" t="s">
        <v>1945</v>
      </c>
      <c r="B5" s="2297"/>
      <c r="C5" s="2297"/>
      <c r="D5" s="2297"/>
      <c r="E5" s="2297"/>
      <c r="F5" s="2298"/>
      <c r="G5" s="1074"/>
      <c r="H5" s="1074"/>
    </row>
    <row r="6" spans="1:8" s="1075" customFormat="1" ht="41.25" customHeight="1" x14ac:dyDescent="0.2">
      <c r="A6" s="2290" t="s">
        <v>1656</v>
      </c>
      <c r="B6" s="2291"/>
      <c r="C6" s="2291"/>
      <c r="D6" s="2291"/>
      <c r="E6" s="2291"/>
      <c r="F6" s="2292"/>
    </row>
    <row r="7" spans="1:8" ht="42" customHeight="1" x14ac:dyDescent="0.2">
      <c r="A7" s="1076" t="s">
        <v>481</v>
      </c>
      <c r="B7" s="1077" t="s">
        <v>1482</v>
      </c>
      <c r="C7" s="1077" t="s">
        <v>1483</v>
      </c>
      <c r="D7" s="1077" t="s">
        <v>1481</v>
      </c>
      <c r="E7" s="1077" t="s">
        <v>1484</v>
      </c>
      <c r="F7" s="1077" t="s">
        <v>1367</v>
      </c>
    </row>
    <row r="8" spans="1:8" s="1079" customFormat="1" ht="14.25" customHeight="1" x14ac:dyDescent="0.2">
      <c r="A8" s="1078" t="s">
        <v>1368</v>
      </c>
      <c r="B8" s="1815">
        <f>'Acct Summary 7-8'!C8</f>
        <v>886700</v>
      </c>
      <c r="C8" s="1815">
        <f>'Acct Summary 7-8'!D8</f>
        <v>107567</v>
      </c>
      <c r="D8" s="1815">
        <f>'Acct Summary 7-8'!F8</f>
        <v>56919</v>
      </c>
      <c r="E8" s="1815">
        <f>'Acct Summary 7-8'!I8</f>
        <v>9662</v>
      </c>
      <c r="F8" s="1815">
        <f>SUM(B8:E8)</f>
        <v>1060848</v>
      </c>
    </row>
    <row r="9" spans="1:8" s="1079" customFormat="1" ht="14.25" customHeight="1" thickBot="1" x14ac:dyDescent="0.25">
      <c r="A9" s="1078" t="s">
        <v>1369</v>
      </c>
      <c r="B9" s="1816">
        <f>'Acct Summary 7-8'!C17</f>
        <v>845786</v>
      </c>
      <c r="C9" s="1816">
        <f>'Acct Summary 7-8'!D17</f>
        <v>101367</v>
      </c>
      <c r="D9" s="1816">
        <f>'Acct Summary 7-8'!F17</f>
        <v>38166</v>
      </c>
      <c r="E9" s="1815"/>
      <c r="F9" s="1815">
        <f>SUM(B9:E9)</f>
        <v>985319</v>
      </c>
    </row>
    <row r="10" spans="1:8" s="1079" customFormat="1" ht="14.25" thickTop="1" thickBot="1" x14ac:dyDescent="0.25">
      <c r="A10" s="1080" t="s">
        <v>1370</v>
      </c>
      <c r="B10" s="1817">
        <f>(B8-B9)</f>
        <v>40914</v>
      </c>
      <c r="C10" s="1817">
        <f>(C8-C9)</f>
        <v>6200</v>
      </c>
      <c r="D10" s="1817">
        <f>(D8-D9)</f>
        <v>18753</v>
      </c>
      <c r="E10" s="1816">
        <f>(E8-E9)</f>
        <v>9662</v>
      </c>
      <c r="F10" s="1818">
        <f>SUM(F8-F9)</f>
        <v>75529</v>
      </c>
    </row>
    <row r="11" spans="1:8" s="1079" customFormat="1" ht="14.25" thickTop="1" thickBot="1" x14ac:dyDescent="0.25">
      <c r="A11" s="1081" t="s">
        <v>1946</v>
      </c>
      <c r="B11" s="1819">
        <f>'Acct Summary 7-8'!C81</f>
        <v>586888</v>
      </c>
      <c r="C11" s="1819">
        <f>'Acct Summary 7-8'!D81</f>
        <v>131299</v>
      </c>
      <c r="D11" s="1819">
        <f>'Acct Summary 7-8'!F81</f>
        <v>145371</v>
      </c>
      <c r="E11" s="1819">
        <f>'Acct Summary 7-8'!I81</f>
        <v>161491</v>
      </c>
      <c r="F11" s="1820">
        <f>SUM(B11:E11)</f>
        <v>1025049</v>
      </c>
    </row>
    <row r="12" spans="1:8" ht="16.5" customHeight="1" thickTop="1" x14ac:dyDescent="0.2">
      <c r="A12" s="1082"/>
      <c r="B12" s="1083"/>
      <c r="C12" s="2278" t="str">
        <f>IF(AND(F10&lt;0,F11&gt;=0,ABS(F10*3)&gt;ABS(F11)),A16,IF(AND(F10&lt;0,F11&gt;0,ABS(F10*3)&lt;=ABS(F11)),A17,IF(AND(F10&lt;0,F11&lt;0),A16,IF(F11=0,A19,A18))))</f>
        <v>Balanced - no deficit reduction plan is required.</v>
      </c>
      <c r="D12" s="2279"/>
      <c r="E12" s="2279"/>
      <c r="F12" s="2280"/>
    </row>
    <row r="13" spans="1:8" ht="19.5" customHeight="1" x14ac:dyDescent="0.2">
      <c r="A13" s="1084"/>
      <c r="B13" s="1085"/>
      <c r="C13" s="2278"/>
      <c r="D13" s="2279"/>
      <c r="E13" s="2279"/>
      <c r="F13" s="2280"/>
      <c r="H13" s="1074"/>
    </row>
    <row r="14" spans="1:8" ht="19.5" customHeight="1" x14ac:dyDescent="0.2">
      <c r="A14" s="1084"/>
      <c r="B14" s="1085"/>
      <c r="C14" s="2278"/>
      <c r="D14" s="2279"/>
      <c r="E14" s="2279"/>
      <c r="F14" s="2280"/>
      <c r="H14" s="1074"/>
    </row>
    <row r="15" spans="1:8" ht="17.25" customHeight="1" x14ac:dyDescent="0.2">
      <c r="A15" s="1084"/>
      <c r="B15" s="1085"/>
      <c r="C15" s="2281"/>
      <c r="D15" s="2282"/>
      <c r="E15" s="2282"/>
      <c r="F15" s="2283"/>
      <c r="H15" s="1074"/>
    </row>
    <row r="16" spans="1:8" s="310" customFormat="1" ht="51.75" hidden="1" customHeight="1" x14ac:dyDescent="0.2">
      <c r="A16" s="2277" t="s">
        <v>1652</v>
      </c>
      <c r="B16" s="2277"/>
      <c r="C16" s="2277"/>
      <c r="D16" s="2277"/>
      <c r="E16" s="2277"/>
      <c r="F16" s="310" t="s">
        <v>1371</v>
      </c>
    </row>
    <row r="17" spans="1:6" hidden="1" x14ac:dyDescent="0.2">
      <c r="A17" s="316" t="s">
        <v>1653</v>
      </c>
      <c r="F17" s="1086" t="s">
        <v>1372</v>
      </c>
    </row>
    <row r="18" spans="1:6" hidden="1" x14ac:dyDescent="0.2">
      <c r="A18" s="316" t="s">
        <v>1654</v>
      </c>
      <c r="F18" s="316" t="s">
        <v>1396</v>
      </c>
    </row>
    <row r="19" spans="1:6" hidden="1" x14ac:dyDescent="0.2">
      <c r="A19" s="316" t="s">
        <v>1395</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57"/>
      <c r="B2" s="1858"/>
      <c r="C2" s="1859"/>
      <c r="D2" s="1860"/>
    </row>
    <row r="3" spans="1:4" ht="36" customHeight="1" x14ac:dyDescent="0.2">
      <c r="A3" s="2299" t="s">
        <v>665</v>
      </c>
      <c r="B3" s="2300"/>
      <c r="C3" s="2300"/>
      <c r="D3" s="2301"/>
    </row>
    <row r="4" spans="1:4" x14ac:dyDescent="0.2">
      <c r="A4" s="1152" t="s">
        <v>1657</v>
      </c>
      <c r="B4" s="1153"/>
      <c r="C4" s="1154"/>
      <c r="D4" s="1155"/>
    </row>
    <row r="5" spans="1:4" ht="21" customHeight="1" x14ac:dyDescent="0.2">
      <c r="A5" s="1148"/>
      <c r="B5" s="1149">
        <v>1</v>
      </c>
      <c r="C5" s="1150" t="s">
        <v>1800</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10" t="s">
        <v>1490</v>
      </c>
      <c r="D7" s="2311"/>
    </row>
    <row r="8" spans="1:4" s="668" customFormat="1" ht="12.75" x14ac:dyDescent="0.2">
      <c r="A8" s="1138"/>
      <c r="B8" s="1093"/>
      <c r="C8" s="1096" t="s">
        <v>1489</v>
      </c>
      <c r="D8" s="1097"/>
    </row>
    <row r="9" spans="1:4" s="668" customFormat="1" ht="14.25" customHeight="1" x14ac:dyDescent="0.2">
      <c r="A9" s="1138"/>
      <c r="B9" s="1093">
        <f>B7+1</f>
        <v>4</v>
      </c>
      <c r="C9" s="1094" t="s">
        <v>1875</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1491</v>
      </c>
      <c r="D14" s="1137"/>
    </row>
    <row r="15" spans="1:4" s="668" customFormat="1" ht="21.75" customHeight="1" x14ac:dyDescent="0.2">
      <c r="A15" s="2302" t="s">
        <v>1008</v>
      </c>
      <c r="B15" s="2303"/>
      <c r="C15" s="2303"/>
      <c r="D15" s="2304"/>
    </row>
    <row r="16" spans="1:4" s="668" customFormat="1" ht="24" customHeight="1" x14ac:dyDescent="0.2">
      <c r="A16" s="2305" t="s">
        <v>663</v>
      </c>
      <c r="B16" s="2306"/>
      <c r="C16" s="2306"/>
      <c r="D16" s="2307"/>
    </row>
    <row r="17" spans="1:10" s="668" customFormat="1" ht="12.75" customHeight="1" x14ac:dyDescent="0.2">
      <c r="A17" s="1156" t="s">
        <v>1658</v>
      </c>
      <c r="B17" s="1157"/>
      <c r="C17" s="1158"/>
      <c r="D17" s="1159"/>
    </row>
    <row r="18" spans="1:10" s="668" customFormat="1" ht="12.75" customHeight="1" x14ac:dyDescent="0.2">
      <c r="A18" s="1160" t="s">
        <v>1659</v>
      </c>
      <c r="B18" s="1161"/>
      <c r="C18" s="1162"/>
      <c r="D18" s="1163"/>
    </row>
    <row r="19" spans="1:10" ht="6.75" customHeight="1" thickBot="1" x14ac:dyDescent="0.25">
      <c r="A19" s="1164"/>
      <c r="B19" s="1165"/>
      <c r="C19" s="1166"/>
      <c r="D19" s="1167"/>
    </row>
    <row r="20" spans="1:10" s="1171" customFormat="1" ht="12.75" thickTop="1" x14ac:dyDescent="0.2">
      <c r="A20" s="1168"/>
      <c r="B20" s="1169" t="s">
        <v>1660</v>
      </c>
      <c r="C20" s="1170"/>
      <c r="D20" s="1173" t="s">
        <v>710</v>
      </c>
    </row>
    <row r="21" spans="1:10" x14ac:dyDescent="0.2">
      <c r="A21" s="1098"/>
      <c r="B21" s="1099">
        <v>1</v>
      </c>
      <c r="C21" s="2314" t="s">
        <v>314</v>
      </c>
      <c r="D21" s="2315"/>
    </row>
    <row r="22" spans="1:10" ht="12.75" x14ac:dyDescent="0.2">
      <c r="A22" s="1139"/>
      <c r="B22" s="1140">
        <v>2</v>
      </c>
      <c r="C22" s="2312" t="s">
        <v>1510</v>
      </c>
      <c r="D22" s="231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1512</v>
      </c>
      <c r="D25" s="1103" t="str">
        <f>IF(AND(COVER!J29="X",COVER!J30="X",COVER!L30&lt;&gt;"X"),"OK",IF(AND(COVER!J29="X",COVER!J30&lt;&gt;"X",COVER!L30="X"),"OK",IF(AND(COVER!L29="X",COVER!J30&lt;&gt;"X"),"OK","PLEASE CHECK YES or NO.")))</f>
        <v>OK</v>
      </c>
    </row>
    <row r="26" spans="1:10" x14ac:dyDescent="0.2">
      <c r="A26" s="1100"/>
      <c r="B26" s="1143"/>
      <c r="C26" s="1104" t="s">
        <v>1511</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16" t="s">
        <v>536</v>
      </c>
      <c r="D43" s="231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08" t="s">
        <v>784</v>
      </c>
      <c r="D56" s="230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1876</v>
      </c>
      <c r="D66" s="1125"/>
    </row>
    <row r="67" spans="1:4" x14ac:dyDescent="0.2">
      <c r="A67" s="1119"/>
      <c r="B67" s="1140"/>
      <c r="C67" s="1147" t="s">
        <v>1021</v>
      </c>
      <c r="D67" s="1125"/>
    </row>
    <row r="68" spans="1:4" x14ac:dyDescent="0.2">
      <c r="A68" s="1100"/>
      <c r="B68" s="1110"/>
      <c r="C68" s="1102" t="s">
        <v>1877</v>
      </c>
      <c r="D68" s="1124" t="str">
        <f>IF('Short-Term Long-Term Debt 24'!F49=SUM(,'Acct Summary 7-8'!C33:K33),"OK","ERROR!")</f>
        <v>OK</v>
      </c>
    </row>
    <row r="69" spans="1:4" x14ac:dyDescent="0.2">
      <c r="A69" s="1100"/>
      <c r="B69" s="1110"/>
      <c r="C69" s="1102" t="s">
        <v>1878</v>
      </c>
      <c r="D69" s="1124" t="str">
        <f>IF('Expenditures 15-22'!H170&lt;&gt;'Short-Term Long-Term Debt 24'!H49,"ERROR!","OK")</f>
        <v>OK</v>
      </c>
    </row>
    <row r="70" spans="1:4" x14ac:dyDescent="0.2">
      <c r="A70" s="1098"/>
      <c r="B70" s="1120">
        <f>B66+1</f>
        <v>9</v>
      </c>
      <c r="C70" s="2308" t="s">
        <v>1661</v>
      </c>
      <c r="D70" s="230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1662</v>
      </c>
      <c r="D73" s="1126" t="str">
        <f>IF(SUM('Acct Summary 7-8'!C42:K42)&gt;=SUM( 'Acct Summary 7-8'!C74:K74),"OK", "ERROR")</f>
        <v>OK</v>
      </c>
    </row>
    <row r="74" spans="1:4" x14ac:dyDescent="0.2">
      <c r="A74" s="1098"/>
      <c r="B74" s="1120">
        <f>B70+1</f>
        <v>10</v>
      </c>
      <c r="C74" s="1114" t="s">
        <v>1879</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1404</v>
      </c>
      <c r="D76" s="1124" t="str">
        <f>IF(SUM('Assets-Liab 5-6'!C39:K39)&gt;0,"OK","ENTRY IS REQUIRED!")</f>
        <v>OK</v>
      </c>
    </row>
    <row r="77" spans="1:4" x14ac:dyDescent="0.2">
      <c r="A77" s="1100"/>
      <c r="B77" s="1129">
        <f>B74+1</f>
        <v>11</v>
      </c>
      <c r="C77" s="1174" t="s">
        <v>1378</v>
      </c>
      <c r="D77" s="1124"/>
    </row>
    <row r="78" spans="1:4" x14ac:dyDescent="0.2">
      <c r="A78" s="1100"/>
      <c r="B78" s="1110"/>
      <c r="C78" s="1118" t="s">
        <v>1880</v>
      </c>
      <c r="D78" s="1124" t="str">
        <f>IF(ISNUMBER('Acct Summary 7-8'!C9),"OK","ENTRY IS REQUIRED!")</f>
        <v>OK</v>
      </c>
    </row>
    <row r="79" spans="1:4" x14ac:dyDescent="0.2">
      <c r="A79" s="1119"/>
      <c r="B79" s="1120">
        <f>B74+1+1</f>
        <v>12</v>
      </c>
      <c r="C79" s="1130" t="s">
        <v>1867</v>
      </c>
      <c r="D79" s="1131" t="str">
        <f>IF(OR(COVER!$B$6="X",'PCTC-OEPP 27-28'!F78&gt;0),"OK","PLEASE ENTER 9 MO ADA.")</f>
        <v>OK</v>
      </c>
    </row>
    <row r="80" spans="1:4" x14ac:dyDescent="0.2">
      <c r="A80" s="1098"/>
      <c r="B80" s="1120">
        <v>13</v>
      </c>
      <c r="C80" s="1130" t="s">
        <v>1881</v>
      </c>
      <c r="D80" s="1131" t="str">
        <f>IF('Contracts Paid in CY 29'!D141&gt;0,"OK","PLEASE ENTER CONTRACTS PAID IN CURRENT YEAR.")</f>
        <v>OK</v>
      </c>
    </row>
    <row r="81" spans="1:4" x14ac:dyDescent="0.2">
      <c r="A81" s="1098"/>
      <c r="B81" s="1120">
        <v>14</v>
      </c>
      <c r="C81" s="1130" t="s">
        <v>1410</v>
      </c>
      <c r="D81" s="1123" t="str">
        <f>IF('[1]Shared Outsourced Services 31'!B8="X","OK",IF('[1]Shared Outsourced Services 31'!K34&gt;0,"OK","ENTRY REQUIRED!"))</f>
        <v>OK</v>
      </c>
    </row>
    <row r="82" spans="1:4" x14ac:dyDescent="0.2">
      <c r="A82" s="1119"/>
      <c r="B82" s="1120">
        <v>15</v>
      </c>
      <c r="C82" s="1130" t="s">
        <v>1409</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28006084004</v>
      </c>
    </row>
    <row r="3" spans="1:2" x14ac:dyDescent="0.2">
      <c r="A3" t="s">
        <v>956</v>
      </c>
      <c r="B3" s="138" t="str">
        <f>COVER!A15</f>
        <v xml:space="preserve">BUREAU </v>
      </c>
    </row>
    <row r="4" spans="1:2" x14ac:dyDescent="0.2">
      <c r="A4" t="s">
        <v>1007</v>
      </c>
      <c r="B4" s="138" t="str">
        <f>COVER!A17</f>
        <v>MALDEN COMMUNITY CONSOLIDATED SCHOOL DISTRICT 84</v>
      </c>
    </row>
    <row r="5" spans="1:2" x14ac:dyDescent="0.2">
      <c r="A5" t="s">
        <v>704</v>
      </c>
      <c r="B5" s="138" t="str">
        <f>COVER!A38</f>
        <v xml:space="preserve">MIKE PATTERSON </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1513</v>
      </c>
      <c r="B12" s="138" t="str">
        <f>IF(COVER!J29="x","Yes",IF(COVER!L29="X","No",0))</f>
        <v>No</v>
      </c>
    </row>
    <row r="13" spans="1:2" x14ac:dyDescent="0.2">
      <c r="A13" s="1" t="s">
        <v>1514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 xml:space="preserve">HOPKINS &amp; ASSOCIATES, CPAS </v>
      </c>
    </row>
    <row r="17" spans="1:2" x14ac:dyDescent="0.2">
      <c r="A17" t="s">
        <v>884</v>
      </c>
      <c r="B17" s="138" t="str">
        <f>COVER!T15</f>
        <v xml:space="preserve">JOEL HOPKINS </v>
      </c>
    </row>
    <row r="18" spans="1:2" x14ac:dyDescent="0.2">
      <c r="A18" t="s">
        <v>1150</v>
      </c>
      <c r="B18" s="138" t="str">
        <f>COVER!T17</f>
        <v>314 S MCCOY STREET</v>
      </c>
    </row>
    <row r="19" spans="1:2" x14ac:dyDescent="0.2">
      <c r="A19" t="s">
        <v>886</v>
      </c>
      <c r="B19" s="138" t="str">
        <f>COVER!T25</f>
        <v>JOEL@HOPKINSOFFICE.COM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1467</v>
      </c>
      <c r="B49" s="138" t="str">
        <f>IF('Aud Quest 2'!B53="x","Yes",IF('Aud Quest 2'!B53&lt;&gt;"x","0"))</f>
        <v>0</v>
      </c>
    </row>
    <row r="50" spans="1:4" x14ac:dyDescent="0.2">
      <c r="A50" s="1" t="s">
        <v>1466</v>
      </c>
      <c r="B50" s="150">
        <f>'Aud Quest 2'!H53</f>
        <v>0</v>
      </c>
    </row>
    <row r="51" spans="1:4" x14ac:dyDescent="0.2">
      <c r="A51" s="1" t="s">
        <v>1468</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586888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555352</v>
      </c>
      <c r="D92" s="2" t="str">
        <f t="shared" si="0"/>
        <v>Error?</v>
      </c>
    </row>
    <row r="93" spans="1:4" x14ac:dyDescent="0.2">
      <c r="A93" s="5">
        <v>32</v>
      </c>
      <c r="B93" s="138">
        <f>'Assets-Liab 5-6'!C41</f>
        <v>586888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131299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131299</v>
      </c>
      <c r="D123" s="2" t="str">
        <f t="shared" si="0"/>
        <v>Error?</v>
      </c>
    </row>
    <row r="124" spans="1:4" x14ac:dyDescent="0.2">
      <c r="A124" s="5">
        <v>63</v>
      </c>
      <c r="B124" s="138">
        <f>'Assets-Liab 5-6'!D41</f>
        <v>131299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14577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14577</v>
      </c>
      <c r="D140" s="2" t="str">
        <f t="shared" si="1"/>
        <v>Error?</v>
      </c>
    </row>
    <row r="141" spans="1:4" x14ac:dyDescent="0.2">
      <c r="A141" s="5">
        <v>80</v>
      </c>
      <c r="B141" s="138">
        <f>'Assets-Liab 5-6'!E41</f>
        <v>14577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145371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145371</v>
      </c>
      <c r="D170" s="2" t="str">
        <f t="shared" si="1"/>
        <v>Error?</v>
      </c>
    </row>
    <row r="171" spans="1:4" x14ac:dyDescent="0.2">
      <c r="A171" s="5">
        <v>110</v>
      </c>
      <c r="B171" s="138">
        <f>'Assets-Liab 5-6'!F41</f>
        <v>145371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34630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34630</v>
      </c>
      <c r="D189" s="2" t="str">
        <f t="shared" si="1"/>
        <v>Error?</v>
      </c>
    </row>
    <row r="190" spans="1:4" x14ac:dyDescent="0.2">
      <c r="A190" s="5">
        <v>129</v>
      </c>
      <c r="B190" s="138">
        <f>'Assets-Liab 5-6'!G41</f>
        <v>34630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3000</v>
      </c>
      <c r="D273" s="2" t="str">
        <f t="shared" si="3"/>
        <v>Error?</v>
      </c>
    </row>
    <row r="274" spans="1:4" x14ac:dyDescent="0.2">
      <c r="A274" s="5">
        <v>213</v>
      </c>
      <c r="B274" s="138">
        <f>'Assets-Liab 5-6'!M17</f>
        <v>811311</v>
      </c>
      <c r="D274" s="2" t="str">
        <f t="shared" si="3"/>
        <v>Error?</v>
      </c>
    </row>
    <row r="275" spans="1:4" x14ac:dyDescent="0.2">
      <c r="A275" s="5">
        <v>214</v>
      </c>
      <c r="B275" s="138">
        <f>'Assets-Liab 5-6'!M18</f>
        <v>47768</v>
      </c>
      <c r="D275" s="2" t="str">
        <f t="shared" si="3"/>
        <v>Error?</v>
      </c>
    </row>
    <row r="276" spans="1:4" x14ac:dyDescent="0.2">
      <c r="A276" s="5">
        <v>215</v>
      </c>
      <c r="B276" s="138">
        <f>'Assets-Liab 5-6'!M19</f>
        <v>491297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1353376</v>
      </c>
      <c r="C279" s="2" t="s">
        <v>573</v>
      </c>
      <c r="D279" s="2" t="str">
        <f t="shared" si="3"/>
        <v>Error?</v>
      </c>
    </row>
    <row r="280" spans="1:4" x14ac:dyDescent="0.2">
      <c r="A280" s="5">
        <v>219</v>
      </c>
      <c r="B280" s="138">
        <f>'Assets-Liab 5-6'!M40</f>
        <v>1353376</v>
      </c>
      <c r="D280" s="2" t="str">
        <f t="shared" si="3"/>
        <v>Error?</v>
      </c>
    </row>
    <row r="281" spans="1:4" x14ac:dyDescent="0.2">
      <c r="A281" s="5">
        <v>220</v>
      </c>
      <c r="B281" s="138">
        <f>'Assets-Liab 5-6'!M41</f>
        <v>1353376</v>
      </c>
      <c r="C281" s="2" t="s">
        <v>573</v>
      </c>
      <c r="D281" s="2" t="str">
        <f t="shared" si="3"/>
        <v>Error?</v>
      </c>
    </row>
    <row r="282" spans="1:4" x14ac:dyDescent="0.2">
      <c r="A282" s="5">
        <v>221</v>
      </c>
      <c r="B282" s="138">
        <f>'Assets-Liab 5-6'!N21</f>
        <v>14577</v>
      </c>
      <c r="D282" s="2" t="str">
        <f t="shared" si="3"/>
        <v>Error?</v>
      </c>
    </row>
    <row r="283" spans="1:4" x14ac:dyDescent="0.2">
      <c r="A283" s="5">
        <v>222</v>
      </c>
      <c r="B283" s="138">
        <f>'Assets-Liab 5-6'!N22</f>
        <v>150423</v>
      </c>
      <c r="D283" s="2" t="str">
        <f t="shared" si="3"/>
        <v>Error?</v>
      </c>
    </row>
    <row r="284" spans="1:4" x14ac:dyDescent="0.2">
      <c r="A284" s="5">
        <v>223</v>
      </c>
      <c r="B284" s="138">
        <f>'Assets-Liab 5-6'!N23</f>
        <v>165000</v>
      </c>
      <c r="C284" s="2" t="s">
        <v>573</v>
      </c>
      <c r="D284" s="2" t="str">
        <f t="shared" si="3"/>
        <v>Error?</v>
      </c>
    </row>
    <row r="285" spans="1:4" x14ac:dyDescent="0.2">
      <c r="A285" s="5">
        <v>224</v>
      </c>
      <c r="B285" s="138">
        <f>'Assets-Liab 5-6'!N36</f>
        <v>165000</v>
      </c>
      <c r="D285" s="2" t="str">
        <f t="shared" si="3"/>
        <v>Error?</v>
      </c>
    </row>
    <row r="286" spans="1:4" x14ac:dyDescent="0.2">
      <c r="A286" s="10">
        <v>225</v>
      </c>
      <c r="D286" s="2" t="str">
        <f t="shared" si="3"/>
        <v>OK</v>
      </c>
    </row>
    <row r="287" spans="1:4" x14ac:dyDescent="0.2">
      <c r="A287" s="5">
        <v>226</v>
      </c>
      <c r="B287" s="138">
        <f>'Assets-Liab 5-6'!N37</f>
        <v>165000</v>
      </c>
      <c r="C287" s="2" t="s">
        <v>573</v>
      </c>
      <c r="D287" s="2" t="str">
        <f t="shared" si="3"/>
        <v>Error?</v>
      </c>
    </row>
    <row r="288" spans="1:4" x14ac:dyDescent="0.2">
      <c r="A288" s="5">
        <v>227</v>
      </c>
      <c r="B288" s="138">
        <f>'Assets-Liab 5-6'!N41</f>
        <v>165000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348886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11880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463491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2986</v>
      </c>
      <c r="D732" s="2" t="str">
        <f t="shared" si="10"/>
        <v>Error?</v>
      </c>
    </row>
    <row r="733" spans="1:4" x14ac:dyDescent="0.2">
      <c r="A733" s="5">
        <v>672</v>
      </c>
      <c r="B733" s="138">
        <f>'Expenditures 15-22'!C50</f>
        <v>57592</v>
      </c>
      <c r="D733" s="2" t="str">
        <f t="shared" si="10"/>
        <v>Error?</v>
      </c>
    </row>
    <row r="734" spans="1:4" x14ac:dyDescent="0.2">
      <c r="A734" s="5">
        <v>673</v>
      </c>
      <c r="B734" s="138">
        <f>'Expenditures 15-22'!C53</f>
        <v>60578</v>
      </c>
      <c r="C734" s="2" t="s">
        <v>573</v>
      </c>
      <c r="D734" s="2" t="str">
        <f t="shared" si="10"/>
        <v>Error?</v>
      </c>
    </row>
    <row r="735" spans="1:4" x14ac:dyDescent="0.2">
      <c r="A735" s="5">
        <v>674</v>
      </c>
      <c r="B735" s="138">
        <f>'Expenditures 15-22'!C55</f>
        <v>53841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53841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13500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4967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18467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132886</v>
      </c>
      <c r="C755" s="2" t="s">
        <v>573</v>
      </c>
      <c r="D755" s="2" t="str">
        <f t="shared" si="10"/>
        <v>Error?</v>
      </c>
    </row>
    <row r="756" spans="1:4" x14ac:dyDescent="0.2">
      <c r="A756" s="5">
        <v>695</v>
      </c>
      <c r="B756" s="138">
        <f>'Expenditures 15-22'!C75</f>
        <v>12318</v>
      </c>
      <c r="D756" s="2" t="str">
        <f t="shared" si="10"/>
        <v>Error?</v>
      </c>
    </row>
    <row r="757" spans="1:4" x14ac:dyDescent="0.2">
      <c r="A757" s="5">
        <v>696</v>
      </c>
      <c r="B757" s="138">
        <f>'Expenditures 15-22'!C114</f>
        <v>608695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33290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898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43795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6107</v>
      </c>
      <c r="D791" s="2" t="str">
        <f t="shared" si="11"/>
        <v>Error?</v>
      </c>
    </row>
    <row r="792" spans="1:4" x14ac:dyDescent="0.2">
      <c r="A792" s="5">
        <v>731</v>
      </c>
      <c r="B792" s="138">
        <f>'Expenditures 15-22'!D53</f>
        <v>6107</v>
      </c>
      <c r="C792" s="2" t="s">
        <v>573</v>
      </c>
      <c r="D792" s="2" t="str">
        <f t="shared" si="11"/>
        <v>Error?</v>
      </c>
    </row>
    <row r="793" spans="1:4" x14ac:dyDescent="0.2">
      <c r="A793" s="5">
        <v>732</v>
      </c>
      <c r="B793" s="138">
        <f>'Expenditures 15-22'!D55</f>
        <v>5497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5497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11604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55399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4535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4815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11350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3343</v>
      </c>
      <c r="D838" s="2" t="str">
        <f t="shared" si="12"/>
        <v>Error?</v>
      </c>
    </row>
    <row r="839" spans="1:4" x14ac:dyDescent="0.2">
      <c r="A839" s="5">
        <v>778</v>
      </c>
      <c r="B839" s="138">
        <f>'Expenditures 15-22'!E38</f>
        <v>69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26288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29700</v>
      </c>
      <c r="C843" s="2" t="s">
        <v>573</v>
      </c>
      <c r="D843" s="2" t="str">
        <f t="shared" si="12"/>
        <v>Error?</v>
      </c>
    </row>
    <row r="844" spans="1:4" x14ac:dyDescent="0.2">
      <c r="A844" s="5">
        <v>783</v>
      </c>
      <c r="B844" s="138">
        <f>'Expenditures 15-22'!E44</f>
        <v>10623</v>
      </c>
      <c r="D844" s="2" t="str">
        <f t="shared" si="12"/>
        <v>Error?</v>
      </c>
    </row>
    <row r="845" spans="1:4" x14ac:dyDescent="0.2">
      <c r="A845" s="5">
        <v>784</v>
      </c>
      <c r="B845" s="138">
        <f>'Expenditures 15-22'!E45</f>
        <v>10887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21510</v>
      </c>
      <c r="C847" s="2" t="s">
        <v>573</v>
      </c>
      <c r="D847" s="2" t="str">
        <f t="shared" si="12"/>
        <v>Error?</v>
      </c>
    </row>
    <row r="848" spans="1:4" x14ac:dyDescent="0.2">
      <c r="A848" s="5">
        <v>787</v>
      </c>
      <c r="B848" s="138">
        <f>'Expenditures 15-22'!E49</f>
        <v>5484</v>
      </c>
      <c r="D848" s="2" t="str">
        <f t="shared" si="12"/>
        <v>Error?</v>
      </c>
    </row>
    <row r="849" spans="1:4" x14ac:dyDescent="0.2">
      <c r="A849" s="5">
        <v>788</v>
      </c>
      <c r="B849" s="138">
        <f>'Expenditures 15-22'!E50</f>
        <v>0</v>
      </c>
      <c r="D849" s="2" t="str">
        <f t="shared" si="12"/>
        <v>Error?</v>
      </c>
    </row>
    <row r="850" spans="1:4" x14ac:dyDescent="0.2">
      <c r="A850" s="5">
        <v>789</v>
      </c>
      <c r="B850" s="138">
        <f>'Expenditures 15-22'!E53</f>
        <v>5484</v>
      </c>
      <c r="C850" s="2" t="s">
        <v>573</v>
      </c>
      <c r="D850" s="2" t="str">
        <f t="shared" si="12"/>
        <v>Error?</v>
      </c>
    </row>
    <row r="851" spans="1:4" x14ac:dyDescent="0.2">
      <c r="A851" s="5">
        <v>790</v>
      </c>
      <c r="B851" s="138">
        <f>'Expenditures 15-22'!E55</f>
        <v>43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2000</v>
      </c>
      <c r="D857" s="2" t="str">
        <f t="shared" si="12"/>
        <v>Error?</v>
      </c>
    </row>
    <row r="858" spans="1:4" x14ac:dyDescent="0.2">
      <c r="A858" s="5">
        <v>797</v>
      </c>
      <c r="B858" s="138">
        <f>'Expenditures 15-22'!E63</f>
        <v>161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2161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58898</v>
      </c>
      <c r="C871" s="2" t="s">
        <v>573</v>
      </c>
      <c r="D871" s="2" t="str">
        <f t="shared" si="12"/>
        <v>Error?</v>
      </c>
    </row>
    <row r="872" spans="1:4" x14ac:dyDescent="0.2">
      <c r="A872" s="5">
        <v>811</v>
      </c>
      <c r="B872" s="138">
        <f>'Expenditures 15-22'!E75</f>
        <v>2767</v>
      </c>
      <c r="D872" s="2" t="str">
        <f t="shared" si="12"/>
        <v>Error?</v>
      </c>
    </row>
    <row r="873" spans="1:4" x14ac:dyDescent="0.2">
      <c r="A873" s="5">
        <v>812</v>
      </c>
      <c r="B873" s="138">
        <f>'Expenditures 15-22'!E114</f>
        <v>103563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12386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3156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19156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18332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18332</v>
      </c>
      <c r="C905" s="2" t="s">
        <v>573</v>
      </c>
      <c r="D905" s="2" t="str">
        <f t="shared" si="13"/>
        <v>Error?</v>
      </c>
    </row>
    <row r="906" spans="1:4" x14ac:dyDescent="0.2">
      <c r="A906" s="5">
        <v>845</v>
      </c>
      <c r="B906" s="138">
        <f>'Expenditures 15-22'!F49</f>
        <v>1490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1490</v>
      </c>
      <c r="C908" s="2" t="s">
        <v>573</v>
      </c>
      <c r="D908" s="2" t="str">
        <f t="shared" si="13"/>
        <v>Error?</v>
      </c>
    </row>
    <row r="909" spans="1:4" x14ac:dyDescent="0.2">
      <c r="A909" s="5">
        <v>848</v>
      </c>
      <c r="B909" s="138">
        <f>'Expenditures 15-22'!F55</f>
        <v>10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339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27553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27892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47724</v>
      </c>
      <c r="C929" s="2" t="s">
        <v>573</v>
      </c>
      <c r="D929" s="2" t="str">
        <f t="shared" si="13"/>
        <v>Error?</v>
      </c>
    </row>
    <row r="930" spans="1:4" x14ac:dyDescent="0.2">
      <c r="A930" s="5">
        <v>869</v>
      </c>
      <c r="B930" s="138">
        <f>'Expenditures 15-22'!F75</f>
        <v>5654</v>
      </c>
      <c r="D930" s="2" t="str">
        <f t="shared" si="13"/>
        <v>Error?</v>
      </c>
    </row>
    <row r="931" spans="1:4" x14ac:dyDescent="0.2">
      <c r="A931" s="5">
        <v>870</v>
      </c>
      <c r="B931" s="138">
        <f>'Expenditures 15-22'!F114</f>
        <v>72534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1053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630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1683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2822</v>
      </c>
      <c r="D1023" s="2" t="str">
        <f t="shared" ref="D1023:D1086" si="15">IF(ISBLANK(B1023),"OK",IF(A1023-B1023=0,"OK","Error?"))</f>
        <v>Error?</v>
      </c>
    </row>
    <row r="1024" spans="1:4" x14ac:dyDescent="0.2">
      <c r="A1024" s="5">
        <v>963</v>
      </c>
      <c r="B1024" s="138">
        <f>'Expenditures 15-22'!H53</f>
        <v>2822</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1027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1090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3912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5595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400150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21379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539475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3343</v>
      </c>
      <c r="C1110" s="2" t="s">
        <v>573</v>
      </c>
      <c r="D1110" s="2" t="str">
        <f t="shared" si="16"/>
        <v>Error?</v>
      </c>
    </row>
    <row r="1111" spans="1:4" x14ac:dyDescent="0.2">
      <c r="A1111" s="5">
        <v>1050</v>
      </c>
      <c r="B1111" s="138">
        <f>'Expenditures 15-22'!K38</f>
        <v>69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26288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29700</v>
      </c>
      <c r="C1115" s="2" t="s">
        <v>573</v>
      </c>
      <c r="D1115" s="2" t="str">
        <f t="shared" si="16"/>
        <v>Error?</v>
      </c>
    </row>
    <row r="1116" spans="1:4" x14ac:dyDescent="0.2">
      <c r="A1116" s="5">
        <v>1055</v>
      </c>
      <c r="B1116" s="138">
        <f>'Expenditures 15-22'!K44</f>
        <v>10623</v>
      </c>
      <c r="C1116" s="2" t="s">
        <v>573</v>
      </c>
      <c r="D1116" s="2" t="str">
        <f t="shared" si="16"/>
        <v>Error?</v>
      </c>
    </row>
    <row r="1117" spans="1:4" x14ac:dyDescent="0.2">
      <c r="A1117" s="5">
        <v>1056</v>
      </c>
      <c r="B1117" s="138">
        <f>'Expenditures 15-22'!K45</f>
        <v>29219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39842</v>
      </c>
      <c r="C1119" s="2" t="s">
        <v>573</v>
      </c>
      <c r="D1119" s="2" t="str">
        <f t="shared" si="16"/>
        <v>Error?</v>
      </c>
    </row>
    <row r="1120" spans="1:4" x14ac:dyDescent="0.2">
      <c r="A1120" s="5">
        <v>1059</v>
      </c>
      <c r="B1120" s="138">
        <f>'Expenditures 15-22'!K49</f>
        <v>9960</v>
      </c>
      <c r="C1120" s="2" t="s">
        <v>573</v>
      </c>
      <c r="D1120" s="2" t="str">
        <f t="shared" si="16"/>
        <v>Error?</v>
      </c>
    </row>
    <row r="1121" spans="1:4" x14ac:dyDescent="0.2">
      <c r="A1121" s="5">
        <v>1060</v>
      </c>
      <c r="B1121" s="138">
        <f>'Expenditures 15-22'!K50</f>
        <v>66521</v>
      </c>
      <c r="C1121" s="2" t="s">
        <v>573</v>
      </c>
      <c r="D1121" s="2" t="str">
        <f t="shared" si="16"/>
        <v>Error?</v>
      </c>
    </row>
    <row r="1122" spans="1:4" x14ac:dyDescent="0.2">
      <c r="A1122" s="5">
        <v>1061</v>
      </c>
      <c r="B1122" s="138">
        <f>'Expenditures 15-22'!K53</f>
        <v>76481</v>
      </c>
      <c r="C1122" s="2" t="s">
        <v>573</v>
      </c>
      <c r="D1122" s="2" t="str">
        <f t="shared" si="16"/>
        <v>Error?</v>
      </c>
    </row>
    <row r="1123" spans="1:4" x14ac:dyDescent="0.2">
      <c r="A1123" s="5">
        <v>1062</v>
      </c>
      <c r="B1123" s="138">
        <f>'Expenditures 15-22'!K55</f>
        <v>59391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59391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14866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2000</v>
      </c>
      <c r="C1129" s="2" t="s">
        <v>573</v>
      </c>
      <c r="D1129" s="2" t="str">
        <f t="shared" si="16"/>
        <v>Error?</v>
      </c>
    </row>
    <row r="1130" spans="1:4" x14ac:dyDescent="0.2">
      <c r="A1130" s="5">
        <v>1069</v>
      </c>
      <c r="B1130" s="138">
        <f>'Expenditures 15-22'!K63</f>
        <v>32744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49610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255024</v>
      </c>
      <c r="C1143" s="2" t="s">
        <v>573</v>
      </c>
      <c r="D1143" s="2" t="str">
        <f t="shared" si="16"/>
        <v>Error?</v>
      </c>
    </row>
    <row r="1144" spans="1:4" x14ac:dyDescent="0.2">
      <c r="A1144" s="5">
        <v>1083</v>
      </c>
      <c r="B1144" s="138">
        <f>'Expenditures 15-22'!K75</f>
        <v>20739</v>
      </c>
      <c r="C1144" s="2" t="s">
        <v>573</v>
      </c>
      <c r="D1144" s="2" t="str">
        <f t="shared" si="16"/>
        <v>Error?</v>
      </c>
    </row>
    <row r="1145" spans="1:4" x14ac:dyDescent="0.2">
      <c r="A1145" s="5">
        <v>1084</v>
      </c>
      <c r="B1145" s="138">
        <f>'Expenditures 15-22'!K102</f>
        <v>30548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845786</v>
      </c>
      <c r="C1152" s="2" t="s">
        <v>573</v>
      </c>
      <c r="D1152" s="2" t="str">
        <f t="shared" si="17"/>
        <v>Error?</v>
      </c>
    </row>
    <row r="1153" spans="1:4" x14ac:dyDescent="0.2">
      <c r="A1153" s="5">
        <v>1092</v>
      </c>
      <c r="B1153" s="138">
        <f>'Expenditures 15-22'!K115</f>
        <v>40914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28598</v>
      </c>
      <c r="D1221" s="2" t="str">
        <f t="shared" si="18"/>
        <v>Error?</v>
      </c>
    </row>
    <row r="1222" spans="1:4" x14ac:dyDescent="0.2">
      <c r="A1222" s="10">
        <v>1161</v>
      </c>
      <c r="D1222" s="2" t="str">
        <f t="shared" si="18"/>
        <v>OK</v>
      </c>
    </row>
    <row r="1223" spans="1:4" x14ac:dyDescent="0.2">
      <c r="A1223" s="5">
        <v>1162</v>
      </c>
      <c r="B1223" s="138">
        <f>'Expenditures 15-22'!C127</f>
        <v>28598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28598</v>
      </c>
      <c r="C1225" s="2" t="s">
        <v>573</v>
      </c>
      <c r="D1225" s="2" t="str">
        <f t="shared" si="18"/>
        <v>Error?</v>
      </c>
    </row>
    <row r="1226" spans="1:4" x14ac:dyDescent="0.2">
      <c r="A1226" s="5">
        <v>1165</v>
      </c>
      <c r="B1226" s="138">
        <f>'Expenditures 15-22'!C151</f>
        <v>28598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37785</v>
      </c>
      <c r="D1237" s="2" t="str">
        <f t="shared" si="18"/>
        <v>Error?</v>
      </c>
    </row>
    <row r="1238" spans="1:4" x14ac:dyDescent="0.2">
      <c r="A1238" s="10">
        <v>1177</v>
      </c>
      <c r="D1238" s="2" t="str">
        <f t="shared" si="18"/>
        <v>OK</v>
      </c>
    </row>
    <row r="1239" spans="1:4" x14ac:dyDescent="0.2">
      <c r="A1239" s="5">
        <v>1178</v>
      </c>
      <c r="B1239" s="138">
        <f>'Expenditures 15-22'!E127</f>
        <v>37785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37785</v>
      </c>
      <c r="C1241" s="2" t="s">
        <v>573</v>
      </c>
      <c r="D1241" s="2" t="str">
        <f t="shared" si="18"/>
        <v>Error?</v>
      </c>
    </row>
    <row r="1242" spans="1:4" x14ac:dyDescent="0.2">
      <c r="A1242" s="5">
        <v>1181</v>
      </c>
      <c r="B1242" s="138">
        <f>'Expenditures 15-22'!E151</f>
        <v>37785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34984</v>
      </c>
      <c r="D1245" s="2" t="str">
        <f t="shared" si="18"/>
        <v>Error?</v>
      </c>
    </row>
    <row r="1246" spans="1:4" x14ac:dyDescent="0.2">
      <c r="A1246" s="10">
        <v>1185</v>
      </c>
      <c r="D1246" s="2" t="str">
        <f t="shared" si="18"/>
        <v>OK</v>
      </c>
    </row>
    <row r="1247" spans="1:4" x14ac:dyDescent="0.2">
      <c r="A1247" s="5">
        <v>1186</v>
      </c>
      <c r="B1247" s="138">
        <f>'Expenditures 15-22'!F127</f>
        <v>34984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34984</v>
      </c>
      <c r="C1249" s="2" t="s">
        <v>573</v>
      </c>
      <c r="D1249" s="2" t="str">
        <f t="shared" si="18"/>
        <v>Error?</v>
      </c>
    </row>
    <row r="1250" spans="1:4" x14ac:dyDescent="0.2">
      <c r="A1250" s="5">
        <v>1189</v>
      </c>
      <c r="B1250" s="138">
        <f>'Expenditures 15-22'!F151</f>
        <v>34984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101367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101367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101367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101367</v>
      </c>
      <c r="C1288" s="2" t="s">
        <v>573</v>
      </c>
      <c r="D1288" s="2" t="str">
        <f t="shared" si="19"/>
        <v>Error?</v>
      </c>
    </row>
    <row r="1289" spans="1:4" x14ac:dyDescent="0.2">
      <c r="A1289" s="5">
        <v>1228</v>
      </c>
      <c r="B1289" s="138">
        <f>'Expenditures 15-22'!K152</f>
        <v>6200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11313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46813</v>
      </c>
      <c r="C1317" s="2" t="s">
        <v>573</v>
      </c>
      <c r="D1317" s="2" t="str">
        <f t="shared" si="19"/>
        <v>Error?</v>
      </c>
    </row>
    <row r="1318" spans="1:4" x14ac:dyDescent="0.2">
      <c r="A1318" s="5">
        <v>1257</v>
      </c>
      <c r="B1318" s="138">
        <f>'Expenditures 15-22'!H174</f>
        <v>46813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11313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35000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46813</v>
      </c>
      <c r="C1331" s="2" t="s">
        <v>573</v>
      </c>
      <c r="D1331" s="2" t="str">
        <f t="shared" si="19"/>
        <v>Error?</v>
      </c>
    </row>
    <row r="1332" spans="1:4" x14ac:dyDescent="0.2">
      <c r="A1332" s="5">
        <v>1271</v>
      </c>
      <c r="B1332" s="138">
        <f>'Expenditures 15-22'!K174</f>
        <v>46813</v>
      </c>
      <c r="C1332" s="2" t="s">
        <v>573</v>
      </c>
      <c r="D1332" s="2" t="str">
        <f t="shared" si="19"/>
        <v>Error?</v>
      </c>
    </row>
    <row r="1333" spans="1:4" x14ac:dyDescent="0.2">
      <c r="A1333" s="5">
        <v>1272</v>
      </c>
      <c r="B1333" s="138">
        <f>'Expenditures 15-22'!K175</f>
        <v>-631</v>
      </c>
      <c r="C1333" s="2" t="s">
        <v>573</v>
      </c>
      <c r="D1333" s="2" t="str">
        <f t="shared" si="19"/>
        <v>Error?</v>
      </c>
    </row>
    <row r="1334" spans="1:4" x14ac:dyDescent="0.2">
      <c r="A1334" s="10">
        <v>1273</v>
      </c>
      <c r="D1334" s="2" t="str">
        <f t="shared" si="19"/>
        <v>OK</v>
      </c>
    </row>
    <row r="1335" spans="1:4" x14ac:dyDescent="0.2">
      <c r="A1335" s="5">
        <v>1274</v>
      </c>
      <c r="B1335" s="138">
        <f>'Expenditures 15-22'!C182</f>
        <v>17059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17059</v>
      </c>
      <c r="C1339" s="2" t="s">
        <v>573</v>
      </c>
      <c r="D1339" s="2" t="str">
        <f t="shared" si="19"/>
        <v>Error?</v>
      </c>
    </row>
    <row r="1340" spans="1:4" x14ac:dyDescent="0.2">
      <c r="A1340" s="5">
        <v>1279</v>
      </c>
      <c r="B1340" s="138">
        <f>'Expenditures 15-22'!C210</f>
        <v>17059</v>
      </c>
      <c r="C1340" s="2" t="s">
        <v>573</v>
      </c>
      <c r="D1340" s="2" t="str">
        <f t="shared" si="19"/>
        <v>Error?</v>
      </c>
    </row>
    <row r="1341" spans="1:4" x14ac:dyDescent="0.2">
      <c r="A1341" s="5">
        <v>1280</v>
      </c>
      <c r="B1341" s="138">
        <f>'Expenditures 15-22'!D182</f>
        <v>439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439</v>
      </c>
      <c r="C1345" s="2" t="s">
        <v>573</v>
      </c>
      <c r="D1345" s="2" t="str">
        <f t="shared" si="20"/>
        <v>Error?</v>
      </c>
    </row>
    <row r="1346" spans="1:4" x14ac:dyDescent="0.2">
      <c r="A1346" s="5">
        <v>1285</v>
      </c>
      <c r="B1346" s="138">
        <f>'Expenditures 15-22'!D210</f>
        <v>439</v>
      </c>
      <c r="C1346" s="2" t="s">
        <v>573</v>
      </c>
      <c r="D1346" s="2" t="str">
        <f t="shared" si="20"/>
        <v>Error?</v>
      </c>
    </row>
    <row r="1347" spans="1:4" x14ac:dyDescent="0.2">
      <c r="A1347" s="5">
        <v>1286</v>
      </c>
      <c r="B1347" s="138">
        <f>'Expenditures 15-22'!E182</f>
        <v>3864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3864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3864</v>
      </c>
      <c r="C1353" s="2" t="s">
        <v>573</v>
      </c>
      <c r="D1353" s="2" t="str">
        <f t="shared" si="20"/>
        <v>Error?</v>
      </c>
    </row>
    <row r="1354" spans="1:4" x14ac:dyDescent="0.2">
      <c r="A1354" s="5">
        <v>1293</v>
      </c>
      <c r="B1354" s="138">
        <f>'Expenditures 15-22'!F182</f>
        <v>5307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5307</v>
      </c>
      <c r="C1358" s="2" t="s">
        <v>573</v>
      </c>
      <c r="D1358" s="2" t="str">
        <f t="shared" si="20"/>
        <v>Error?</v>
      </c>
    </row>
    <row r="1359" spans="1:4" x14ac:dyDescent="0.2">
      <c r="A1359" s="5">
        <v>1298</v>
      </c>
      <c r="B1359" s="138">
        <f>'Expenditures 15-22'!F210</f>
        <v>5307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11497</v>
      </c>
      <c r="C1375" s="2" t="s">
        <v>573</v>
      </c>
      <c r="D1375" s="2" t="str">
        <f t="shared" si="20"/>
        <v>Error?</v>
      </c>
    </row>
    <row r="1376" spans="1:4" x14ac:dyDescent="0.2">
      <c r="A1376" s="5">
        <v>1315</v>
      </c>
      <c r="B1376" s="138">
        <f>'Expenditures 15-22'!H210</f>
        <v>11497</v>
      </c>
      <c r="C1376" s="2" t="s">
        <v>573</v>
      </c>
      <c r="D1376" s="2" t="str">
        <f t="shared" si="20"/>
        <v>Error?</v>
      </c>
    </row>
    <row r="1377" spans="1:4" x14ac:dyDescent="0.2">
      <c r="A1377" s="5">
        <v>1316</v>
      </c>
      <c r="B1377" s="138">
        <f>'Expenditures 15-22'!K182</f>
        <v>26669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26669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11497</v>
      </c>
      <c r="C1387" s="2" t="s">
        <v>573</v>
      </c>
      <c r="D1387" s="2" t="str">
        <f t="shared" si="20"/>
        <v>Error?</v>
      </c>
    </row>
    <row r="1388" spans="1:4" x14ac:dyDescent="0.2">
      <c r="A1388" s="5">
        <v>1327</v>
      </c>
      <c r="B1388" s="138">
        <f>'Expenditures 15-22'!K210</f>
        <v>38166</v>
      </c>
      <c r="C1388" s="2" t="s">
        <v>573</v>
      </c>
      <c r="D1388" s="2" t="str">
        <f t="shared" si="20"/>
        <v>Error?</v>
      </c>
    </row>
    <row r="1389" spans="1:4" x14ac:dyDescent="0.2">
      <c r="A1389" s="5">
        <v>1328</v>
      </c>
      <c r="B1389" s="138">
        <f>'Expenditures 15-22'!K211</f>
        <v>18753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840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23757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473</v>
      </c>
      <c r="D1422" s="2" t="str">
        <f t="shared" si="21"/>
        <v>Error?</v>
      </c>
    </row>
    <row r="1423" spans="1:4" x14ac:dyDescent="0.2">
      <c r="A1423" s="5">
        <v>1362</v>
      </c>
      <c r="B1423" s="138">
        <f>'Expenditures 15-22'!D246</f>
        <v>2477</v>
      </c>
      <c r="D1423" s="2" t="str">
        <f t="shared" si="21"/>
        <v>Error?</v>
      </c>
    </row>
    <row r="1424" spans="1:4" x14ac:dyDescent="0.2">
      <c r="A1424" s="5">
        <v>1363</v>
      </c>
      <c r="B1424" s="138">
        <f>'Expenditures 15-22'!D257</f>
        <v>4892</v>
      </c>
      <c r="C1424" s="2" t="s">
        <v>573</v>
      </c>
      <c r="D1424" s="2" t="str">
        <f t="shared" si="21"/>
        <v>Error?</v>
      </c>
    </row>
    <row r="1425" spans="1:4" x14ac:dyDescent="0.2">
      <c r="A1425" s="5">
        <v>1364</v>
      </c>
      <c r="B1425" s="138">
        <f>'Expenditures 15-22'!D259</f>
        <v>2771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2771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2138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3825</v>
      </c>
      <c r="D1431" s="2" t="str">
        <f t="shared" si="21"/>
        <v>Error?</v>
      </c>
    </row>
    <row r="1432" spans="1:4" x14ac:dyDescent="0.2">
      <c r="A1432" s="5">
        <v>1371</v>
      </c>
      <c r="B1432" s="138">
        <f>'Expenditures 15-22'!D267</f>
        <v>1563</v>
      </c>
      <c r="D1432" s="2" t="str">
        <f t="shared" si="21"/>
        <v>Error?</v>
      </c>
    </row>
    <row r="1433" spans="1:4" x14ac:dyDescent="0.2">
      <c r="A1433" s="5">
        <v>1372</v>
      </c>
      <c r="B1433" s="138">
        <f>'Expenditures 15-22'!D268</f>
        <v>380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7906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15569</v>
      </c>
      <c r="C1446" s="2" t="s">
        <v>573</v>
      </c>
      <c r="D1446" s="2" t="str">
        <f t="shared" si="21"/>
        <v>Error?</v>
      </c>
    </row>
    <row r="1447" spans="1:4" x14ac:dyDescent="0.2">
      <c r="A1447" s="5">
        <v>1386</v>
      </c>
      <c r="B1447" s="138">
        <f>'Expenditures 15-22'!D280</f>
        <v>942</v>
      </c>
      <c r="D1447" s="2" t="str">
        <f t="shared" si="21"/>
        <v>Error?</v>
      </c>
    </row>
    <row r="1448" spans="1:4" x14ac:dyDescent="0.2">
      <c r="A1448" s="5">
        <v>1387</v>
      </c>
      <c r="B1448" s="138">
        <f>'Expenditures 15-22'!D295</f>
        <v>40268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840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23757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473</v>
      </c>
      <c r="C1486" s="2" t="s">
        <v>573</v>
      </c>
      <c r="D1486" s="2" t="str">
        <f t="shared" si="22"/>
        <v>Error?</v>
      </c>
    </row>
    <row r="1487" spans="1:4" x14ac:dyDescent="0.2">
      <c r="A1487" s="5">
        <v>1426</v>
      </c>
      <c r="B1487" s="138">
        <f>'Expenditures 15-22'!K246</f>
        <v>2477</v>
      </c>
      <c r="C1487" s="2" t="s">
        <v>573</v>
      </c>
      <c r="D1487" s="2" t="str">
        <f t="shared" si="22"/>
        <v>Error?</v>
      </c>
    </row>
    <row r="1488" spans="1:4" x14ac:dyDescent="0.2">
      <c r="A1488" s="5">
        <v>1427</v>
      </c>
      <c r="B1488" s="138">
        <f>'Expenditures 15-22'!K257</f>
        <v>4892</v>
      </c>
      <c r="C1488" s="2" t="s">
        <v>573</v>
      </c>
      <c r="D1488" s="2" t="str">
        <f t="shared" si="22"/>
        <v>Error?</v>
      </c>
    </row>
    <row r="1489" spans="1:4" x14ac:dyDescent="0.2">
      <c r="A1489" s="5">
        <v>1428</v>
      </c>
      <c r="B1489" s="138">
        <f>'Expenditures 15-22'!K259</f>
        <v>2771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2771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2138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3825</v>
      </c>
      <c r="C1495" s="2" t="s">
        <v>573</v>
      </c>
      <c r="D1495" s="2" t="str">
        <f t="shared" si="22"/>
        <v>Error?</v>
      </c>
    </row>
    <row r="1496" spans="1:4" x14ac:dyDescent="0.2">
      <c r="A1496" s="5">
        <v>1435</v>
      </c>
      <c r="B1496" s="138">
        <f>'Expenditures 15-22'!K267</f>
        <v>1563</v>
      </c>
      <c r="C1496" s="2" t="s">
        <v>573</v>
      </c>
      <c r="D1496" s="2" t="str">
        <f t="shared" si="22"/>
        <v>Error?</v>
      </c>
    </row>
    <row r="1497" spans="1:4" x14ac:dyDescent="0.2">
      <c r="A1497" s="5">
        <v>1436</v>
      </c>
      <c r="B1497" s="138">
        <f>'Expenditures 15-22'!K268</f>
        <v>380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7906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15569</v>
      </c>
      <c r="C1510" s="2" t="s">
        <v>573</v>
      </c>
      <c r="D1510" s="2" t="str">
        <f t="shared" si="22"/>
        <v>Error?</v>
      </c>
    </row>
    <row r="1511" spans="1:4" x14ac:dyDescent="0.2">
      <c r="A1511" s="5">
        <v>1450</v>
      </c>
      <c r="B1511" s="138">
        <f>'Expenditures 15-22'!K280</f>
        <v>942</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40268</v>
      </c>
      <c r="C1517" s="2" t="s">
        <v>573</v>
      </c>
      <c r="D1517" s="2" t="str">
        <f t="shared" si="22"/>
        <v>Error?</v>
      </c>
    </row>
    <row r="1518" spans="1:4" x14ac:dyDescent="0.2">
      <c r="A1518" s="5">
        <v>1457</v>
      </c>
      <c r="B1518" s="138">
        <f>'Expenditures 15-22'!K296</f>
        <v>6667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545974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586888</v>
      </c>
      <c r="C1630" s="2" t="s">
        <v>573</v>
      </c>
      <c r="D1630" s="2" t="str">
        <f t="shared" si="24"/>
        <v>Error?</v>
      </c>
    </row>
    <row r="1631" spans="1:4" x14ac:dyDescent="0.2">
      <c r="A1631" s="5">
        <v>1570</v>
      </c>
      <c r="B1631" s="138">
        <f>'Acct Summary 7-8'!D79</f>
        <v>125099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131299</v>
      </c>
      <c r="C1644" s="2" t="s">
        <v>573</v>
      </c>
      <c r="D1644" s="2" t="str">
        <f t="shared" si="24"/>
        <v>Error?</v>
      </c>
    </row>
    <row r="1645" spans="1:4" x14ac:dyDescent="0.2">
      <c r="A1645" s="5">
        <v>1584</v>
      </c>
      <c r="B1645" s="138">
        <f>'Acct Summary 7-8'!E79</f>
        <v>15208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14577</v>
      </c>
      <c r="C1658" s="2" t="s">
        <v>573</v>
      </c>
      <c r="D1658" s="2" t="str">
        <f t="shared" si="24"/>
        <v>Error?</v>
      </c>
    </row>
    <row r="1659" spans="1:4" x14ac:dyDescent="0.2">
      <c r="A1659" s="5">
        <v>1598</v>
      </c>
      <c r="B1659" s="138">
        <f>'Acct Summary 7-8'!F79</f>
        <v>126618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145371</v>
      </c>
      <c r="C1672" s="2" t="s">
        <v>573</v>
      </c>
      <c r="D1672" s="2" t="str">
        <f t="shared" si="25"/>
        <v>Error?</v>
      </c>
    </row>
    <row r="1673" spans="1:4" x14ac:dyDescent="0.2">
      <c r="A1673" s="5">
        <v>1612</v>
      </c>
      <c r="B1673" s="138">
        <f>'Acct Summary 7-8'!G79</f>
        <v>27963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34630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386539</v>
      </c>
      <c r="C1744" s="2" t="s">
        <v>573</v>
      </c>
      <c r="D1744" s="2" t="str">
        <f t="shared" si="26"/>
        <v>Error?</v>
      </c>
    </row>
    <row r="1745" spans="1:5" x14ac:dyDescent="0.2">
      <c r="A1745" s="5">
        <v>1684</v>
      </c>
      <c r="B1745" s="138">
        <f>'Tax Sched 23'!B5</f>
        <v>101722</v>
      </c>
      <c r="C1745" s="2" t="s">
        <v>573</v>
      </c>
      <c r="D1745" s="2" t="str">
        <f t="shared" si="26"/>
        <v>Error?</v>
      </c>
    </row>
    <row r="1746" spans="1:5" x14ac:dyDescent="0.2">
      <c r="A1746" s="5">
        <v>1685</v>
      </c>
      <c r="B1746" s="138">
        <f>'Tax Sched 23'!B6</f>
        <v>46129</v>
      </c>
      <c r="C1746" s="2" t="s">
        <v>573</v>
      </c>
      <c r="D1746" s="2" t="str">
        <f t="shared" si="26"/>
        <v>Error?</v>
      </c>
    </row>
    <row r="1747" spans="1:5" x14ac:dyDescent="0.2">
      <c r="A1747" s="5">
        <v>1686</v>
      </c>
      <c r="B1747" s="138">
        <f>'Tax Sched 23'!B7</f>
        <v>27742</v>
      </c>
      <c r="C1747" s="2" t="s">
        <v>573</v>
      </c>
      <c r="D1747" s="2" t="str">
        <f t="shared" si="26"/>
        <v>Error?</v>
      </c>
    </row>
    <row r="1748" spans="1:5" x14ac:dyDescent="0.2">
      <c r="A1748" s="5">
        <v>1687</v>
      </c>
      <c r="B1748" s="138">
        <f>'Tax Sched 23'!B8</f>
        <v>21912</v>
      </c>
      <c r="C1748" s="2" t="s">
        <v>573</v>
      </c>
      <c r="D1748" s="2" t="str">
        <f t="shared" si="26"/>
        <v>Error?</v>
      </c>
    </row>
    <row r="1749" spans="1:5" x14ac:dyDescent="0.2">
      <c r="A1749" s="5">
        <v>1688</v>
      </c>
      <c r="B1749" s="138">
        <f>'Tax Sched 23'!B10</f>
        <v>9248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62750</v>
      </c>
      <c r="C1752" s="2" t="s">
        <v>573</v>
      </c>
      <c r="D1752" s="2" t="str">
        <f t="shared" si="26"/>
        <v>Error?</v>
      </c>
    </row>
    <row r="1753" spans="1:5" x14ac:dyDescent="0.2">
      <c r="A1753" s="5">
        <v>1692</v>
      </c>
      <c r="B1753" s="138">
        <f>'Tax Sched 23'!B12</f>
        <v>9248</v>
      </c>
      <c r="C1753" s="2" t="s">
        <v>573</v>
      </c>
      <c r="D1753" s="2" t="str">
        <f t="shared" si="26"/>
        <v>Error?</v>
      </c>
    </row>
    <row r="1754" spans="1:5" x14ac:dyDescent="0.2">
      <c r="A1754" s="5">
        <v>1693</v>
      </c>
      <c r="B1754" s="138">
        <f>'Tax Sched 23'!B14</f>
        <v>3699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700149</v>
      </c>
      <c r="C1759" s="2" t="s">
        <v>573</v>
      </c>
      <c r="D1759" s="2" t="str">
        <f t="shared" si="26"/>
        <v>Error?</v>
      </c>
    </row>
    <row r="1760" spans="1:5" x14ac:dyDescent="0.2">
      <c r="A1760" s="5">
        <v>1699</v>
      </c>
      <c r="B1760" s="138">
        <f>'Tax Sched 23'!D4</f>
        <v>386539</v>
      </c>
      <c r="C1760" s="2" t="s">
        <v>573</v>
      </c>
      <c r="D1760" s="2" t="str">
        <f t="shared" si="26"/>
        <v>Error?</v>
      </c>
    </row>
    <row r="1761" spans="1:5" x14ac:dyDescent="0.2">
      <c r="A1761" s="5">
        <v>1700</v>
      </c>
      <c r="B1761" s="138">
        <f>'Tax Sched 23'!D5</f>
        <v>101722</v>
      </c>
      <c r="C1761" s="2" t="s">
        <v>573</v>
      </c>
      <c r="D1761" s="2" t="str">
        <f t="shared" si="26"/>
        <v>Error?</v>
      </c>
    </row>
    <row r="1762" spans="1:5" s="8" customFormat="1" x14ac:dyDescent="0.2">
      <c r="A1762" s="5">
        <v>1701</v>
      </c>
      <c r="B1762" s="138">
        <f>'Tax Sched 23'!D6</f>
        <v>46129</v>
      </c>
      <c r="C1762" s="2" t="s">
        <v>573</v>
      </c>
      <c r="D1762" s="2" t="str">
        <f t="shared" si="26"/>
        <v>Error?</v>
      </c>
      <c r="E1762" s="9"/>
    </row>
    <row r="1763" spans="1:5" x14ac:dyDescent="0.2">
      <c r="A1763" s="5">
        <v>1702</v>
      </c>
      <c r="B1763" s="138">
        <f>'Tax Sched 23'!D7</f>
        <v>27742</v>
      </c>
      <c r="C1763" s="2" t="s">
        <v>573</v>
      </c>
      <c r="D1763" s="2" t="str">
        <f t="shared" si="26"/>
        <v>Error?</v>
      </c>
    </row>
    <row r="1764" spans="1:5" x14ac:dyDescent="0.2">
      <c r="A1764" s="5">
        <v>1703</v>
      </c>
      <c r="B1764" s="138">
        <f>'Tax Sched 23'!D8</f>
        <v>21912</v>
      </c>
      <c r="C1764" s="2" t="s">
        <v>573</v>
      </c>
      <c r="D1764" s="2" t="str">
        <f t="shared" si="26"/>
        <v>Error?</v>
      </c>
    </row>
    <row r="1765" spans="1:5" x14ac:dyDescent="0.2">
      <c r="A1765" s="5">
        <v>1704</v>
      </c>
      <c r="B1765" s="138">
        <f>'Tax Sched 23'!D10</f>
        <v>9248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62750</v>
      </c>
      <c r="C1768" s="2" t="s">
        <v>573</v>
      </c>
      <c r="D1768" s="2" t="str">
        <f t="shared" si="26"/>
        <v>Error?</v>
      </c>
    </row>
    <row r="1769" spans="1:5" x14ac:dyDescent="0.2">
      <c r="A1769" s="5">
        <v>1708</v>
      </c>
      <c r="B1769" s="138">
        <f>'Tax Sched 23'!D12</f>
        <v>9248</v>
      </c>
      <c r="C1769" s="2" t="s">
        <v>573</v>
      </c>
      <c r="D1769" s="2" t="str">
        <f t="shared" si="26"/>
        <v>Error?</v>
      </c>
    </row>
    <row r="1770" spans="1:5" x14ac:dyDescent="0.2">
      <c r="A1770" s="5">
        <v>1709</v>
      </c>
      <c r="B1770" s="138">
        <f>'Tax Sched 23'!D14</f>
        <v>3699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700149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409944</v>
      </c>
      <c r="C1792" s="2" t="s">
        <v>573</v>
      </c>
      <c r="D1792" s="2" t="str">
        <f t="shared" si="27"/>
        <v>Error?</v>
      </c>
    </row>
    <row r="1793" spans="1:4" x14ac:dyDescent="0.2">
      <c r="A1793" s="5">
        <v>1732</v>
      </c>
      <c r="B1793" s="138">
        <f>'Tax Sched 23'!F5</f>
        <v>107880</v>
      </c>
      <c r="C1793" s="2" t="s">
        <v>573</v>
      </c>
      <c r="D1793" s="2" t="str">
        <f t="shared" si="27"/>
        <v>Error?</v>
      </c>
    </row>
    <row r="1794" spans="1:4" x14ac:dyDescent="0.2">
      <c r="A1794" s="5">
        <v>1733</v>
      </c>
      <c r="B1794" s="138">
        <f>'Tax Sched 23'!F6</f>
        <v>49021</v>
      </c>
      <c r="C1794" s="2" t="s">
        <v>573</v>
      </c>
      <c r="D1794" s="2" t="str">
        <f t="shared" si="27"/>
        <v>Error?</v>
      </c>
    </row>
    <row r="1795" spans="1:4" x14ac:dyDescent="0.2">
      <c r="A1795" s="5">
        <v>1734</v>
      </c>
      <c r="B1795" s="138">
        <f>'Tax Sched 23'!F7</f>
        <v>29422</v>
      </c>
      <c r="C1795" s="2" t="s">
        <v>573</v>
      </c>
      <c r="D1795" s="2" t="str">
        <f t="shared" si="27"/>
        <v>Error?</v>
      </c>
    </row>
    <row r="1796" spans="1:4" x14ac:dyDescent="0.2">
      <c r="A1796" s="5">
        <v>1735</v>
      </c>
      <c r="B1796" s="138">
        <f>'Tax Sched 23'!F8</f>
        <v>15001</v>
      </c>
      <c r="C1796" s="2" t="s">
        <v>573</v>
      </c>
      <c r="D1796" s="2" t="str">
        <f t="shared" si="27"/>
        <v>Error?</v>
      </c>
    </row>
    <row r="1797" spans="1:4" x14ac:dyDescent="0.2">
      <c r="A1797" s="5">
        <v>1736</v>
      </c>
      <c r="B1797" s="138">
        <f>'Tax Sched 23'!F10</f>
        <v>9807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63002</v>
      </c>
      <c r="C1800" s="2" t="s">
        <v>573</v>
      </c>
      <c r="D1800" s="2" t="str">
        <f t="shared" si="27"/>
        <v>Error?</v>
      </c>
    </row>
    <row r="1801" spans="1:4" x14ac:dyDescent="0.2">
      <c r="A1801" s="5">
        <v>1740</v>
      </c>
      <c r="B1801" s="138">
        <f>'Tax Sched 23'!F12</f>
        <v>9807</v>
      </c>
      <c r="C1801" s="2" t="s">
        <v>573</v>
      </c>
      <c r="D1801" s="2" t="str">
        <f t="shared" si="27"/>
        <v>Error?</v>
      </c>
    </row>
    <row r="1802" spans="1:4" x14ac:dyDescent="0.2">
      <c r="A1802" s="5">
        <v>1741</v>
      </c>
      <c r="B1802" s="138">
        <f>'Tax Sched 23'!F14</f>
        <v>3923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722615</v>
      </c>
      <c r="C1807" s="2" t="s">
        <v>573</v>
      </c>
      <c r="D1807" s="2" t="str">
        <f t="shared" si="27"/>
        <v>Error?</v>
      </c>
    </row>
    <row r="1808" spans="1:4" x14ac:dyDescent="0.2">
      <c r="A1808" s="5">
        <v>1747</v>
      </c>
      <c r="B1808" s="138">
        <f>'Tax Sched 23'!E4</f>
        <v>409944</v>
      </c>
      <c r="D1808" s="2" t="str">
        <f t="shared" si="27"/>
        <v>Error?</v>
      </c>
    </row>
    <row r="1809" spans="1:4" x14ac:dyDescent="0.2">
      <c r="A1809" s="5">
        <v>1748</v>
      </c>
      <c r="B1809" s="138">
        <f>'Tax Sched 23'!E5</f>
        <v>107880</v>
      </c>
      <c r="D1809" s="2" t="str">
        <f t="shared" si="27"/>
        <v>Error?</v>
      </c>
    </row>
    <row r="1810" spans="1:4" x14ac:dyDescent="0.2">
      <c r="A1810" s="5">
        <v>1749</v>
      </c>
      <c r="B1810" s="138">
        <f>'Tax Sched 23'!E6</f>
        <v>49021</v>
      </c>
      <c r="D1810" s="2" t="str">
        <f t="shared" si="27"/>
        <v>Error?</v>
      </c>
    </row>
    <row r="1811" spans="1:4" x14ac:dyDescent="0.2">
      <c r="A1811" s="5">
        <v>1750</v>
      </c>
      <c r="B1811" s="138">
        <f>'Tax Sched 23'!E7</f>
        <v>29422</v>
      </c>
      <c r="D1811" s="2" t="str">
        <f t="shared" si="27"/>
        <v>Error?</v>
      </c>
    </row>
    <row r="1812" spans="1:4" x14ac:dyDescent="0.2">
      <c r="A1812" s="5">
        <v>1751</v>
      </c>
      <c r="B1812" s="138">
        <f>'Tax Sched 23'!E8</f>
        <v>15001</v>
      </c>
      <c r="D1812" s="2" t="str">
        <f t="shared" si="27"/>
        <v>Error?</v>
      </c>
    </row>
    <row r="1813" spans="1:4" x14ac:dyDescent="0.2">
      <c r="A1813" s="5">
        <v>1752</v>
      </c>
      <c r="B1813" s="138">
        <f>'Tax Sched 23'!E10</f>
        <v>9807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63002</v>
      </c>
      <c r="D1816" s="2" t="str">
        <f t="shared" si="27"/>
        <v>Error?</v>
      </c>
    </row>
    <row r="1817" spans="1:4" x14ac:dyDescent="0.2">
      <c r="A1817" s="5">
        <v>1756</v>
      </c>
      <c r="B1817" s="138">
        <f>'Tax Sched 23'!E12</f>
        <v>9807</v>
      </c>
      <c r="D1817" s="2" t="str">
        <f t="shared" si="27"/>
        <v>Error?</v>
      </c>
    </row>
    <row r="1818" spans="1:4" x14ac:dyDescent="0.2">
      <c r="A1818" s="5">
        <v>1757</v>
      </c>
      <c r="B1818" s="138">
        <f>'Tax Sched 23'!E14</f>
        <v>3923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722615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3699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3699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3699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3000</v>
      </c>
      <c r="D2008" s="2" t="str">
        <f t="shared" si="30"/>
        <v>Error?</v>
      </c>
    </row>
    <row r="2009" spans="1:4" x14ac:dyDescent="0.2">
      <c r="A2009" s="5">
        <v>1948</v>
      </c>
      <c r="B2009" s="138">
        <f>'Cap Outlay Deprec 26'!C8</f>
        <v>811311</v>
      </c>
      <c r="D2009" s="2" t="str">
        <f t="shared" si="30"/>
        <v>Error?</v>
      </c>
    </row>
    <row r="2010" spans="1:4" x14ac:dyDescent="0.2">
      <c r="A2010" s="5">
        <v>1949</v>
      </c>
      <c r="B2010" s="138">
        <f>'Cap Outlay Deprec 26'!C10</f>
        <v>47768</v>
      </c>
      <c r="D2010" s="2" t="str">
        <f t="shared" si="30"/>
        <v>Error?</v>
      </c>
    </row>
    <row r="2011" spans="1:4" x14ac:dyDescent="0.2">
      <c r="A2011" s="5">
        <v>1950</v>
      </c>
      <c r="B2011" s="138">
        <f>'Cap Outlay Deprec 26'!C12</f>
        <v>193260</v>
      </c>
      <c r="D2011" s="2" t="str">
        <f t="shared" si="30"/>
        <v>Error?</v>
      </c>
    </row>
    <row r="2012" spans="1:4" x14ac:dyDescent="0.2">
      <c r="A2012" s="5">
        <v>1951</v>
      </c>
      <c r="B2012" s="138">
        <f>'Cap Outlay Deprec 26'!C13</f>
        <v>298037</v>
      </c>
      <c r="D2012" s="2" t="str">
        <f t="shared" si="30"/>
        <v>Error?</v>
      </c>
    </row>
    <row r="2013" spans="1:4" x14ac:dyDescent="0.2">
      <c r="A2013" s="5">
        <v>1952</v>
      </c>
      <c r="B2013" s="138">
        <f>'Cap Outlay Deprec 26'!C16</f>
        <v>1353376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3000</v>
      </c>
      <c r="C2026" s="2" t="s">
        <v>573</v>
      </c>
      <c r="D2026" s="2" t="str">
        <f t="shared" si="30"/>
        <v>Error?</v>
      </c>
    </row>
    <row r="2027" spans="1:4" x14ac:dyDescent="0.2">
      <c r="A2027" s="5">
        <v>1966</v>
      </c>
      <c r="B2027" s="138">
        <f>'Cap Outlay Deprec 26'!F8</f>
        <v>811311</v>
      </c>
      <c r="C2027" s="2" t="s">
        <v>573</v>
      </c>
      <c r="D2027" s="2" t="str">
        <f t="shared" si="30"/>
        <v>Error?</v>
      </c>
    </row>
    <row r="2028" spans="1:4" x14ac:dyDescent="0.2">
      <c r="A2028" s="5">
        <v>1967</v>
      </c>
      <c r="B2028" s="138">
        <f>'Cap Outlay Deprec 26'!F10</f>
        <v>47768</v>
      </c>
      <c r="C2028" s="2" t="s">
        <v>573</v>
      </c>
      <c r="D2028" s="2" t="str">
        <f t="shared" si="30"/>
        <v>Error?</v>
      </c>
    </row>
    <row r="2029" spans="1:4" x14ac:dyDescent="0.2">
      <c r="A2029" s="5">
        <v>1968</v>
      </c>
      <c r="B2029" s="138">
        <f>'Cap Outlay Deprec 26'!F12</f>
        <v>193260</v>
      </c>
      <c r="C2029" s="2" t="s">
        <v>573</v>
      </c>
      <c r="D2029" s="2" t="str">
        <f t="shared" si="30"/>
        <v>Error?</v>
      </c>
    </row>
    <row r="2030" spans="1:4" x14ac:dyDescent="0.2">
      <c r="A2030" s="5">
        <v>1969</v>
      </c>
      <c r="B2030" s="138">
        <f>'Cap Outlay Deprec 26'!F13</f>
        <v>298037</v>
      </c>
      <c r="C2030" s="2" t="s">
        <v>573</v>
      </c>
      <c r="D2030" s="2" t="str">
        <f t="shared" si="30"/>
        <v>Error?</v>
      </c>
    </row>
    <row r="2031" spans="1:4" x14ac:dyDescent="0.2">
      <c r="A2031" s="5">
        <v>1970</v>
      </c>
      <c r="B2031" s="138">
        <f>'Cap Outlay Deprec 26'!F16</f>
        <v>1353376</v>
      </c>
      <c r="C2031" s="2" t="s">
        <v>573</v>
      </c>
      <c r="D2031" s="2" t="str">
        <f t="shared" si="30"/>
        <v>Error?</v>
      </c>
    </row>
    <row r="2032" spans="1:4" x14ac:dyDescent="0.2">
      <c r="A2032" s="10">
        <v>1971</v>
      </c>
      <c r="D2032" s="2" t="str">
        <f t="shared" si="30"/>
        <v>OK</v>
      </c>
    </row>
    <row r="2033" spans="1:4" x14ac:dyDescent="0.2">
      <c r="A2033" s="5">
        <v>1972</v>
      </c>
      <c r="B2033" s="138">
        <f>'Cap Outlay Deprec 26'!H8</f>
        <v>514649</v>
      </c>
      <c r="D2033" s="2" t="str">
        <f t="shared" si="30"/>
        <v>Error?</v>
      </c>
    </row>
    <row r="2034" spans="1:4" x14ac:dyDescent="0.2">
      <c r="A2034" s="5">
        <v>1973</v>
      </c>
      <c r="B2034" s="138">
        <f>'Cap Outlay Deprec 26'!H10</f>
        <v>32163</v>
      </c>
      <c r="D2034" s="2" t="str">
        <f t="shared" si="30"/>
        <v>Error?</v>
      </c>
    </row>
    <row r="2035" spans="1:4" x14ac:dyDescent="0.2">
      <c r="A2035" s="5">
        <v>1974</v>
      </c>
      <c r="B2035" s="138">
        <f>'Cap Outlay Deprec 26'!H12</f>
        <v>163095</v>
      </c>
      <c r="D2035" s="2" t="str">
        <f t="shared" si="30"/>
        <v>Error?</v>
      </c>
    </row>
    <row r="2036" spans="1:4" x14ac:dyDescent="0.2">
      <c r="A2036" s="5">
        <v>1975</v>
      </c>
      <c r="B2036" s="138">
        <f>'Cap Outlay Deprec 26'!H13</f>
        <v>254802</v>
      </c>
      <c r="D2036" s="2" t="str">
        <f t="shared" si="30"/>
        <v>Error?</v>
      </c>
    </row>
    <row r="2037" spans="1:4" x14ac:dyDescent="0.2">
      <c r="A2037" s="5">
        <v>1976</v>
      </c>
      <c r="B2037" s="138">
        <f>'Cap Outlay Deprec 26'!H16</f>
        <v>964709</v>
      </c>
      <c r="C2037" s="2" t="s">
        <v>573</v>
      </c>
      <c r="D2037" s="2" t="str">
        <f t="shared" si="30"/>
        <v>Error?</v>
      </c>
    </row>
    <row r="2038" spans="1:4" x14ac:dyDescent="0.2">
      <c r="A2038" s="10">
        <v>1977</v>
      </c>
      <c r="D2038" s="2" t="str">
        <f t="shared" si="30"/>
        <v>OK</v>
      </c>
    </row>
    <row r="2039" spans="1:4" x14ac:dyDescent="0.2">
      <c r="A2039" s="5">
        <v>1978</v>
      </c>
      <c r="B2039" s="138">
        <f>'Cap Outlay Deprec 26'!I8</f>
        <v>16548</v>
      </c>
      <c r="D2039" s="2" t="str">
        <f t="shared" si="30"/>
        <v>Error?</v>
      </c>
    </row>
    <row r="2040" spans="1:4" x14ac:dyDescent="0.2">
      <c r="A2040" s="5">
        <v>1979</v>
      </c>
      <c r="B2040" s="138">
        <f>'Cap Outlay Deprec 26'!I10</f>
        <v>1085</v>
      </c>
      <c r="D2040" s="2" t="str">
        <f t="shared" si="30"/>
        <v>Error?</v>
      </c>
    </row>
    <row r="2041" spans="1:4" x14ac:dyDescent="0.2">
      <c r="A2041" s="5">
        <v>1980</v>
      </c>
      <c r="B2041" s="138">
        <f>'Cap Outlay Deprec 26'!I12</f>
        <v>3406</v>
      </c>
      <c r="D2041" s="2" t="str">
        <f t="shared" si="30"/>
        <v>Error?</v>
      </c>
    </row>
    <row r="2042" spans="1:4" x14ac:dyDescent="0.2">
      <c r="A2042" s="5">
        <v>1981</v>
      </c>
      <c r="B2042" s="138">
        <f>'Cap Outlay Deprec 26'!I13</f>
        <v>15362</v>
      </c>
      <c r="D2042" s="2" t="str">
        <f t="shared" si="30"/>
        <v>Error?</v>
      </c>
    </row>
    <row r="2043" spans="1:4" x14ac:dyDescent="0.2">
      <c r="A2043" s="5">
        <v>1982</v>
      </c>
      <c r="B2043" s="138">
        <f>'Cap Outlay Deprec 26'!I16</f>
        <v>36401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531197</v>
      </c>
      <c r="C2051" s="2" t="s">
        <v>573</v>
      </c>
      <c r="D2051" s="2" t="str">
        <f t="shared" si="31"/>
        <v>Error?</v>
      </c>
    </row>
    <row r="2052" spans="1:4" x14ac:dyDescent="0.2">
      <c r="A2052" s="5">
        <v>1991</v>
      </c>
      <c r="B2052" s="138">
        <f>'Cap Outlay Deprec 26'!K10</f>
        <v>33248</v>
      </c>
      <c r="C2052" s="2" t="s">
        <v>573</v>
      </c>
      <c r="D2052" s="2" t="str">
        <f t="shared" si="31"/>
        <v>Error?</v>
      </c>
    </row>
    <row r="2053" spans="1:4" x14ac:dyDescent="0.2">
      <c r="A2053" s="5">
        <v>1992</v>
      </c>
      <c r="B2053" s="138">
        <f>'Cap Outlay Deprec 26'!K12</f>
        <v>166501</v>
      </c>
      <c r="C2053" s="2" t="s">
        <v>573</v>
      </c>
      <c r="D2053" s="2" t="str">
        <f t="shared" si="31"/>
        <v>Error?</v>
      </c>
    </row>
    <row r="2054" spans="1:4" x14ac:dyDescent="0.2">
      <c r="A2054" s="5">
        <v>1993</v>
      </c>
      <c r="B2054" s="138">
        <f>'Cap Outlay Deprec 26'!K13</f>
        <v>270164</v>
      </c>
      <c r="C2054" s="2" t="s">
        <v>573</v>
      </c>
      <c r="D2054" s="2" t="str">
        <f t="shared" si="31"/>
        <v>Error?</v>
      </c>
    </row>
    <row r="2055" spans="1:4" x14ac:dyDescent="0.2">
      <c r="A2055" s="5">
        <v>1994</v>
      </c>
      <c r="B2055" s="138">
        <f>'Cap Outlay Deprec 26'!K16</f>
        <v>1001110</v>
      </c>
      <c r="C2055" s="2" t="s">
        <v>573</v>
      </c>
      <c r="D2055" s="2" t="str">
        <f t="shared" si="31"/>
        <v>Error?</v>
      </c>
    </row>
    <row r="2056" spans="1:4" x14ac:dyDescent="0.2">
      <c r="A2056" s="5">
        <v>1995</v>
      </c>
      <c r="B2056" s="138">
        <f>'Cap Outlay Deprec 26'!L5</f>
        <v>3000</v>
      </c>
      <c r="C2056" s="2" t="s">
        <v>573</v>
      </c>
      <c r="D2056" s="2" t="str">
        <f t="shared" si="31"/>
        <v>Error?</v>
      </c>
    </row>
    <row r="2057" spans="1:4" x14ac:dyDescent="0.2">
      <c r="A2057" s="5">
        <v>1996</v>
      </c>
      <c r="B2057" s="138">
        <f>'Cap Outlay Deprec 26'!L8</f>
        <v>280114</v>
      </c>
      <c r="C2057" s="2" t="s">
        <v>573</v>
      </c>
      <c r="D2057" s="2" t="str">
        <f t="shared" si="31"/>
        <v>Error?</v>
      </c>
    </row>
    <row r="2058" spans="1:4" x14ac:dyDescent="0.2">
      <c r="A2058" s="5">
        <v>1997</v>
      </c>
      <c r="B2058" s="138">
        <f>'Cap Outlay Deprec 26'!L10</f>
        <v>14520</v>
      </c>
      <c r="C2058" s="2" t="s">
        <v>573</v>
      </c>
      <c r="D2058" s="2" t="str">
        <f t="shared" si="31"/>
        <v>Error?</v>
      </c>
    </row>
    <row r="2059" spans="1:4" x14ac:dyDescent="0.2">
      <c r="A2059" s="5">
        <v>1998</v>
      </c>
      <c r="B2059" s="138">
        <f>'Cap Outlay Deprec 26'!L12</f>
        <v>26759</v>
      </c>
      <c r="C2059" s="2" t="s">
        <v>573</v>
      </c>
      <c r="D2059" s="2" t="str">
        <f t="shared" si="31"/>
        <v>Error?</v>
      </c>
    </row>
    <row r="2060" spans="1:4" x14ac:dyDescent="0.2">
      <c r="A2060" s="5">
        <v>1999</v>
      </c>
      <c r="B2060" s="138">
        <f>'Cap Outlay Deprec 26'!L13</f>
        <v>27873</v>
      </c>
      <c r="C2060" s="2" t="s">
        <v>573</v>
      </c>
      <c r="D2060" s="2" t="str">
        <f t="shared" si="31"/>
        <v>Error?</v>
      </c>
    </row>
    <row r="2061" spans="1:4" x14ac:dyDescent="0.2">
      <c r="A2061" s="5">
        <v>2000</v>
      </c>
      <c r="B2061" s="138">
        <f>'Cap Outlay Deprec 26'!L16</f>
        <v>352266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30548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31536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504446</v>
      </c>
      <c r="C2551" s="2" t="s">
        <v>573</v>
      </c>
      <c r="D2551" s="2" t="str">
        <f t="shared" si="38"/>
        <v>Error?</v>
      </c>
    </row>
    <row r="2552" spans="1:4" x14ac:dyDescent="0.2">
      <c r="A2552" s="10">
        <v>2491</v>
      </c>
      <c r="D2552" s="2" t="str">
        <f t="shared" si="38"/>
        <v>OK</v>
      </c>
    </row>
    <row r="2553" spans="1:4" x14ac:dyDescent="0.2">
      <c r="A2553" s="5">
        <v>2492</v>
      </c>
      <c r="B2553" s="138">
        <f>'Acct Summary 7-8'!C6</f>
        <v>285491</v>
      </c>
      <c r="C2553" s="2" t="s">
        <v>573</v>
      </c>
      <c r="D2553" s="2" t="str">
        <f t="shared" si="38"/>
        <v>Error?</v>
      </c>
    </row>
    <row r="2554" spans="1:4" x14ac:dyDescent="0.2">
      <c r="A2554" s="5">
        <v>2493</v>
      </c>
      <c r="B2554" s="138">
        <f>'Acct Summary 7-8'!C7</f>
        <v>96763</v>
      </c>
      <c r="C2554" s="2" t="s">
        <v>573</v>
      </c>
      <c r="D2554" s="2" t="str">
        <f t="shared" si="38"/>
        <v>Error?</v>
      </c>
    </row>
    <row r="2555" spans="1:4" x14ac:dyDescent="0.2">
      <c r="A2555" s="5">
        <v>2494</v>
      </c>
      <c r="B2555" s="138">
        <f>'Acct Summary 7-8'!C8</f>
        <v>886700</v>
      </c>
      <c r="C2555" s="2" t="s">
        <v>573</v>
      </c>
      <c r="D2555" s="2" t="str">
        <f t="shared" si="38"/>
        <v>Error?</v>
      </c>
    </row>
    <row r="2556" spans="1:4" x14ac:dyDescent="0.2">
      <c r="A2556" s="5">
        <v>2495</v>
      </c>
      <c r="B2556" s="138">
        <f>'Acct Summary 7-8'!C12</f>
        <v>539475</v>
      </c>
      <c r="C2556" s="2" t="s">
        <v>573</v>
      </c>
      <c r="D2556" s="2" t="str">
        <f t="shared" si="38"/>
        <v>Error?</v>
      </c>
    </row>
    <row r="2557" spans="1:4" x14ac:dyDescent="0.2">
      <c r="A2557" s="5">
        <v>2496</v>
      </c>
      <c r="B2557" s="138">
        <f>'Acct Summary 7-8'!C13</f>
        <v>255024</v>
      </c>
      <c r="C2557" s="2" t="s">
        <v>573</v>
      </c>
      <c r="D2557" s="2" t="str">
        <f t="shared" si="38"/>
        <v>Error?</v>
      </c>
    </row>
    <row r="2558" spans="1:4" x14ac:dyDescent="0.2">
      <c r="A2558" s="5">
        <v>2497</v>
      </c>
      <c r="B2558" s="138">
        <f>'Acct Summary 7-8'!C14</f>
        <v>20739</v>
      </c>
      <c r="C2558" s="2" t="s">
        <v>573</v>
      </c>
      <c r="D2558" s="2" t="str">
        <f t="shared" si="38"/>
        <v>Error?</v>
      </c>
    </row>
    <row r="2559" spans="1:4" x14ac:dyDescent="0.2">
      <c r="A2559" s="5">
        <v>2498</v>
      </c>
      <c r="B2559" s="138">
        <f>'Acct Summary 7-8'!C15</f>
        <v>30548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845786</v>
      </c>
      <c r="C2561" s="2" t="s">
        <v>573</v>
      </c>
      <c r="D2561" s="2" t="str">
        <f t="shared" si="39"/>
        <v>Error?</v>
      </c>
    </row>
    <row r="2562" spans="1:4" x14ac:dyDescent="0.2">
      <c r="A2562" s="5">
        <v>2501</v>
      </c>
      <c r="B2562" s="138">
        <f>'Acct Summary 7-8'!C20</f>
        <v>40914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106567</v>
      </c>
      <c r="C2564" s="2" t="s">
        <v>573</v>
      </c>
      <c r="D2564" s="2" t="str">
        <f t="shared" si="39"/>
        <v>Error?</v>
      </c>
    </row>
    <row r="2565" spans="1:4" x14ac:dyDescent="0.2">
      <c r="A2565" s="10">
        <v>2504</v>
      </c>
      <c r="D2565" s="2" t="str">
        <f t="shared" si="39"/>
        <v>OK</v>
      </c>
    </row>
    <row r="2566" spans="1:4" x14ac:dyDescent="0.2">
      <c r="A2566" s="5">
        <v>2505</v>
      </c>
      <c r="B2566" s="138">
        <f>'Acct Summary 7-8'!D6</f>
        <v>1000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107567</v>
      </c>
      <c r="C2568" s="2" t="s">
        <v>573</v>
      </c>
      <c r="D2568" s="2" t="str">
        <f t="shared" si="39"/>
        <v>Error?</v>
      </c>
    </row>
    <row r="2569" spans="1:4" x14ac:dyDescent="0.2">
      <c r="A2569" s="5">
        <v>2508</v>
      </c>
      <c r="B2569" s="138">
        <f>'Acct Summary 7-8'!D13</f>
        <v>101367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101367</v>
      </c>
      <c r="C2573" s="2" t="s">
        <v>573</v>
      </c>
      <c r="D2573" s="2" t="str">
        <f t="shared" si="39"/>
        <v>Error?</v>
      </c>
    </row>
    <row r="2574" spans="1:4" x14ac:dyDescent="0.2">
      <c r="A2574" s="5">
        <v>2513</v>
      </c>
      <c r="B2574" s="138">
        <f>'Acct Summary 7-8'!D20</f>
        <v>6200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29901</v>
      </c>
      <c r="C2591" s="2" t="s">
        <v>573</v>
      </c>
      <c r="D2591" s="2" t="str">
        <f t="shared" si="39"/>
        <v>Error?</v>
      </c>
    </row>
    <row r="2592" spans="1:4" x14ac:dyDescent="0.2">
      <c r="A2592" s="10">
        <v>2531</v>
      </c>
      <c r="D2592" s="2" t="str">
        <f t="shared" si="39"/>
        <v>OK</v>
      </c>
    </row>
    <row r="2593" spans="1:4" x14ac:dyDescent="0.2">
      <c r="A2593" s="5">
        <v>2532</v>
      </c>
      <c r="B2593" s="138">
        <f>'Acct Summary 7-8'!F6</f>
        <v>27018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56919</v>
      </c>
      <c r="C2595" s="2" t="s">
        <v>573</v>
      </c>
      <c r="D2595" s="2" t="str">
        <f t="shared" si="39"/>
        <v>Error?</v>
      </c>
    </row>
    <row r="2596" spans="1:4" x14ac:dyDescent="0.2">
      <c r="A2596" s="5">
        <v>2535</v>
      </c>
      <c r="B2596" s="138">
        <f>'Acct Summary 7-8'!F13</f>
        <v>26669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11497</v>
      </c>
      <c r="C2599" s="2" t="s">
        <v>573</v>
      </c>
      <c r="D2599" s="2" t="str">
        <f t="shared" si="39"/>
        <v>Error?</v>
      </c>
    </row>
    <row r="2600" spans="1:4" x14ac:dyDescent="0.2">
      <c r="A2600" s="5">
        <v>2539</v>
      </c>
      <c r="B2600" s="138">
        <f>'Acct Summary 7-8'!F17</f>
        <v>38166</v>
      </c>
      <c r="C2600" s="2" t="s">
        <v>573</v>
      </c>
      <c r="D2600" s="2" t="str">
        <f t="shared" si="39"/>
        <v>Error?</v>
      </c>
    </row>
    <row r="2601" spans="1:4" x14ac:dyDescent="0.2">
      <c r="A2601" s="5">
        <v>2540</v>
      </c>
      <c r="B2601" s="138">
        <f>'Acct Summary 7-8'!F20</f>
        <v>18753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45435</v>
      </c>
      <c r="C2603" s="2" t="s">
        <v>573</v>
      </c>
      <c r="D2603" s="2" t="str">
        <f t="shared" si="39"/>
        <v>Error?</v>
      </c>
    </row>
    <row r="2604" spans="1:4" x14ac:dyDescent="0.2">
      <c r="A2604" s="5">
        <v>2543</v>
      </c>
      <c r="B2604" s="138">
        <f>'Acct Summary 7-8'!G6</f>
        <v>1500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46935</v>
      </c>
      <c r="C2606" s="2" t="s">
        <v>573</v>
      </c>
      <c r="D2606" s="2" t="str">
        <f t="shared" si="39"/>
        <v>Error?</v>
      </c>
    </row>
    <row r="2607" spans="1:4" x14ac:dyDescent="0.2">
      <c r="A2607" s="5">
        <v>2546</v>
      </c>
      <c r="B2607" s="138">
        <f>'Acct Summary 7-8'!G12</f>
        <v>23757</v>
      </c>
      <c r="C2607" s="2" t="s">
        <v>573</v>
      </c>
      <c r="D2607" s="2" t="str">
        <f t="shared" si="39"/>
        <v>Error?</v>
      </c>
    </row>
    <row r="2608" spans="1:4" x14ac:dyDescent="0.2">
      <c r="A2608" s="5">
        <v>2547</v>
      </c>
      <c r="B2608" s="138">
        <f>'Acct Summary 7-8'!G13</f>
        <v>15569</v>
      </c>
      <c r="C2608" s="2" t="s">
        <v>573</v>
      </c>
      <c r="D2608" s="2" t="str">
        <f t="shared" si="39"/>
        <v>Error?</v>
      </c>
    </row>
    <row r="2609" spans="1:4" x14ac:dyDescent="0.2">
      <c r="A2609" s="5">
        <v>2548</v>
      </c>
      <c r="B2609" s="138">
        <f>'Acct Summary 7-8'!G14</f>
        <v>942</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40268</v>
      </c>
      <c r="C2612" s="2" t="s">
        <v>573</v>
      </c>
      <c r="D2612" s="2" t="str">
        <f t="shared" si="39"/>
        <v>Error?</v>
      </c>
    </row>
    <row r="2613" spans="1:4" x14ac:dyDescent="0.2">
      <c r="A2613" s="5">
        <v>2552</v>
      </c>
      <c r="B2613" s="138">
        <f>'Acct Summary 7-8'!G20</f>
        <v>6667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46182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46182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46813</v>
      </c>
      <c r="C2634" s="2" t="s">
        <v>573</v>
      </c>
      <c r="D2634" s="2" t="str">
        <f t="shared" si="40"/>
        <v>Error?</v>
      </c>
    </row>
    <row r="2635" spans="1:4" x14ac:dyDescent="0.2">
      <c r="A2635" s="5">
        <v>2574</v>
      </c>
      <c r="B2635" s="138">
        <f>'Acct Summary 7-8'!E17</f>
        <v>46813</v>
      </c>
      <c r="C2635" s="2" t="s">
        <v>573</v>
      </c>
      <c r="D2635" s="2" t="str">
        <f t="shared" si="40"/>
        <v>Error?</v>
      </c>
    </row>
    <row r="2636" spans="1:4" x14ac:dyDescent="0.2">
      <c r="A2636" s="5">
        <v>2575</v>
      </c>
      <c r="B2636" s="138">
        <f>'Acct Summary 7-8'!E20</f>
        <v>-631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30548</v>
      </c>
      <c r="C2789" s="2" t="s">
        <v>573</v>
      </c>
      <c r="D2789" s="2" t="str">
        <f t="shared" si="42"/>
        <v>Error?</v>
      </c>
    </row>
    <row r="2790" spans="1:4" x14ac:dyDescent="0.2">
      <c r="A2790" s="5">
        <v>2729</v>
      </c>
      <c r="B2790" s="138">
        <f>'Expenditures 15-22'!E102</f>
        <v>30548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161491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1453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161491</v>
      </c>
      <c r="D2912" s="2" t="str">
        <f t="shared" si="44"/>
        <v>Error?</v>
      </c>
    </row>
    <row r="2913" spans="1:4" x14ac:dyDescent="0.2">
      <c r="A2913" s="5">
        <v>2852</v>
      </c>
      <c r="B2913" s="138">
        <f>'Assets-Liab 5-6'!I41</f>
        <v>161491</v>
      </c>
      <c r="C2913" s="2" t="s">
        <v>573</v>
      </c>
      <c r="D2913" s="2" t="str">
        <f t="shared" si="44"/>
        <v>Error?</v>
      </c>
    </row>
    <row r="2914" spans="1:4" x14ac:dyDescent="0.2">
      <c r="A2914" s="5">
        <v>2853</v>
      </c>
      <c r="B2914" s="138">
        <f>'Assets-Liab 5-6'!L33</f>
        <v>1453</v>
      </c>
      <c r="D2914" s="2" t="str">
        <f t="shared" si="44"/>
        <v>Error?</v>
      </c>
    </row>
    <row r="2915" spans="1:4" x14ac:dyDescent="0.2">
      <c r="A2915" s="10">
        <v>2854</v>
      </c>
      <c r="D2915" s="2" t="str">
        <f t="shared" si="44"/>
        <v>OK</v>
      </c>
    </row>
    <row r="2916" spans="1:4" x14ac:dyDescent="0.2">
      <c r="A2916" s="5">
        <v>2855</v>
      </c>
      <c r="B2916" s="138">
        <f>'Assets-Liab 5-6'!L34</f>
        <v>1453</v>
      </c>
      <c r="C2916" s="2" t="s">
        <v>573</v>
      </c>
      <c r="D2916" s="2" t="str">
        <f t="shared" si="44"/>
        <v>Error?</v>
      </c>
    </row>
    <row r="2917" spans="1:4" x14ac:dyDescent="0.2">
      <c r="A2917" s="5">
        <v>2856</v>
      </c>
      <c r="B2917" s="138">
        <f>'Assets-Liab 5-6'!L41</f>
        <v>1453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21424</v>
      </c>
      <c r="D2949" s="2" t="str">
        <f t="shared" si="45"/>
        <v>Error?</v>
      </c>
    </row>
    <row r="2950" spans="1:4" x14ac:dyDescent="0.2">
      <c r="A2950" s="5">
        <v>2889</v>
      </c>
      <c r="B2950" s="138">
        <f>'Expenditures 15-22'!E79</f>
        <v>9124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21424</v>
      </c>
      <c r="C2973" s="2" t="s">
        <v>573</v>
      </c>
      <c r="D2973" s="2" t="str">
        <f t="shared" si="45"/>
        <v>Error?</v>
      </c>
    </row>
    <row r="2974" spans="1:4" x14ac:dyDescent="0.2">
      <c r="A2974" s="5">
        <v>2913</v>
      </c>
      <c r="B2974" s="138">
        <f>'Expenditures 15-22'!K79</f>
        <v>9124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9662</v>
      </c>
      <c r="C3225" s="2" t="s">
        <v>573</v>
      </c>
      <c r="D3225" s="2" t="str">
        <f t="shared" si="49"/>
        <v>Error?</v>
      </c>
    </row>
    <row r="3226" spans="1:4" x14ac:dyDescent="0.2">
      <c r="A3226" s="5">
        <v>3165</v>
      </c>
      <c r="B3226" s="138">
        <f>'Acct Summary 7-8'!I8</f>
        <v>9662</v>
      </c>
      <c r="C3226" s="2" t="s">
        <v>573</v>
      </c>
      <c r="D3226" s="2" t="str">
        <f t="shared" si="49"/>
        <v>Error?</v>
      </c>
    </row>
    <row r="3227" spans="1:4" x14ac:dyDescent="0.2">
      <c r="A3227" s="5">
        <v>3166</v>
      </c>
      <c r="B3227" s="138">
        <f>'Acct Summary 7-8'!I20</f>
        <v>9662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40914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6200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18753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6667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-631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9662</v>
      </c>
      <c r="C3320" s="2" t="s">
        <v>573</v>
      </c>
      <c r="D3320" s="2" t="str">
        <f t="shared" si="50"/>
        <v>Error?</v>
      </c>
    </row>
    <row r="3321" spans="1:4" x14ac:dyDescent="0.2">
      <c r="A3321" s="5">
        <v>3260</v>
      </c>
      <c r="B3321" s="138">
        <f>'Acct Summary 7-8'!I79</f>
        <v>151829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161491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49512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5001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632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55145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16991</v>
      </c>
      <c r="D3387" s="2" t="str">
        <f t="shared" si="51"/>
        <v>Error?</v>
      </c>
    </row>
    <row r="3388" spans="1:4" x14ac:dyDescent="0.2">
      <c r="A3388" s="5">
        <v>3327</v>
      </c>
      <c r="B3388" s="138">
        <f>'Expenditures 15-22'!D217</f>
        <v>2767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16991</v>
      </c>
      <c r="C3390" s="2" t="s">
        <v>573</v>
      </c>
      <c r="D3390" s="2" t="str">
        <f t="shared" si="51"/>
        <v>Error?</v>
      </c>
    </row>
    <row r="3391" spans="1:4" x14ac:dyDescent="0.2">
      <c r="A3391" s="5">
        <v>3330</v>
      </c>
      <c r="B3391" s="138">
        <f>'Expenditures 15-22'!K217</f>
        <v>2767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586888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131299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14577</v>
      </c>
      <c r="D3417" s="2" t="str">
        <f t="shared" si="52"/>
        <v>Error?</v>
      </c>
    </row>
    <row r="3418" spans="1:4" x14ac:dyDescent="0.2">
      <c r="A3418" s="10">
        <v>3357</v>
      </c>
      <c r="D3418" s="2" t="str">
        <f t="shared" si="52"/>
        <v>OK</v>
      </c>
    </row>
    <row r="3419" spans="1:4" x14ac:dyDescent="0.2">
      <c r="A3419" s="5">
        <v>3358</v>
      </c>
      <c r="B3419" s="138">
        <f>'Assets-Liab 5-6'!F4</f>
        <v>145371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34630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161491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1453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21912</v>
      </c>
      <c r="C3446" s="2" t="s">
        <v>573</v>
      </c>
      <c r="D3446" s="2" t="str">
        <f t="shared" si="52"/>
        <v>Error?</v>
      </c>
    </row>
    <row r="3447" spans="1:4" x14ac:dyDescent="0.2">
      <c r="A3447" s="5">
        <v>3386</v>
      </c>
      <c r="B3447" s="138">
        <f>'Tax Sched 23'!D16</f>
        <v>21912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15001</v>
      </c>
      <c r="C3449" s="2" t="s">
        <v>573</v>
      </c>
      <c r="D3449" s="2" t="str">
        <f t="shared" si="52"/>
        <v>Error?</v>
      </c>
    </row>
    <row r="3450" spans="1:4" x14ac:dyDescent="0.2">
      <c r="A3450" s="5">
        <v>3389</v>
      </c>
      <c r="B3450" s="138">
        <f>'Tax Sched 23'!E16</f>
        <v>15001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31080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31080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31080</v>
      </c>
      <c r="D3567" s="2" t="str">
        <f t="shared" si="54"/>
        <v>Error?</v>
      </c>
    </row>
    <row r="3568" spans="1:4" x14ac:dyDescent="0.2">
      <c r="A3568" s="5">
        <v>3507</v>
      </c>
      <c r="B3568" s="138">
        <f>'Assets-Liab 5-6'!K41</f>
        <v>31080</v>
      </c>
      <c r="C3568" s="2" t="s">
        <v>573</v>
      </c>
      <c r="D3568" s="2" t="str">
        <f t="shared" si="54"/>
        <v>Error?</v>
      </c>
    </row>
    <row r="3569" spans="1:4" x14ac:dyDescent="0.2">
      <c r="A3569" s="5">
        <v>3508</v>
      </c>
      <c r="B3569" s="138">
        <f>'Acct Summary 7-8'!K4</f>
        <v>9321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9321</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9321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9321</v>
      </c>
      <c r="C3588" s="2" t="s">
        <v>573</v>
      </c>
      <c r="D3588" s="2" t="str">
        <f t="shared" si="55"/>
        <v>Error?</v>
      </c>
    </row>
    <row r="3589" spans="1:4" x14ac:dyDescent="0.2">
      <c r="A3589" s="5">
        <v>3528</v>
      </c>
      <c r="B3589" s="138">
        <f>'Acct Summary 7-8'!K79</f>
        <v>21759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31080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9321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9248</v>
      </c>
      <c r="C3725" s="2" t="s">
        <v>573</v>
      </c>
      <c r="D3725" s="2" t="str">
        <f t="shared" si="57"/>
        <v>Error?</v>
      </c>
    </row>
    <row r="3726" spans="1:4" x14ac:dyDescent="0.2">
      <c r="A3726" s="5">
        <v>3665</v>
      </c>
      <c r="B3726" s="138">
        <f>'Tax Sched 23'!D13</f>
        <v>9248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9807</v>
      </c>
      <c r="C3728" s="2" t="s">
        <v>573</v>
      </c>
      <c r="D3728" s="2" t="str">
        <f t="shared" si="57"/>
        <v>Error?</v>
      </c>
    </row>
    <row r="3729" spans="1:4" x14ac:dyDescent="0.2">
      <c r="A3729" s="5">
        <v>3668</v>
      </c>
      <c r="B3729" s="138">
        <f>'Tax Sched 23'!E13</f>
        <v>9807</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331940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1218640</v>
      </c>
      <c r="C4122" s="2" t="s">
        <v>573</v>
      </c>
      <c r="D4122" s="2" t="str">
        <f t="shared" si="63"/>
        <v>Error?</v>
      </c>
    </row>
    <row r="4123" spans="1:4" x14ac:dyDescent="0.2">
      <c r="A4123" s="5">
        <v>4062</v>
      </c>
      <c r="B4123" s="138">
        <f>'Acct Summary 7-8'!D10</f>
        <v>107567</v>
      </c>
      <c r="C4123" s="2" t="s">
        <v>573</v>
      </c>
      <c r="D4123" s="2" t="str">
        <f t="shared" si="63"/>
        <v>Error?</v>
      </c>
    </row>
    <row r="4124" spans="1:4" x14ac:dyDescent="0.2">
      <c r="A4124" s="5">
        <v>4063</v>
      </c>
      <c r="B4124" s="138">
        <f>'Acct Summary 7-8'!E10</f>
        <v>46182</v>
      </c>
      <c r="C4124" s="2" t="s">
        <v>573</v>
      </c>
      <c r="D4124" s="2" t="str">
        <f t="shared" si="63"/>
        <v>Error?</v>
      </c>
    </row>
    <row r="4125" spans="1:4" x14ac:dyDescent="0.2">
      <c r="A4125" s="5">
        <v>4064</v>
      </c>
      <c r="B4125" s="138">
        <f>'Acct Summary 7-8'!F10</f>
        <v>56919</v>
      </c>
      <c r="C4125" s="2" t="s">
        <v>573</v>
      </c>
      <c r="D4125" s="2" t="str">
        <f t="shared" si="63"/>
        <v>Error?</v>
      </c>
    </row>
    <row r="4126" spans="1:4" x14ac:dyDescent="0.2">
      <c r="A4126" s="5">
        <v>4065</v>
      </c>
      <c r="B4126" s="138">
        <f>'Acct Summary 7-8'!G10</f>
        <v>46935</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9662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9321</v>
      </c>
      <c r="C4130" s="2" t="s">
        <v>573</v>
      </c>
      <c r="D4130" s="2" t="str">
        <f t="shared" si="63"/>
        <v>Error?</v>
      </c>
    </row>
    <row r="4131" spans="1:4" x14ac:dyDescent="0.2">
      <c r="A4131" s="5">
        <v>4070</v>
      </c>
      <c r="B4131" s="138">
        <f>'Acct Summary 7-8'!C18</f>
        <v>331940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1177726</v>
      </c>
      <c r="C4136" s="2" t="s">
        <v>573</v>
      </c>
      <c r="D4136" s="2" t="str">
        <f t="shared" si="63"/>
        <v>Error?</v>
      </c>
    </row>
    <row r="4137" spans="1:4" x14ac:dyDescent="0.2">
      <c r="A4137" s="5">
        <v>4076</v>
      </c>
      <c r="B4137" s="138">
        <f>'Acct Summary 7-8'!D19</f>
        <v>101367</v>
      </c>
      <c r="C4137" s="2" t="s">
        <v>573</v>
      </c>
      <c r="D4137" s="2" t="str">
        <f t="shared" si="63"/>
        <v>Error?</v>
      </c>
    </row>
    <row r="4138" spans="1:4" x14ac:dyDescent="0.2">
      <c r="A4138" s="5">
        <v>4077</v>
      </c>
      <c r="B4138" s="138">
        <f>'Acct Summary 7-8'!E19</f>
        <v>46813</v>
      </c>
      <c r="C4138" s="2" t="s">
        <v>573</v>
      </c>
      <c r="D4138" s="2" t="str">
        <f t="shared" si="63"/>
        <v>Error?</v>
      </c>
    </row>
    <row r="4139" spans="1:4" x14ac:dyDescent="0.2">
      <c r="A4139" s="5">
        <v>4078</v>
      </c>
      <c r="B4139" s="138">
        <f>'Acct Summary 7-8'!F19</f>
        <v>38166</v>
      </c>
      <c r="C4139" s="2" t="s">
        <v>573</v>
      </c>
      <c r="D4139" s="2" t="str">
        <f t="shared" si="63"/>
        <v>Error?</v>
      </c>
    </row>
    <row r="4140" spans="1:4" x14ac:dyDescent="0.2">
      <c r="A4140" s="5">
        <v>4079</v>
      </c>
      <c r="B4140" s="138">
        <f>'Acct Summary 7-8'!G19</f>
        <v>40268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165000</v>
      </c>
      <c r="C4171" s="2" t="s">
        <v>573</v>
      </c>
      <c r="D4171" s="2" t="str">
        <f t="shared" si="64"/>
        <v>Error?</v>
      </c>
    </row>
    <row r="4172" spans="1:4" x14ac:dyDescent="0.2">
      <c r="A4172" s="5">
        <v>4111</v>
      </c>
      <c r="B4172" s="138">
        <f>'Short-Term Long-Term Debt 24'!J49</f>
        <v>150423</v>
      </c>
      <c r="C4172" s="2" t="s">
        <v>573</v>
      </c>
      <c r="D4172" s="2" t="str">
        <f t="shared" si="64"/>
        <v>Error?</v>
      </c>
    </row>
    <row r="4173" spans="1:4" x14ac:dyDescent="0.2">
      <c r="A4173" s="5">
        <v>4112</v>
      </c>
      <c r="B4173" s="138">
        <f>'Short-Term Long-Term Debt 24'!H49</f>
        <v>35000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10583</v>
      </c>
      <c r="D4210" s="2" t="str">
        <f t="shared" si="64"/>
        <v>Error?</v>
      </c>
    </row>
    <row r="4211" spans="1:4" x14ac:dyDescent="0.2">
      <c r="A4211" s="5">
        <v>4150</v>
      </c>
      <c r="B4211" s="138">
        <f>'Expenditures 15-22'!K206</f>
        <v>10583</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1902</v>
      </c>
    </row>
    <row r="4236" spans="1:5" x14ac:dyDescent="0.2">
      <c r="A4236" s="10">
        <v>4175</v>
      </c>
      <c r="D4236" s="2" t="str">
        <f t="shared" si="65"/>
        <v>OK</v>
      </c>
      <c r="E4236" s="4" t="s">
        <v>1902</v>
      </c>
    </row>
    <row r="4237" spans="1:5" x14ac:dyDescent="0.2">
      <c r="A4237" s="10">
        <v>4176</v>
      </c>
      <c r="D4237" s="2" t="str">
        <f t="shared" si="65"/>
        <v>OK</v>
      </c>
      <c r="E4237" s="4" t="s">
        <v>1902</v>
      </c>
    </row>
    <row r="4238" spans="1:5" x14ac:dyDescent="0.2">
      <c r="A4238" s="10">
        <v>4177</v>
      </c>
      <c r="D4238" s="2" t="str">
        <f t="shared" si="65"/>
        <v>OK</v>
      </c>
      <c r="E4238" s="4" t="s">
        <v>1902</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2090</v>
      </c>
      <c r="C4265" s="2" t="s">
        <v>573</v>
      </c>
      <c r="D4265" s="2" t="str">
        <f t="shared" si="65"/>
        <v>Error?</v>
      </c>
      <c r="E4265" s="128"/>
    </row>
    <row r="4266" spans="1:5" x14ac:dyDescent="0.2">
      <c r="A4266" s="12">
        <v>4205</v>
      </c>
      <c r="B4266" s="138">
        <f>('FP Info 3'!F10)*100000</f>
        <v>249.92000000000002</v>
      </c>
      <c r="C4266" s="2" t="s">
        <v>573</v>
      </c>
      <c r="D4266" s="2" t="str">
        <f t="shared" si="65"/>
        <v>Error?</v>
      </c>
      <c r="E4266" s="128"/>
    </row>
    <row r="4267" spans="1:5" x14ac:dyDescent="0.2">
      <c r="A4267" s="12">
        <v>4206</v>
      </c>
      <c r="B4267" s="138">
        <f>('FP Info 3'!H10)*100000</f>
        <v>150</v>
      </c>
      <c r="C4267" s="2" t="s">
        <v>573</v>
      </c>
      <c r="D4267" s="2" t="str">
        <f t="shared" si="65"/>
        <v>Error?</v>
      </c>
      <c r="E4267" s="128"/>
    </row>
    <row r="4268" spans="1:5" x14ac:dyDescent="0.2">
      <c r="A4268" s="12">
        <v>4207</v>
      </c>
      <c r="B4268" s="138">
        <f>('FP Info 3'!J10)*100000</f>
        <v>2490</v>
      </c>
      <c r="C4268" s="2" t="s">
        <v>573</v>
      </c>
      <c r="D4268" s="2" t="str">
        <f t="shared" si="65"/>
        <v>Error?</v>
      </c>
    </row>
    <row r="4269" spans="1:5" x14ac:dyDescent="0.2">
      <c r="A4269" s="12">
        <v>4208</v>
      </c>
      <c r="B4269" s="138">
        <f>'FP Info 3'!J16</f>
        <v>1025049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6975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26936</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26936</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1902</v>
      </c>
    </row>
    <row r="4400" spans="1:5" x14ac:dyDescent="0.2">
      <c r="A4400" s="10">
        <v>4339</v>
      </c>
      <c r="D4400" s="2" t="str">
        <f t="shared" si="67"/>
        <v>OK</v>
      </c>
      <c r="E4400" s="4" t="s">
        <v>1902</v>
      </c>
    </row>
    <row r="4401" spans="1:5" x14ac:dyDescent="0.2">
      <c r="A4401" s="10">
        <v>4340</v>
      </c>
      <c r="D4401" s="2" t="str">
        <f t="shared" si="67"/>
        <v>OK</v>
      </c>
      <c r="E4401" s="4" t="s">
        <v>1902</v>
      </c>
    </row>
    <row r="4402" spans="1:5" x14ac:dyDescent="0.2">
      <c r="A4402" s="10">
        <v>4341</v>
      </c>
      <c r="D4402" s="2" t="str">
        <f t="shared" si="67"/>
        <v>OK</v>
      </c>
      <c r="E4402" s="4" t="s">
        <v>1902</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10140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2347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2283</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19614558</v>
      </c>
      <c r="D4995" s="2" t="str">
        <f t="shared" si="77"/>
        <v>Error?</v>
      </c>
    </row>
    <row r="4996" spans="1:4" x14ac:dyDescent="0.2">
      <c r="A4996" s="12">
        <v>4935</v>
      </c>
      <c r="B4996" s="138">
        <f>'FP Info 3'!H31</f>
        <v>1353404.5020000001</v>
      </c>
      <c r="D4996" s="2" t="str">
        <f t="shared" si="77"/>
        <v>Error?</v>
      </c>
    </row>
    <row r="4997" spans="1:4" x14ac:dyDescent="0.2">
      <c r="A4997" s="12">
        <v>4936</v>
      </c>
      <c r="B4997" s="138">
        <f>'FP Info 3'!H37</f>
        <v>165000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9248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386539</v>
      </c>
      <c r="D5061" s="2" t="str">
        <f t="shared" si="78"/>
        <v>Error?</v>
      </c>
    </row>
    <row r="5062" spans="1:4" x14ac:dyDescent="0.2">
      <c r="A5062" s="10">
        <v>5001</v>
      </c>
      <c r="D5062" s="2" t="str">
        <f t="shared" si="78"/>
        <v>OK</v>
      </c>
    </row>
    <row r="5063" spans="1:4" x14ac:dyDescent="0.2">
      <c r="A5063" s="5">
        <v>5002</v>
      </c>
      <c r="B5063" s="138">
        <f>'Revenues 9-14'!C7</f>
        <v>3699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399486</v>
      </c>
      <c r="C5066" s="2" t="s">
        <v>573</v>
      </c>
      <c r="D5066" s="2" t="str">
        <f t="shared" si="78"/>
        <v>Error?</v>
      </c>
    </row>
    <row r="5067" spans="1:4" x14ac:dyDescent="0.2">
      <c r="A5067" s="5">
        <v>5006</v>
      </c>
      <c r="B5067" s="138">
        <f>'Revenues 9-14'!C14</f>
        <v>633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25156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25789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35676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35676</v>
      </c>
      <c r="C5087" s="2" t="s">
        <v>573</v>
      </c>
      <c r="D5087" s="2" t="str">
        <f t="shared" si="78"/>
        <v>Error?</v>
      </c>
    </row>
    <row r="5088" spans="1:4" x14ac:dyDescent="0.2">
      <c r="A5088" s="5">
        <v>5027</v>
      </c>
      <c r="B5088" s="138">
        <f>'Revenues 9-14'!C65</f>
        <v>1769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1769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833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8448</v>
      </c>
      <c r="C5096" s="2" t="s">
        <v>573</v>
      </c>
      <c r="D5096" s="2" t="str">
        <f t="shared" si="78"/>
        <v>Error?</v>
      </c>
    </row>
    <row r="5097" spans="1:4" x14ac:dyDescent="0.2">
      <c r="A5097" s="5">
        <v>5036</v>
      </c>
      <c r="B5097" s="138">
        <f>'Revenues 9-14'!C77</f>
        <v>2802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2802</v>
      </c>
      <c r="C5102" s="2" t="s">
        <v>573</v>
      </c>
      <c r="D5102" s="2" t="str">
        <f t="shared" si="78"/>
        <v>Error?</v>
      </c>
    </row>
    <row r="5103" spans="1:4" x14ac:dyDescent="0.2">
      <c r="A5103" s="5">
        <v>5042</v>
      </c>
      <c r="B5103" s="138">
        <f>'Revenues 9-14'!C84</f>
        <v>2461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171</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2632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629</v>
      </c>
      <c r="D5114" s="2" t="str">
        <f t="shared" si="78"/>
        <v>Error?</v>
      </c>
    </row>
    <row r="5115" spans="1:4" x14ac:dyDescent="0.2">
      <c r="A5115" s="5">
        <v>5054</v>
      </c>
      <c r="B5115" s="138">
        <f>'Revenues 9-14'!C98</f>
        <v>3626</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23589</v>
      </c>
      <c r="D5119" s="2" t="str">
        <f t="shared" ref="D5119:D5182" si="79">IF(ISBLANK(B5119),"OK",IF(A5119-B5119=0,"OK","Error?"))</f>
        <v>Error?</v>
      </c>
    </row>
    <row r="5120" spans="1:4" x14ac:dyDescent="0.2">
      <c r="A5120" s="5">
        <v>5059</v>
      </c>
      <c r="B5120" s="138">
        <f>'Revenues 9-14'!C108</f>
        <v>27844</v>
      </c>
      <c r="C5120" s="2" t="s">
        <v>573</v>
      </c>
      <c r="D5120" s="2" t="str">
        <f t="shared" si="79"/>
        <v>Error?</v>
      </c>
    </row>
    <row r="5121" spans="1:4" x14ac:dyDescent="0.2">
      <c r="A5121" s="5">
        <v>5060</v>
      </c>
      <c r="B5121" s="138">
        <f>'Revenues 9-14'!C109</f>
        <v>504446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156338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156338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394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128759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1902</v>
      </c>
    </row>
    <row r="5200" spans="1:5" x14ac:dyDescent="0.2">
      <c r="A5200" s="10">
        <v>5139</v>
      </c>
      <c r="D5200" s="2" t="str">
        <f t="shared" si="80"/>
        <v>OK</v>
      </c>
      <c r="E5200" s="4" t="s">
        <v>1902</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129153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285491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16049</v>
      </c>
      <c r="D5239" s="2" t="str">
        <f t="shared" si="80"/>
        <v>Error?</v>
      </c>
    </row>
    <row r="5240" spans="1:4" x14ac:dyDescent="0.2">
      <c r="A5240" s="5">
        <v>5179</v>
      </c>
      <c r="B5240" s="138">
        <f>'Revenues 9-14'!C192</f>
        <v>868</v>
      </c>
      <c r="D5240" s="2" t="str">
        <f t="shared" si="80"/>
        <v>Error?</v>
      </c>
    </row>
    <row r="5241" spans="1:4" x14ac:dyDescent="0.2">
      <c r="A5241" s="5">
        <v>5180</v>
      </c>
      <c r="B5241" s="138">
        <f>'Revenues 9-14'!C193</f>
        <v>4221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21138</v>
      </c>
      <c r="C5246" s="2" t="s">
        <v>573</v>
      </c>
      <c r="D5246" s="2" t="str">
        <f t="shared" si="80"/>
        <v>Error?</v>
      </c>
    </row>
    <row r="5247" spans="1:4" x14ac:dyDescent="0.2">
      <c r="A5247" s="5">
        <v>5186</v>
      </c>
      <c r="B5247" s="138">
        <f>'Revenues 9-14'!C200</f>
        <v>26944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1902</v>
      </c>
    </row>
    <row r="5255" spans="1:5" x14ac:dyDescent="0.2">
      <c r="A5255" s="5">
        <v>5194</v>
      </c>
      <c r="B5255" s="138">
        <f>'Revenues 9-14'!C202</f>
        <v>0</v>
      </c>
      <c r="D5255" s="2" t="str">
        <f t="shared" si="81"/>
        <v>Error?</v>
      </c>
    </row>
    <row r="5256" spans="1:5" x14ac:dyDescent="0.2">
      <c r="A5256" s="5">
        <v>5195</v>
      </c>
      <c r="B5256" s="138">
        <f>'Revenues 9-14'!C206</f>
        <v>10140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26944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1902</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96763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96763</v>
      </c>
      <c r="C5326" s="2" t="s">
        <v>573</v>
      </c>
      <c r="D5326" s="2" t="str">
        <f t="shared" si="82"/>
        <v>Error?</v>
      </c>
    </row>
    <row r="5327" spans="1:5" x14ac:dyDescent="0.2">
      <c r="A5327" s="5">
        <v>5266</v>
      </c>
      <c r="B5327" s="138">
        <f>'Revenues 9-14'!C268</f>
        <v>886700</v>
      </c>
      <c r="C5327" s="2" t="s">
        <v>573</v>
      </c>
      <c r="D5327" s="2" t="str">
        <f t="shared" si="82"/>
        <v>Error?</v>
      </c>
    </row>
    <row r="5328" spans="1:5" x14ac:dyDescent="0.2">
      <c r="A5328" s="5">
        <v>5267</v>
      </c>
      <c r="B5328" s="138">
        <f>'Revenues 9-14'!D5</f>
        <v>101722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101722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401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401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4419</v>
      </c>
      <c r="D5354" s="2" t="str">
        <f t="shared" si="82"/>
        <v>Error?</v>
      </c>
    </row>
    <row r="5355" spans="1:4" x14ac:dyDescent="0.2">
      <c r="A5355" s="5">
        <v>5294</v>
      </c>
      <c r="B5355" s="138">
        <f>'Revenues 9-14'!D108</f>
        <v>4444</v>
      </c>
      <c r="C5355" s="2" t="s">
        <v>573</v>
      </c>
      <c r="D5355" s="2" t="str">
        <f t="shared" si="82"/>
        <v>Error?</v>
      </c>
    </row>
    <row r="5356" spans="1:4" x14ac:dyDescent="0.2">
      <c r="A5356" s="5">
        <v>5295</v>
      </c>
      <c r="B5356" s="138">
        <f>'Revenues 9-14'!D109</f>
        <v>106567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1000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1000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1902</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107567</v>
      </c>
      <c r="C5508" s="2" t="s">
        <v>573</v>
      </c>
      <c r="D5508" s="2" t="str">
        <f t="shared" si="85"/>
        <v>Error?</v>
      </c>
    </row>
    <row r="5509" spans="1:4" x14ac:dyDescent="0.2">
      <c r="A5509" s="5">
        <v>5448</v>
      </c>
      <c r="B5509" s="138">
        <f>'Revenues 9-14'!E5</f>
        <v>46129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46129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46182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46182</v>
      </c>
      <c r="C5552" s="2" t="s">
        <v>573</v>
      </c>
      <c r="D5552" s="2" t="str">
        <f t="shared" si="85"/>
        <v>Error?</v>
      </c>
    </row>
    <row r="5553" spans="1:4" x14ac:dyDescent="0.2">
      <c r="A5553" s="5">
        <v>5492</v>
      </c>
      <c r="B5553" s="138">
        <f>'Revenues 9-14'!F5</f>
        <v>27742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27742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1500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1500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357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357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302</v>
      </c>
      <c r="D5586" s="2" t="str">
        <f t="shared" si="86"/>
        <v>Error?</v>
      </c>
    </row>
    <row r="5587" spans="1:4" x14ac:dyDescent="0.2">
      <c r="A5587" s="5">
        <v>5526</v>
      </c>
      <c r="B5587" s="138">
        <f>'Revenues 9-14'!F108</f>
        <v>302</v>
      </c>
      <c r="C5587" s="2" t="s">
        <v>573</v>
      </c>
      <c r="D5587" s="2" t="str">
        <f t="shared" si="86"/>
        <v>Error?</v>
      </c>
    </row>
    <row r="5588" spans="1:4" x14ac:dyDescent="0.2">
      <c r="A5588" s="5">
        <v>5527</v>
      </c>
      <c r="B5588" s="138">
        <f>'Revenues 9-14'!F109</f>
        <v>29901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24838</v>
      </c>
      <c r="D5615" s="2" t="str">
        <f t="shared" si="86"/>
        <v>Error?</v>
      </c>
    </row>
    <row r="5616" spans="1:4" x14ac:dyDescent="0.2">
      <c r="A5616" s="10">
        <v>5555</v>
      </c>
      <c r="D5616" s="2" t="str">
        <f t="shared" si="86"/>
        <v>OK</v>
      </c>
    </row>
    <row r="5617" spans="1:5" x14ac:dyDescent="0.2">
      <c r="A5617" s="5">
        <v>5556</v>
      </c>
      <c r="B5617" s="138">
        <f>'Revenues 9-14'!F153</f>
        <v>180</v>
      </c>
      <c r="D5617" s="2" t="str">
        <f t="shared" si="86"/>
        <v>Error?</v>
      </c>
    </row>
    <row r="5618" spans="1:5" x14ac:dyDescent="0.2">
      <c r="A5618" s="5">
        <v>5557</v>
      </c>
      <c r="B5618" s="138">
        <f>'Revenues 9-14'!F155</f>
        <v>25018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2000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1902</v>
      </c>
    </row>
    <row r="5631" spans="1:5" x14ac:dyDescent="0.2">
      <c r="A5631" s="10">
        <v>5570</v>
      </c>
      <c r="D5631" s="2" t="str">
        <f t="shared" ref="D5631:D5694" si="87">IF(ISBLANK(B5631),"OK",IF(A5631-B5631=0,"OK","Error?"))</f>
        <v>OK</v>
      </c>
      <c r="E5631" s="4" t="s">
        <v>1902</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27018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27018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1902</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1902</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56919</v>
      </c>
      <c r="C5720" s="2" t="s">
        <v>573</v>
      </c>
      <c r="D5720" s="2" t="str">
        <f t="shared" si="88"/>
        <v>Error?</v>
      </c>
    </row>
    <row r="5721" spans="1:4" x14ac:dyDescent="0.2">
      <c r="A5721" s="5">
        <v>5660</v>
      </c>
      <c r="B5721" s="138">
        <f>'Revenues 9-14'!G5</f>
        <v>21912</v>
      </c>
      <c r="D5721" s="2" t="str">
        <f t="shared" si="88"/>
        <v>Error?</v>
      </c>
    </row>
    <row r="5722" spans="1:4" x14ac:dyDescent="0.2">
      <c r="A5722" s="5">
        <v>5661</v>
      </c>
      <c r="B5722" s="138">
        <f>'Revenues 9-14'!G7</f>
        <v>0</v>
      </c>
      <c r="D5722" s="2" t="str">
        <f t="shared" si="88"/>
        <v>Error?</v>
      </c>
    </row>
    <row r="5723" spans="1:4" x14ac:dyDescent="0.2">
      <c r="A5723" s="5">
        <v>5662</v>
      </c>
      <c r="B5723" s="138">
        <f>'Revenues 9-14'!G8</f>
        <v>21912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43824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v>
      </c>
      <c r="C5730" s="2" t="s">
        <v>573</v>
      </c>
      <c r="D5730" s="2" t="str">
        <f t="shared" si="88"/>
        <v>Error?</v>
      </c>
    </row>
    <row r="5731" spans="1:4" x14ac:dyDescent="0.2">
      <c r="A5731" s="5">
        <v>5670</v>
      </c>
      <c r="B5731" s="138">
        <f>'Revenues 9-14'!G65</f>
        <v>111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1500</v>
      </c>
      <c r="D5765" s="2" t="str">
        <f t="shared" si="89"/>
        <v>Error?</v>
      </c>
    </row>
    <row r="5766" spans="1:5" x14ac:dyDescent="0.2">
      <c r="A5766" s="10">
        <v>5705</v>
      </c>
      <c r="D5766" s="2" t="str">
        <f t="shared" si="89"/>
        <v>OK</v>
      </c>
    </row>
    <row r="5767" spans="1:5" x14ac:dyDescent="0.2">
      <c r="A5767" s="10">
        <v>5706</v>
      </c>
      <c r="D5767" s="2" t="str">
        <f t="shared" si="89"/>
        <v>OK</v>
      </c>
      <c r="E5767" s="4" t="s">
        <v>1902</v>
      </c>
    </row>
    <row r="5768" spans="1:5" x14ac:dyDescent="0.2">
      <c r="A5768" s="10">
        <v>5707</v>
      </c>
      <c r="D5768" s="2" t="str">
        <f t="shared" si="89"/>
        <v>OK</v>
      </c>
      <c r="E5768" s="4" t="s">
        <v>1902</v>
      </c>
    </row>
    <row r="5769" spans="1:5" x14ac:dyDescent="0.2">
      <c r="A5769" s="10">
        <v>5708</v>
      </c>
      <c r="D5769" s="2" t="str">
        <f t="shared" si="89"/>
        <v>OK</v>
      </c>
    </row>
    <row r="5770" spans="1:5" x14ac:dyDescent="0.2">
      <c r="A5770" s="5">
        <v>5709</v>
      </c>
      <c r="B5770" s="138">
        <f>'Revenues 9-14'!G169</f>
        <v>1500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1500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1902</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1902</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46935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9248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9248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414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414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9662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9248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9248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73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9321</v>
      </c>
      <c r="C6023" s="2" t="s">
        <v>573</v>
      </c>
      <c r="D6023" s="2" t="str">
        <f t="shared" si="93"/>
        <v>Error?</v>
      </c>
    </row>
    <row r="6024" spans="1:5" x14ac:dyDescent="0.2">
      <c r="A6024" s="5">
        <v>5963</v>
      </c>
      <c r="B6024" s="138">
        <f>'Revenues 9-14'!G109</f>
        <v>45435</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9662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9321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7615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1901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82.971000000000004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37839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37839</v>
      </c>
      <c r="D6215" s="2" t="str">
        <f t="shared" si="96"/>
        <v>Error?</v>
      </c>
      <c r="E6215" s="2" t="s">
        <v>190</v>
      </c>
    </row>
    <row r="6216" spans="1:5" x14ac:dyDescent="0.2">
      <c r="A6216">
        <v>6155</v>
      </c>
      <c r="B6216" s="138">
        <f>'Assets-Liab 5-6'!J41</f>
        <v>37839</v>
      </c>
      <c r="D6216" s="2" t="str">
        <f t="shared" si="96"/>
        <v>Error?</v>
      </c>
      <c r="E6216" s="2" t="s">
        <v>190</v>
      </c>
    </row>
    <row r="6217" spans="1:5" x14ac:dyDescent="0.2">
      <c r="A6217">
        <v>6156</v>
      </c>
      <c r="B6217" s="138">
        <f>'Assets-Liab 5-6'!J4</f>
        <v>37839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62837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62837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62837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55140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55140</v>
      </c>
      <c r="D6229" s="2" t="str">
        <f t="shared" si="96"/>
        <v>Error?</v>
      </c>
      <c r="E6229" s="2" t="s">
        <v>190</v>
      </c>
    </row>
    <row r="6230" spans="1:5" x14ac:dyDescent="0.2">
      <c r="A6230">
        <v>6169</v>
      </c>
      <c r="B6230" s="138">
        <f>'Acct Summary 7-8'!J20</f>
        <v>7697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7697</v>
      </c>
      <c r="D6263" s="2" t="str">
        <f t="shared" si="96"/>
        <v>Error?</v>
      </c>
      <c r="E6263" s="2" t="s">
        <v>190</v>
      </c>
    </row>
    <row r="6264" spans="1:5" x14ac:dyDescent="0.2">
      <c r="A6264">
        <v>6203</v>
      </c>
      <c r="B6264" s="138">
        <f>'Acct Summary 7-8'!J79</f>
        <v>30142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37839</v>
      </c>
      <c r="D6266" s="2" t="str">
        <f t="shared" si="96"/>
        <v>Error?</v>
      </c>
      <c r="E6266" s="2" t="s">
        <v>190</v>
      </c>
    </row>
    <row r="6267" spans="1:5" x14ac:dyDescent="0.2">
      <c r="A6267">
        <v>6206</v>
      </c>
      <c r="B6267" s="138">
        <f>'Acct Summary 7-8'!C82</f>
        <v>40914</v>
      </c>
      <c r="D6267" s="2" t="str">
        <f t="shared" si="96"/>
        <v>Error?</v>
      </c>
      <c r="E6267" s="2" t="s">
        <v>190</v>
      </c>
    </row>
    <row r="6268" spans="1:5" x14ac:dyDescent="0.2">
      <c r="A6268">
        <v>6207</v>
      </c>
      <c r="B6268" s="138">
        <f>'Acct Summary 7-8'!D82</f>
        <v>6200</v>
      </c>
      <c r="D6268" s="2" t="str">
        <f t="shared" si="96"/>
        <v>Error?</v>
      </c>
      <c r="E6268" s="2" t="s">
        <v>190</v>
      </c>
    </row>
    <row r="6269" spans="1:5" x14ac:dyDescent="0.2">
      <c r="A6269">
        <v>6208</v>
      </c>
      <c r="B6269" s="138">
        <f>'Acct Summary 7-8'!E82</f>
        <v>-631</v>
      </c>
      <c r="D6269" s="2" t="str">
        <f t="shared" si="96"/>
        <v>Error?</v>
      </c>
      <c r="E6269" s="2" t="s">
        <v>190</v>
      </c>
    </row>
    <row r="6270" spans="1:5" x14ac:dyDescent="0.2">
      <c r="A6270">
        <v>6209</v>
      </c>
      <c r="B6270" s="138">
        <f>'Acct Summary 7-8'!F82</f>
        <v>18753</v>
      </c>
      <c r="D6270" s="2" t="str">
        <f t="shared" si="96"/>
        <v>Error?</v>
      </c>
      <c r="E6270" s="2" t="s">
        <v>190</v>
      </c>
    </row>
    <row r="6271" spans="1:5" x14ac:dyDescent="0.2">
      <c r="A6271">
        <v>6210</v>
      </c>
      <c r="B6271" s="138">
        <f>'Acct Summary 7-8'!G82</f>
        <v>6667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9662</v>
      </c>
      <c r="D6273" s="2" t="str">
        <f t="shared" si="97"/>
        <v>Error?</v>
      </c>
      <c r="E6273" s="2" t="s">
        <v>190</v>
      </c>
    </row>
    <row r="6274" spans="1:5" x14ac:dyDescent="0.2">
      <c r="A6274">
        <v>6213</v>
      </c>
      <c r="B6274" s="138">
        <f>'Acct Summary 7-8'!J82</f>
        <v>7697</v>
      </c>
      <c r="D6274" s="2" t="str">
        <f t="shared" si="97"/>
        <v>Error?</v>
      </c>
      <c r="E6274" s="2" t="s">
        <v>190</v>
      </c>
    </row>
    <row r="6275" spans="1:5" x14ac:dyDescent="0.2">
      <c r="A6275">
        <v>6214</v>
      </c>
      <c r="B6275" s="138">
        <f>'Acct Summary 7-8'!K82</f>
        <v>9321</v>
      </c>
      <c r="D6275" s="2" t="str">
        <f t="shared" si="97"/>
        <v>Error?</v>
      </c>
      <c r="E6275" s="2" t="s">
        <v>190</v>
      </c>
    </row>
    <row r="6276" spans="1:5" x14ac:dyDescent="0.2">
      <c r="A6276">
        <v>6215</v>
      </c>
      <c r="B6276" s="138">
        <f>'Acct Summary 7-8'!C83</f>
        <v>6.9713471735663363E-2</v>
      </c>
      <c r="D6276" s="2" t="str">
        <f t="shared" si="97"/>
        <v>Error?</v>
      </c>
      <c r="E6276" s="2" t="s">
        <v>190</v>
      </c>
    </row>
    <row r="6277" spans="1:5" x14ac:dyDescent="0.2">
      <c r="A6277">
        <v>6216</v>
      </c>
      <c r="B6277" s="138">
        <f>'Acct Summary 7-8'!D83</f>
        <v>4.7220466264023334E-2</v>
      </c>
      <c r="D6277" s="2" t="str">
        <f t="shared" si="97"/>
        <v>Error?</v>
      </c>
      <c r="E6277" s="2" t="s">
        <v>190</v>
      </c>
    </row>
    <row r="6278" spans="1:5" x14ac:dyDescent="0.2">
      <c r="A6278">
        <v>6217</v>
      </c>
      <c r="B6278" s="138">
        <f>'Acct Summary 7-8'!E83</f>
        <v>-4.328737051519517E-2</v>
      </c>
      <c r="D6278" s="2" t="str">
        <f t="shared" si="97"/>
        <v>Error?</v>
      </c>
      <c r="E6278" s="2" t="s">
        <v>190</v>
      </c>
    </row>
    <row r="6279" spans="1:5" x14ac:dyDescent="0.2">
      <c r="A6279">
        <v>6218</v>
      </c>
      <c r="B6279" s="138">
        <f>'Acct Summary 7-8'!F83</f>
        <v>0.12900096993210475</v>
      </c>
      <c r="D6279" s="2" t="str">
        <f t="shared" si="97"/>
        <v>Error?</v>
      </c>
      <c r="E6279" s="2" t="s">
        <v>190</v>
      </c>
    </row>
    <row r="6280" spans="1:5" x14ac:dyDescent="0.2">
      <c r="A6280">
        <v>6219</v>
      </c>
      <c r="B6280" s="138">
        <f>'Acct Summary 7-8'!G83</f>
        <v>0.1925209356049668</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5.9829959564310087E-2</v>
      </c>
      <c r="D6282" s="2" t="str">
        <f t="shared" si="97"/>
        <v>Error?</v>
      </c>
      <c r="E6282" s="2" t="s">
        <v>190</v>
      </c>
    </row>
    <row r="6283" spans="1:5" x14ac:dyDescent="0.2">
      <c r="A6283">
        <v>6222</v>
      </c>
      <c r="B6283" s="138">
        <f>'Acct Summary 7-8'!J83</f>
        <v>0.20341446655567008</v>
      </c>
      <c r="D6283" s="2" t="str">
        <f t="shared" si="97"/>
        <v>Error?</v>
      </c>
      <c r="E6283" s="2" t="s">
        <v>190</v>
      </c>
    </row>
    <row r="6284" spans="1:5" x14ac:dyDescent="0.2">
      <c r="A6284">
        <v>6223</v>
      </c>
      <c r="B6284" s="138">
        <f>'Acct Summary 7-8'!K83</f>
        <v>0.29990347490347491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62750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62750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62837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1901</v>
      </c>
    </row>
    <row r="6383" spans="1:6" x14ac:dyDescent="0.2">
      <c r="A6383" s="129">
        <v>6322</v>
      </c>
      <c r="D6383" s="2" t="str">
        <f t="shared" si="98"/>
        <v>OK</v>
      </c>
      <c r="E6383" s="2" t="s">
        <v>190</v>
      </c>
      <c r="F6383" s="1" t="s">
        <v>1901</v>
      </c>
    </row>
    <row r="6384" spans="1:6" x14ac:dyDescent="0.2">
      <c r="A6384" s="129">
        <v>6323</v>
      </c>
      <c r="D6384" s="2" t="str">
        <f t="shared" si="98"/>
        <v>OK</v>
      </c>
      <c r="E6384" s="2" t="s">
        <v>190</v>
      </c>
      <c r="F6384" s="1" t="s">
        <v>1901</v>
      </c>
    </row>
    <row r="6385" spans="1:6" x14ac:dyDescent="0.2">
      <c r="A6385" s="129">
        <v>6324</v>
      </c>
      <c r="D6385" s="2" t="str">
        <f t="shared" si="98"/>
        <v>OK</v>
      </c>
      <c r="E6385" s="2" t="s">
        <v>190</v>
      </c>
      <c r="F6385" s="1" t="s">
        <v>1901</v>
      </c>
    </row>
    <row r="6386" spans="1:6" x14ac:dyDescent="0.2">
      <c r="A6386" s="129">
        <v>6325</v>
      </c>
      <c r="D6386" s="2" t="str">
        <f t="shared" si="98"/>
        <v>OK</v>
      </c>
      <c r="E6386" s="2" t="s">
        <v>190</v>
      </c>
      <c r="F6386" s="1" t="s">
        <v>1901</v>
      </c>
    </row>
    <row r="6387" spans="1:6" x14ac:dyDescent="0.2">
      <c r="A6387" s="129">
        <v>6326</v>
      </c>
      <c r="D6387" s="2" t="str">
        <f t="shared" si="98"/>
        <v>OK</v>
      </c>
      <c r="E6387" s="2" t="s">
        <v>190</v>
      </c>
      <c r="F6387" s="1" t="s">
        <v>1901</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1901</v>
      </c>
    </row>
    <row r="6411" spans="1:6" x14ac:dyDescent="0.2">
      <c r="A6411" s="129">
        <v>6350</v>
      </c>
      <c r="D6411" s="2" t="str">
        <f t="shared" si="99"/>
        <v>OK</v>
      </c>
      <c r="E6411" s="2" t="s">
        <v>190</v>
      </c>
      <c r="F6411" s="1" t="s">
        <v>1901</v>
      </c>
    </row>
    <row r="6412" spans="1:6" x14ac:dyDescent="0.2">
      <c r="A6412" s="129">
        <v>6351</v>
      </c>
      <c r="D6412" s="2" t="str">
        <f t="shared" si="99"/>
        <v>OK</v>
      </c>
      <c r="E6412" s="2" t="s">
        <v>190</v>
      </c>
      <c r="F6412" s="1" t="s">
        <v>1901</v>
      </c>
    </row>
    <row r="6413" spans="1:6" x14ac:dyDescent="0.2">
      <c r="A6413" s="129">
        <v>6352</v>
      </c>
      <c r="D6413" s="2" t="str">
        <f t="shared" si="99"/>
        <v>OK</v>
      </c>
      <c r="E6413" s="2" t="s">
        <v>190</v>
      </c>
      <c r="F6413" s="1" t="s">
        <v>1901</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53213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1901</v>
      </c>
    </row>
    <row r="6842" spans="1:5" x14ac:dyDescent="0.2">
      <c r="A6842" s="129">
        <v>6781</v>
      </c>
      <c r="D6842" s="2" t="str">
        <f t="shared" si="105"/>
        <v>OK</v>
      </c>
      <c r="E6842" s="1" t="s">
        <v>1901</v>
      </c>
    </row>
    <row r="6843" spans="1:5" x14ac:dyDescent="0.2">
      <c r="A6843" s="129">
        <v>6782</v>
      </c>
      <c r="D6843" s="2" t="str">
        <f t="shared" si="105"/>
        <v>OK</v>
      </c>
      <c r="E6843" s="1" t="s">
        <v>1901</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62801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55140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62837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914</v>
      </c>
      <c r="D7067" s="2" t="str">
        <f t="shared" si="109"/>
        <v>Error?</v>
      </c>
    </row>
    <row r="7068" spans="1:4" x14ac:dyDescent="0.2">
      <c r="A7068">
        <v>7007</v>
      </c>
      <c r="B7068" s="138">
        <f>'Expenditures 15-22'!K205</f>
        <v>914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3159</v>
      </c>
      <c r="D7073" s="2" t="str">
        <f t="shared" si="109"/>
        <v>Error?</v>
      </c>
    </row>
    <row r="7074" spans="1:4" x14ac:dyDescent="0.2">
      <c r="A7074">
        <v>7013</v>
      </c>
      <c r="B7074" s="138">
        <f>'Expenditures 15-22'!K216</f>
        <v>3159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1942</v>
      </c>
      <c r="D7093" s="2" t="str">
        <f t="shared" si="109"/>
        <v>Error?</v>
      </c>
    </row>
    <row r="7094" spans="1:4" x14ac:dyDescent="0.2">
      <c r="A7094">
        <v>7033</v>
      </c>
      <c r="B7094" s="138">
        <f>'Expenditures 15-22'!K254</f>
        <v>1942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6372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6372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1496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1496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28942</v>
      </c>
      <c r="D7172" s="2" t="str">
        <f t="shared" si="111"/>
        <v>Error?</v>
      </c>
    </row>
    <row r="7173" spans="1:4" x14ac:dyDescent="0.2">
      <c r="A7173">
        <v>7112</v>
      </c>
      <c r="B7173" s="138">
        <f>'Expenditures 15-22'!D325</f>
        <v>2258</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31200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912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912</v>
      </c>
      <c r="D7198" s="2" t="str">
        <f t="shared" si="111"/>
        <v>Error?</v>
      </c>
    </row>
    <row r="7199" spans="1:4" x14ac:dyDescent="0.2">
      <c r="A7199">
        <v>7138</v>
      </c>
      <c r="B7199" s="138">
        <f>'Expenditures 15-22'!C330</f>
        <v>28942</v>
      </c>
      <c r="D7199" s="2" t="str">
        <f t="shared" si="111"/>
        <v>Error?</v>
      </c>
    </row>
    <row r="7200" spans="1:4" x14ac:dyDescent="0.2">
      <c r="A7200">
        <v>7139</v>
      </c>
      <c r="B7200" s="138">
        <f>'Expenditures 15-22'!D330</f>
        <v>2258</v>
      </c>
      <c r="D7200" s="2" t="str">
        <f t="shared" si="111"/>
        <v>Error?</v>
      </c>
    </row>
    <row r="7201" spans="1:4" x14ac:dyDescent="0.2">
      <c r="A7201">
        <v>7140</v>
      </c>
      <c r="B7201" s="138">
        <f>'Expenditures 15-22'!E330</f>
        <v>23940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55140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28942</v>
      </c>
      <c r="D7216" s="2" t="str">
        <f t="shared" si="111"/>
        <v>Error?</v>
      </c>
    </row>
    <row r="7217" spans="1:4" x14ac:dyDescent="0.2">
      <c r="A7217">
        <v>7156</v>
      </c>
      <c r="B7217" s="138">
        <f>'Expenditures 15-22'!D342</f>
        <v>2258</v>
      </c>
      <c r="D7217" s="2" t="str">
        <f t="shared" si="111"/>
        <v>Error?</v>
      </c>
    </row>
    <row r="7218" spans="1:4" x14ac:dyDescent="0.2">
      <c r="A7218">
        <v>7157</v>
      </c>
      <c r="B7218" s="138">
        <f>'Expenditures 15-22'!E342</f>
        <v>23940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55140</v>
      </c>
      <c r="D7224" s="2" t="str">
        <f t="shared" si="111"/>
        <v>Error?</v>
      </c>
    </row>
    <row r="7225" spans="1:4" x14ac:dyDescent="0.2">
      <c r="A7225">
        <v>7164</v>
      </c>
      <c r="B7225" s="138">
        <f>'Expenditures 15-22'!K343</f>
        <v>7697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4606</v>
      </c>
      <c r="D7246" s="2" t="str">
        <f t="shared" si="112"/>
        <v>Error?</v>
      </c>
    </row>
    <row r="7247" spans="1:4" x14ac:dyDescent="0.2">
      <c r="A7247">
        <f t="shared" si="113"/>
        <v>7186</v>
      </c>
      <c r="B7247" s="138">
        <f>'Expenditures 15-22'!E7</f>
        <v>2000</v>
      </c>
      <c r="D7247" s="2" t="str">
        <f t="shared" si="112"/>
        <v>Error?</v>
      </c>
    </row>
    <row r="7248" spans="1:4" x14ac:dyDescent="0.2">
      <c r="A7248">
        <f t="shared" si="113"/>
        <v>7187</v>
      </c>
      <c r="B7248" s="138">
        <f>'Expenditures 15-22'!F7</f>
        <v>2982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36401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15160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15160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3699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1431</v>
      </c>
    </row>
    <row r="7757" spans="1:6" x14ac:dyDescent="0.2">
      <c r="A7757">
        <v>7696</v>
      </c>
      <c r="B7757" s="138">
        <f>'Aud Quest 2'!E87</f>
        <v>0</v>
      </c>
      <c r="D7757" s="2" t="str">
        <f t="shared" si="127"/>
        <v>Error?</v>
      </c>
      <c r="E7757" s="4" t="s">
        <v>1333</v>
      </c>
      <c r="F7757" t="s">
        <v>1431</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1408</v>
      </c>
    </row>
    <row r="7762" spans="1:5" x14ac:dyDescent="0.2">
      <c r="A7762">
        <v>7701</v>
      </c>
      <c r="B7762" s="138">
        <f>'Expenditures 15-22'!E6</f>
        <v>0</v>
      </c>
      <c r="D7762" s="2" t="str">
        <f t="shared" si="127"/>
        <v>Error?</v>
      </c>
      <c r="E7762" s="4" t="s">
        <v>1418</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1446</v>
      </c>
    </row>
    <row r="7765" spans="1:5" x14ac:dyDescent="0.2">
      <c r="A7765">
        <v>7704</v>
      </c>
      <c r="B7765" s="138">
        <f>'Revenues 9-14'!C254</f>
        <v>0</v>
      </c>
      <c r="D7765" s="2" t="str">
        <f t="shared" si="127"/>
        <v>Error?</v>
      </c>
      <c r="E7765" s="4" t="s">
        <v>1450</v>
      </c>
    </row>
    <row r="7766" spans="1:5" x14ac:dyDescent="0.2">
      <c r="A7766">
        <v>7705</v>
      </c>
      <c r="B7766" s="138">
        <f>'Revenues 9-14'!D254</f>
        <v>0</v>
      </c>
      <c r="D7766" s="2" t="str">
        <f t="shared" si="127"/>
        <v>Error?</v>
      </c>
      <c r="E7766" s="4" t="s">
        <v>1450</v>
      </c>
    </row>
    <row r="7767" spans="1:5" x14ac:dyDescent="0.2">
      <c r="A7767" s="129">
        <v>7706</v>
      </c>
      <c r="E7767" s="4"/>
    </row>
    <row r="7768" spans="1:5" x14ac:dyDescent="0.2">
      <c r="A7768">
        <v>7707</v>
      </c>
      <c r="B7768" s="138">
        <f>'Revenues 9-14'!F254</f>
        <v>0</v>
      </c>
      <c r="D7768" s="2" t="str">
        <f t="shared" si="127"/>
        <v>Error?</v>
      </c>
      <c r="E7768" s="4" t="s">
        <v>1450</v>
      </c>
    </row>
    <row r="7769" spans="1:5" x14ac:dyDescent="0.2">
      <c r="A7769">
        <v>7708</v>
      </c>
      <c r="B7769" s="138">
        <f>'Revenues 9-14'!G254</f>
        <v>0</v>
      </c>
      <c r="D7769" s="2" t="str">
        <f t="shared" si="127"/>
        <v>Error?</v>
      </c>
      <c r="E7769" s="4" t="s">
        <v>1450</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1451</v>
      </c>
    </row>
    <row r="7773" spans="1:5" x14ac:dyDescent="0.2">
      <c r="A7773">
        <v>7712</v>
      </c>
      <c r="B7773" s="138">
        <f>'Rest Tax Levies-Tort Im 25'!J22</f>
        <v>0</v>
      </c>
      <c r="D7773" s="2" t="str">
        <f t="shared" si="127"/>
        <v>Error?</v>
      </c>
      <c r="E7773" s="4" t="s">
        <v>1522</v>
      </c>
    </row>
    <row r="7774" spans="1:5" x14ac:dyDescent="0.2">
      <c r="A7774">
        <v>7713</v>
      </c>
      <c r="B7774" s="138">
        <f>'Expenditures 15-22'!E133</f>
        <v>0</v>
      </c>
      <c r="D7774" s="2" t="str">
        <f t="shared" si="127"/>
        <v>Error?</v>
      </c>
      <c r="E7774" s="4" t="s">
        <v>1819</v>
      </c>
    </row>
    <row r="7775" spans="1:5" x14ac:dyDescent="0.2">
      <c r="A7775">
        <v>7714</v>
      </c>
      <c r="B7775" s="138">
        <f>'Expenditures 15-22'!H133</f>
        <v>0</v>
      </c>
      <c r="D7775" s="2" t="str">
        <f t="shared" si="127"/>
        <v>Error?</v>
      </c>
      <c r="E7775" s="4" t="s">
        <v>1819</v>
      </c>
    </row>
    <row r="7776" spans="1:5" x14ac:dyDescent="0.2">
      <c r="A7776">
        <v>7715</v>
      </c>
      <c r="B7776" s="138">
        <f>'Expenditures 15-22'!K133</f>
        <v>0</v>
      </c>
      <c r="D7776" s="2" t="str">
        <f t="shared" si="127"/>
        <v>Error?</v>
      </c>
      <c r="E7776" s="4" t="s">
        <v>1819</v>
      </c>
    </row>
    <row r="7777" spans="1:5" x14ac:dyDescent="0.2">
      <c r="A7777">
        <v>7716</v>
      </c>
      <c r="B7777" s="138">
        <f>'Expenditures 15-22'!H157</f>
        <v>0</v>
      </c>
      <c r="D7777" s="2" t="str">
        <f t="shared" si="127"/>
        <v>Error?</v>
      </c>
      <c r="E7777" s="4" t="s">
        <v>1819</v>
      </c>
    </row>
    <row r="7778" spans="1:5" x14ac:dyDescent="0.2">
      <c r="A7778">
        <v>7717</v>
      </c>
      <c r="B7778" s="138">
        <f>'Expenditures 15-22'!K157</f>
        <v>0</v>
      </c>
      <c r="D7778" s="2" t="str">
        <f t="shared" si="127"/>
        <v>Error?</v>
      </c>
      <c r="E7778" s="4" t="s">
        <v>1819</v>
      </c>
    </row>
    <row r="7779" spans="1:5" x14ac:dyDescent="0.2">
      <c r="A7779">
        <v>7718</v>
      </c>
      <c r="B7779" s="138">
        <f>'Expenditures 15-22'!H158</f>
        <v>0</v>
      </c>
      <c r="D7779" s="2" t="str">
        <f t="shared" si="127"/>
        <v>Error?</v>
      </c>
      <c r="E7779" s="4" t="s">
        <v>1819</v>
      </c>
    </row>
    <row r="7780" spans="1:5" x14ac:dyDescent="0.2">
      <c r="A7780">
        <v>7719</v>
      </c>
      <c r="B7780" s="138">
        <f>'Expenditures 15-22'!K158</f>
        <v>0</v>
      </c>
      <c r="D7780" s="2" t="str">
        <f t="shared" si="127"/>
        <v>Error?</v>
      </c>
      <c r="E7780" s="4" t="s">
        <v>1819</v>
      </c>
    </row>
    <row r="7781" spans="1:5" x14ac:dyDescent="0.2">
      <c r="A7781">
        <v>7720</v>
      </c>
      <c r="B7781" s="138">
        <f>'Expenditures 15-22'!H159</f>
        <v>0</v>
      </c>
      <c r="D7781" s="2" t="str">
        <f t="shared" si="127"/>
        <v>Error?</v>
      </c>
      <c r="E7781" s="4" t="s">
        <v>1819</v>
      </c>
    </row>
    <row r="7782" spans="1:5" x14ac:dyDescent="0.2">
      <c r="A7782">
        <v>7721</v>
      </c>
      <c r="B7782" s="138">
        <f>'Expenditures 15-22'!K159</f>
        <v>0</v>
      </c>
      <c r="D7782" s="2" t="str">
        <f t="shared" si="127"/>
        <v>Error?</v>
      </c>
      <c r="E7782" s="4" t="s">
        <v>1819</v>
      </c>
    </row>
    <row r="7783" spans="1:5" x14ac:dyDescent="0.2">
      <c r="A7783">
        <v>7722</v>
      </c>
      <c r="B7783" s="138">
        <f>'Expenditures 15-22'!D282</f>
        <v>0</v>
      </c>
      <c r="D7783" s="2" t="str">
        <f t="shared" si="127"/>
        <v>Error?</v>
      </c>
      <c r="E7783" s="4" t="s">
        <v>1819</v>
      </c>
    </row>
    <row r="7784" spans="1:5" x14ac:dyDescent="0.2">
      <c r="A7784">
        <v>7723</v>
      </c>
      <c r="B7784" s="138">
        <f>'Expenditures 15-22'!K282</f>
        <v>0</v>
      </c>
      <c r="D7784" s="2" t="str">
        <f t="shared" si="127"/>
        <v>Error?</v>
      </c>
      <c r="E7784" s="4" t="s">
        <v>1819</v>
      </c>
    </row>
    <row r="7785" spans="1:5" x14ac:dyDescent="0.2">
      <c r="A7785">
        <v>7724</v>
      </c>
      <c r="B7785" s="138">
        <f>'Expenditures 15-22'!H332</f>
        <v>0</v>
      </c>
      <c r="D7785" s="2" t="str">
        <f t="shared" si="127"/>
        <v>Error?</v>
      </c>
      <c r="E7785" s="4" t="s">
        <v>1819</v>
      </c>
    </row>
    <row r="7786" spans="1:5" x14ac:dyDescent="0.2">
      <c r="A7786">
        <v>7725</v>
      </c>
      <c r="B7786" s="138">
        <f>'Expenditures 15-22'!K332</f>
        <v>0</v>
      </c>
      <c r="D7786" s="2" t="str">
        <f t="shared" si="127"/>
        <v>Error?</v>
      </c>
      <c r="E7786" s="4" t="s">
        <v>1819</v>
      </c>
    </row>
    <row r="7787" spans="1:5" x14ac:dyDescent="0.2">
      <c r="A7787">
        <v>7726</v>
      </c>
      <c r="B7787" s="138">
        <f>'Expenditures 15-22'!H333</f>
        <v>0</v>
      </c>
      <c r="D7787" s="2" t="str">
        <f t="shared" si="127"/>
        <v>Error?</v>
      </c>
      <c r="E7787" s="4" t="s">
        <v>1819</v>
      </c>
    </row>
    <row r="7788" spans="1:5" x14ac:dyDescent="0.2">
      <c r="A7788">
        <v>7727</v>
      </c>
      <c r="B7788" s="138">
        <f>'Expenditures 15-22'!K333</f>
        <v>0</v>
      </c>
      <c r="D7788" s="2" t="str">
        <f t="shared" si="127"/>
        <v>Error?</v>
      </c>
      <c r="E7788" s="4" t="s">
        <v>1819</v>
      </c>
    </row>
    <row r="7789" spans="1:5" x14ac:dyDescent="0.2">
      <c r="A7789">
        <v>7728</v>
      </c>
      <c r="B7789" s="138">
        <f>'Expenditures 15-22'!H334</f>
        <v>0</v>
      </c>
      <c r="D7789" s="2" t="str">
        <f t="shared" si="127"/>
        <v>Error?</v>
      </c>
      <c r="E7789" s="4" t="s">
        <v>1819</v>
      </c>
    </row>
    <row r="7790" spans="1:5" x14ac:dyDescent="0.2">
      <c r="A7790">
        <v>7729</v>
      </c>
      <c r="B7790" s="138">
        <f>'Expenditures 15-22'!K334</f>
        <v>0</v>
      </c>
      <c r="D7790" s="2" t="str">
        <f t="shared" si="127"/>
        <v>Error?</v>
      </c>
      <c r="E7790" s="4" t="s">
        <v>1819</v>
      </c>
    </row>
    <row r="7791" spans="1:5" x14ac:dyDescent="0.2">
      <c r="A7791">
        <v>7730</v>
      </c>
      <c r="B7791" s="138">
        <f>'Expenditures 15-22'!H354</f>
        <v>0</v>
      </c>
      <c r="D7791" s="2" t="str">
        <f t="shared" si="127"/>
        <v>Error?</v>
      </c>
      <c r="E7791" s="4" t="s">
        <v>1819</v>
      </c>
    </row>
    <row r="7792" spans="1:5" x14ac:dyDescent="0.2">
      <c r="A7792">
        <v>7731</v>
      </c>
      <c r="B7792" s="138">
        <f>'Expenditures 15-22'!K354</f>
        <v>0</v>
      </c>
      <c r="D7792" s="2" t="str">
        <f t="shared" si="127"/>
        <v>Error?</v>
      </c>
      <c r="E7792" s="4" t="s">
        <v>1819</v>
      </c>
    </row>
    <row r="7793" spans="1:5" x14ac:dyDescent="0.2">
      <c r="A7793">
        <v>7732</v>
      </c>
      <c r="B7793" s="138">
        <f>'Expenditures 15-22'!H355</f>
        <v>0</v>
      </c>
      <c r="D7793" s="2" t="str">
        <f t="shared" si="127"/>
        <v>Error?</v>
      </c>
      <c r="E7793" s="4" t="s">
        <v>1819</v>
      </c>
    </row>
    <row r="7794" spans="1:5" x14ac:dyDescent="0.2">
      <c r="A7794">
        <v>7733</v>
      </c>
      <c r="B7794" s="138">
        <f>'Expenditures 15-22'!K355</f>
        <v>0</v>
      </c>
      <c r="D7794" s="2" t="str">
        <f t="shared" si="127"/>
        <v>Error?</v>
      </c>
      <c r="E7794" s="4" t="s">
        <v>1819</v>
      </c>
    </row>
    <row r="7795" spans="1:5" x14ac:dyDescent="0.2">
      <c r="A7795">
        <v>7734</v>
      </c>
      <c r="B7795" s="138">
        <f>'Expenditures 15-22'!E138</f>
        <v>0</v>
      </c>
      <c r="D7795" s="2" t="str">
        <f t="shared" si="127"/>
        <v>Error?</v>
      </c>
      <c r="E7795" s="4" t="s">
        <v>1819</v>
      </c>
    </row>
    <row r="7796" spans="1:5" x14ac:dyDescent="0.2">
      <c r="A7796">
        <v>7735</v>
      </c>
      <c r="B7796" s="138">
        <f>'Acct Summary 7-8'!J15</f>
        <v>0</v>
      </c>
      <c r="D7796" s="2" t="str">
        <f t="shared" si="127"/>
        <v>Error?</v>
      </c>
      <c r="E7796" s="4" t="s">
        <v>1819</v>
      </c>
    </row>
    <row r="7797" spans="1:5" x14ac:dyDescent="0.2">
      <c r="A7797">
        <v>7736</v>
      </c>
      <c r="B7797" s="138">
        <f>'Contracts Paid in CY 29'!D141</f>
        <v>7354</v>
      </c>
      <c r="D7797" s="2" t="str">
        <f t="shared" si="127"/>
        <v>Error?</v>
      </c>
      <c r="E7797" s="4" t="s">
        <v>1868</v>
      </c>
    </row>
    <row r="7798" spans="1:5" x14ac:dyDescent="0.2">
      <c r="A7798">
        <v>7737</v>
      </c>
      <c r="B7798" s="138">
        <f>'Contracts Paid in CY 29'!F141</f>
        <v>7354</v>
      </c>
      <c r="D7798" s="2" t="str">
        <f t="shared" si="127"/>
        <v>Error?</v>
      </c>
      <c r="E7798" s="4" t="s">
        <v>1868</v>
      </c>
    </row>
    <row r="7799" spans="1:5" x14ac:dyDescent="0.2">
      <c r="A7799">
        <v>7738</v>
      </c>
      <c r="B7799" s="138">
        <f>'Contracts Paid in CY 29'!G141</f>
        <v>0</v>
      </c>
      <c r="D7799" s="2" t="str">
        <f t="shared" si="127"/>
        <v>Error?</v>
      </c>
      <c r="E7799" s="4" t="s">
        <v>1868</v>
      </c>
    </row>
    <row r="7800" spans="1:5" x14ac:dyDescent="0.2">
      <c r="A7800">
        <v>7739</v>
      </c>
      <c r="D7800" s="2" t="str">
        <f t="shared" si="127"/>
        <v>OK</v>
      </c>
    </row>
    <row r="7801" spans="1:5" x14ac:dyDescent="0.2">
      <c r="A7801">
        <v>7740</v>
      </c>
      <c r="B7801" s="138">
        <f>'Revenues 9-14'!C120</f>
        <v>0</v>
      </c>
      <c r="D7801" s="2" t="str">
        <f t="shared" si="127"/>
        <v>Error?</v>
      </c>
      <c r="E7801" s="4" t="s">
        <v>1903</v>
      </c>
    </row>
    <row r="7802" spans="1:5" x14ac:dyDescent="0.2">
      <c r="A7802">
        <v>7741</v>
      </c>
      <c r="B7802" s="138">
        <f>'Revenues 9-14'!D120</f>
        <v>0</v>
      </c>
      <c r="D7802" s="2" t="str">
        <f t="shared" si="127"/>
        <v>Error?</v>
      </c>
      <c r="E7802" s="4" t="s">
        <v>1903</v>
      </c>
    </row>
    <row r="7803" spans="1:5" x14ac:dyDescent="0.2">
      <c r="A7803">
        <v>7742</v>
      </c>
      <c r="B7803" s="138">
        <f>'Revenues 9-14'!E120</f>
        <v>0</v>
      </c>
      <c r="D7803" s="2" t="str">
        <f t="shared" si="127"/>
        <v>Error?</v>
      </c>
      <c r="E7803" s="4" t="s">
        <v>1903</v>
      </c>
    </row>
    <row r="7804" spans="1:5" x14ac:dyDescent="0.2">
      <c r="A7804">
        <v>7743</v>
      </c>
      <c r="B7804" s="138">
        <f>'Revenues 9-14'!F120</f>
        <v>0</v>
      </c>
      <c r="D7804" s="2" t="str">
        <f t="shared" si="127"/>
        <v>Error?</v>
      </c>
      <c r="E7804" s="4" t="s">
        <v>1903</v>
      </c>
    </row>
    <row r="7805" spans="1:5" x14ac:dyDescent="0.2">
      <c r="A7805">
        <v>7744</v>
      </c>
      <c r="B7805" s="138">
        <f>'Revenues 9-14'!G120</f>
        <v>0</v>
      </c>
      <c r="D7805" s="2" t="str">
        <f t="shared" si="127"/>
        <v>Error?</v>
      </c>
      <c r="E7805" s="4" t="s">
        <v>1903</v>
      </c>
    </row>
    <row r="7806" spans="1:5" x14ac:dyDescent="0.2">
      <c r="A7806">
        <v>7745</v>
      </c>
      <c r="B7806" s="138">
        <f>'Revenues 9-14'!H120</f>
        <v>0</v>
      </c>
      <c r="D7806" s="2" t="str">
        <f t="shared" si="127"/>
        <v>Error?</v>
      </c>
      <c r="E7806" s="4" t="s">
        <v>1903</v>
      </c>
    </row>
    <row r="7807" spans="1:5" x14ac:dyDescent="0.2">
      <c r="A7807">
        <v>7746</v>
      </c>
      <c r="B7807" s="138">
        <f>'Revenues 9-14'!J120</f>
        <v>0</v>
      </c>
      <c r="D7807" s="2" t="str">
        <f t="shared" ref="D7807:D7816" si="128">IF(ISBLANK(B7807),"OK",IF(A7807-B7807=0,"OK","Error?"))</f>
        <v>Error?</v>
      </c>
      <c r="E7807" s="4" t="s">
        <v>1903</v>
      </c>
    </row>
    <row r="7808" spans="1:5" x14ac:dyDescent="0.2">
      <c r="A7808">
        <v>7747</v>
      </c>
      <c r="B7808" s="138">
        <f>'Revenues 9-14'!K120</f>
        <v>0</v>
      </c>
      <c r="D7808" s="2" t="str">
        <f t="shared" si="128"/>
        <v>Error?</v>
      </c>
      <c r="E7808" s="4" t="s">
        <v>1903</v>
      </c>
    </row>
    <row r="7809" spans="1:5" x14ac:dyDescent="0.2">
      <c r="A7809">
        <v>7748</v>
      </c>
      <c r="B7809" s="138">
        <f>'Revenues 9-14'!C261</f>
        <v>0</v>
      </c>
      <c r="D7809" s="2" t="str">
        <f t="shared" si="128"/>
        <v>Error?</v>
      </c>
      <c r="E7809" s="4" t="s">
        <v>1904</v>
      </c>
    </row>
    <row r="7810" spans="1:5" x14ac:dyDescent="0.2">
      <c r="A7810">
        <v>7749</v>
      </c>
      <c r="B7810" s="138">
        <f>'Revenues 9-14'!D261</f>
        <v>0</v>
      </c>
      <c r="D7810" s="2" t="str">
        <f t="shared" si="128"/>
        <v>Error?</v>
      </c>
      <c r="E7810" s="4" t="s">
        <v>1904</v>
      </c>
    </row>
    <row r="7811" spans="1:5" x14ac:dyDescent="0.2">
      <c r="A7811">
        <v>7750</v>
      </c>
      <c r="B7811" s="138">
        <f>'Revenues 9-14'!F261</f>
        <v>0</v>
      </c>
      <c r="D7811" s="2" t="str">
        <f t="shared" si="128"/>
        <v>Error?</v>
      </c>
      <c r="E7811" s="4" t="s">
        <v>1904</v>
      </c>
    </row>
    <row r="7812" spans="1:5" x14ac:dyDescent="0.2">
      <c r="A7812">
        <v>7751</v>
      </c>
      <c r="B7812" s="138">
        <f>'Revenues 9-14'!G261</f>
        <v>0</v>
      </c>
      <c r="D7812" s="2" t="str">
        <f t="shared" si="128"/>
        <v>Error?</v>
      </c>
      <c r="E7812" s="4" t="s">
        <v>1904</v>
      </c>
    </row>
    <row r="7813" spans="1:5" x14ac:dyDescent="0.2">
      <c r="A7813">
        <v>7752</v>
      </c>
      <c r="B7813" s="138">
        <f>'Revenues 9-14'!C262</f>
        <v>0</v>
      </c>
      <c r="D7813" s="2" t="str">
        <f t="shared" si="128"/>
        <v>Error?</v>
      </c>
      <c r="E7813" s="4" t="s">
        <v>1905</v>
      </c>
    </row>
    <row r="7814" spans="1:5" x14ac:dyDescent="0.2">
      <c r="A7814">
        <v>7753</v>
      </c>
      <c r="B7814" s="138">
        <f>'Revenues 9-14'!D262</f>
        <v>0</v>
      </c>
      <c r="D7814" s="2" t="str">
        <f t="shared" si="128"/>
        <v>Error?</v>
      </c>
      <c r="E7814" s="4" t="s">
        <v>1905</v>
      </c>
    </row>
    <row r="7815" spans="1:5" x14ac:dyDescent="0.2">
      <c r="A7815">
        <v>7754</v>
      </c>
      <c r="B7815" s="138">
        <f>'Revenues 9-14'!F262</f>
        <v>0</v>
      </c>
      <c r="D7815" s="2" t="str">
        <f t="shared" si="128"/>
        <v>Error?</v>
      </c>
      <c r="E7815" s="4" t="s">
        <v>1905</v>
      </c>
    </row>
    <row r="7816" spans="1:5" x14ac:dyDescent="0.2">
      <c r="A7816">
        <v>7755</v>
      </c>
      <c r="B7816" s="138">
        <f>'Revenues 9-14'!G262</f>
        <v>0</v>
      </c>
      <c r="D7816" s="2" t="str">
        <f t="shared" si="128"/>
        <v>Error?</v>
      </c>
      <c r="E7816" s="4" t="s">
        <v>1905</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18" t="s">
        <v>1191</v>
      </c>
      <c r="B2" s="2318"/>
      <c r="C2" s="2318"/>
      <c r="D2" s="2318"/>
      <c r="E2" s="2318"/>
      <c r="F2" s="2318"/>
      <c r="G2" s="2318"/>
      <c r="H2" s="2318"/>
      <c r="I2" s="2318"/>
      <c r="J2" s="2318"/>
      <c r="K2" s="2318"/>
      <c r="L2" s="2318"/>
    </row>
    <row r="3" spans="1:29" ht="13.5" customHeight="1" x14ac:dyDescent="0.2">
      <c r="A3" s="2349" t="s">
        <v>1190</v>
      </c>
      <c r="B3" s="2349"/>
      <c r="C3" s="2349"/>
      <c r="D3" s="2349"/>
      <c r="E3" s="2349"/>
      <c r="F3" s="2349"/>
      <c r="G3" s="2349"/>
      <c r="H3" s="2349"/>
      <c r="I3" s="2349"/>
      <c r="J3" s="2349"/>
      <c r="K3" s="2349"/>
      <c r="L3" s="2349"/>
    </row>
    <row r="4" spans="1:29" ht="13.5" customHeight="1" x14ac:dyDescent="0.2">
      <c r="A4" s="2318" t="s">
        <v>1950</v>
      </c>
      <c r="B4" s="2339"/>
      <c r="C4" s="2339"/>
      <c r="D4" s="2339"/>
      <c r="E4" s="2339"/>
      <c r="F4" s="2339"/>
      <c r="G4" s="2339"/>
      <c r="H4" s="2339"/>
      <c r="I4" s="2339"/>
      <c r="J4" s="2339"/>
      <c r="K4" s="2339"/>
      <c r="L4" s="233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40" t="str">
        <f>COVER!A17</f>
        <v>MALDEN COMMUNITY CONSOLIDATED SCHOOL DISTRICT 84</v>
      </c>
      <c r="B7" s="2341"/>
      <c r="C7" s="2341"/>
      <c r="D7" s="2342"/>
      <c r="E7" s="2343">
        <f>COVER!A13</f>
        <v>28006084004</v>
      </c>
      <c r="F7" s="2344"/>
      <c r="G7" s="2350" t="str">
        <f>COVER!T23</f>
        <v>066-004501</v>
      </c>
      <c r="H7" s="2351"/>
      <c r="I7" s="2351"/>
      <c r="J7" s="2351"/>
      <c r="K7" s="2351"/>
      <c r="L7" s="2352"/>
    </row>
    <row r="8" spans="1:29" ht="13.5" customHeight="1" x14ac:dyDescent="0.2">
      <c r="A8" s="1184" t="s">
        <v>1503</v>
      </c>
      <c r="B8" s="1185"/>
      <c r="C8" s="1186"/>
      <c r="D8" s="1186"/>
      <c r="E8" s="1191"/>
      <c r="F8" s="1190"/>
      <c r="G8" s="1192" t="s">
        <v>1186</v>
      </c>
      <c r="H8" s="1193"/>
      <c r="I8" s="1193"/>
      <c r="J8" s="1193"/>
      <c r="K8" s="1193"/>
      <c r="L8" s="1194"/>
    </row>
    <row r="9" spans="1:29" ht="13.5" customHeight="1" x14ac:dyDescent="0.2">
      <c r="A9" s="2353"/>
      <c r="B9" s="2354"/>
      <c r="C9" s="2354"/>
      <c r="D9" s="2354"/>
      <c r="E9" s="2354"/>
      <c r="F9" s="2355"/>
      <c r="G9" s="2324" t="str">
        <f>COVER!T13</f>
        <v xml:space="preserve">HOPKINS &amp; ASSOCIATES, CPAS </v>
      </c>
      <c r="H9" s="2356"/>
      <c r="I9" s="2356"/>
      <c r="J9" s="2356"/>
      <c r="K9" s="2356"/>
      <c r="L9" s="2357"/>
    </row>
    <row r="10" spans="1:29" ht="13.5" customHeight="1" x14ac:dyDescent="0.2">
      <c r="A10" s="2330" t="str">
        <f>COVER!A38</f>
        <v xml:space="preserve">MIKE PATTERSON </v>
      </c>
      <c r="B10" s="2331"/>
      <c r="C10" s="2331"/>
      <c r="D10" s="2331"/>
      <c r="E10" s="2331"/>
      <c r="F10" s="2332"/>
      <c r="G10" s="2324" t="str">
        <f>COVER!T17</f>
        <v>314 S MCCOY STREET</v>
      </c>
      <c r="H10" s="2325"/>
      <c r="I10" s="2325"/>
      <c r="J10" s="2325"/>
      <c r="K10" s="2325"/>
      <c r="L10" s="2326"/>
    </row>
    <row r="11" spans="1:29" ht="13.5" customHeight="1" x14ac:dyDescent="0.2">
      <c r="A11" s="1184" t="s">
        <v>1505</v>
      </c>
      <c r="B11" s="1185"/>
      <c r="C11" s="1186"/>
      <c r="D11" s="1191"/>
      <c r="E11" s="1186"/>
      <c r="F11" s="1190"/>
      <c r="G11" s="2324" t="str">
        <f>COVER!T19</f>
        <v>GRANVILLE</v>
      </c>
      <c r="H11" s="2325"/>
      <c r="I11" s="2325"/>
      <c r="J11" s="2325"/>
      <c r="K11" s="2325"/>
      <c r="L11" s="2326"/>
    </row>
    <row r="12" spans="1:29" ht="13.5" customHeight="1" x14ac:dyDescent="0.2">
      <c r="A12" s="2333" t="s">
        <v>1504</v>
      </c>
      <c r="B12" s="2334"/>
      <c r="C12" s="2334"/>
      <c r="D12" s="2334"/>
      <c r="E12" s="2334"/>
      <c r="F12" s="2335"/>
      <c r="G12" s="2327"/>
      <c r="H12" s="2328"/>
      <c r="I12" s="2328"/>
      <c r="J12" s="2328"/>
      <c r="K12" s="2328"/>
      <c r="L12" s="2329"/>
    </row>
    <row r="13" spans="1:29" ht="13.5" customHeight="1" x14ac:dyDescent="0.2">
      <c r="A13" s="2324"/>
      <c r="B13" s="2325"/>
      <c r="C13" s="2325"/>
      <c r="D13" s="2325"/>
      <c r="E13" s="2325"/>
      <c r="F13" s="2326"/>
      <c r="G13" s="2319" t="s">
        <v>1506</v>
      </c>
      <c r="H13" s="2320"/>
      <c r="I13" s="2336" t="str">
        <f>COVER!T25</f>
        <v>JOEL@HOPKINSOFFICE.COM</v>
      </c>
      <c r="J13" s="2337"/>
      <c r="K13" s="2337"/>
      <c r="L13" s="2338"/>
    </row>
    <row r="14" spans="1:29" ht="13.5" customHeight="1" x14ac:dyDescent="0.2">
      <c r="A14" s="2324" t="str">
        <f>COVER!A19</f>
        <v>350 EAST STREET</v>
      </c>
      <c r="B14" s="2325"/>
      <c r="C14" s="2325"/>
      <c r="D14" s="2325"/>
      <c r="E14" s="2325"/>
      <c r="F14" s="2326"/>
      <c r="G14" s="1195" t="s">
        <v>1185</v>
      </c>
      <c r="H14" s="1193"/>
      <c r="I14" s="1193"/>
      <c r="J14" s="1193"/>
      <c r="K14" s="1193"/>
      <c r="L14" s="1194"/>
    </row>
    <row r="15" spans="1:29" ht="13.5" customHeight="1" x14ac:dyDescent="0.2">
      <c r="A15" s="2324" t="str">
        <f>COVER!A21</f>
        <v xml:space="preserve">MALDEN  </v>
      </c>
      <c r="B15" s="2325"/>
      <c r="C15" s="2325"/>
      <c r="D15" s="2325"/>
      <c r="E15" s="2325"/>
      <c r="F15" s="2326"/>
      <c r="G15" s="2321" t="str">
        <f>COVER!T15</f>
        <v xml:space="preserve">JOEL HOPKINS </v>
      </c>
      <c r="H15" s="2322"/>
      <c r="I15" s="2322"/>
      <c r="J15" s="2322"/>
      <c r="K15" s="2322"/>
      <c r="L15" s="2323"/>
    </row>
    <row r="16" spans="1:29" ht="12.2" customHeight="1" x14ac:dyDescent="0.2">
      <c r="A16" s="2346">
        <f>COVER!A25</f>
        <v>61337</v>
      </c>
      <c r="B16" s="2347"/>
      <c r="C16" s="2347"/>
      <c r="D16" s="2347"/>
      <c r="E16" s="2347"/>
      <c r="F16" s="2348"/>
      <c r="G16" s="2358"/>
      <c r="H16" s="2359"/>
      <c r="I16" s="2359"/>
      <c r="J16" s="2359"/>
      <c r="K16" s="2359"/>
      <c r="L16" s="2360"/>
    </row>
    <row r="17" spans="1:13" ht="12.2" customHeight="1" x14ac:dyDescent="0.2">
      <c r="A17" s="2361"/>
      <c r="B17" s="2347"/>
      <c r="C17" s="2347"/>
      <c r="D17" s="2347"/>
      <c r="E17" s="2347"/>
      <c r="F17" s="2348"/>
      <c r="G17" s="1195" t="s">
        <v>1184</v>
      </c>
      <c r="H17" s="1193"/>
      <c r="I17" s="1193"/>
      <c r="J17" s="1193"/>
      <c r="K17" s="1197" t="s">
        <v>1183</v>
      </c>
      <c r="L17" s="1190"/>
      <c r="M17" s="1183"/>
    </row>
    <row r="18" spans="1:13" ht="12.2" customHeight="1" x14ac:dyDescent="0.2">
      <c r="A18" s="2330"/>
      <c r="B18" s="2331"/>
      <c r="C18" s="2331"/>
      <c r="D18" s="2331"/>
      <c r="E18" s="2331"/>
      <c r="F18" s="2332"/>
      <c r="G18" s="2340" t="str">
        <f>COVER!T21</f>
        <v>815-339-6630</v>
      </c>
      <c r="H18" s="2341"/>
      <c r="I18" s="2341"/>
      <c r="J18" s="2341"/>
      <c r="K18" s="2340" t="str">
        <f>COVER!X21</f>
        <v>815-339-6643</v>
      </c>
      <c r="L18" s="234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1663</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1664</v>
      </c>
    </row>
    <row r="27" spans="1:13" s="1198" customFormat="1" ht="9" customHeight="1" x14ac:dyDescent="0.2">
      <c r="B27" s="1203"/>
      <c r="C27" s="1202"/>
    </row>
    <row r="28" spans="1:13" s="1198" customFormat="1" ht="12.2" customHeight="1" x14ac:dyDescent="0.2">
      <c r="A28" s="1205"/>
      <c r="B28" s="1201"/>
      <c r="C28" s="1202" t="s">
        <v>1665</v>
      </c>
    </row>
    <row r="29" spans="1:13" s="1198" customFormat="1" ht="9" customHeight="1" x14ac:dyDescent="0.2">
      <c r="A29" s="1205"/>
      <c r="B29" s="1203"/>
      <c r="C29" s="1202"/>
    </row>
    <row r="30" spans="1:13" s="1198" customFormat="1" ht="12.2" customHeight="1" x14ac:dyDescent="0.2">
      <c r="B30" s="1201"/>
      <c r="C30" s="1202" t="s">
        <v>1531</v>
      </c>
      <c r="D30" s="1196"/>
      <c r="E30" s="1196"/>
    </row>
    <row r="31" spans="1:13" s="1198" customFormat="1" ht="9" customHeight="1" x14ac:dyDescent="0.2">
      <c r="B31" s="1203"/>
      <c r="C31" s="1202"/>
      <c r="D31" s="1196"/>
      <c r="E31" s="1196"/>
    </row>
    <row r="32" spans="1:13" s="1198" customFormat="1" ht="12.2" customHeight="1" x14ac:dyDescent="0.2">
      <c r="B32" s="1201"/>
      <c r="C32" s="1202" t="s">
        <v>1532</v>
      </c>
      <c r="D32" s="1196"/>
      <c r="E32" s="1196"/>
    </row>
    <row r="33" spans="1:8" s="1198" customFormat="1" ht="10.9" customHeight="1" x14ac:dyDescent="0.2">
      <c r="B33" s="1203"/>
      <c r="C33" s="1206" t="s">
        <v>1666</v>
      </c>
      <c r="D33" s="1196"/>
      <c r="E33" s="1196"/>
    </row>
    <row r="34" spans="1:8" ht="9" customHeight="1" x14ac:dyDescent="0.2">
      <c r="B34" s="1203"/>
      <c r="C34" s="1206"/>
    </row>
    <row r="35" spans="1:8" s="1198" customFormat="1" ht="13.5" customHeight="1" x14ac:dyDescent="0.2">
      <c r="B35" s="1201"/>
      <c r="C35" s="1202" t="s">
        <v>1533</v>
      </c>
    </row>
    <row r="36" spans="1:8" s="1198" customFormat="1" ht="10.9" customHeight="1" x14ac:dyDescent="0.2">
      <c r="B36" s="1203"/>
      <c r="C36" s="1206" t="s">
        <v>1534</v>
      </c>
    </row>
    <row r="37" spans="1:8" ht="9" customHeight="1" x14ac:dyDescent="0.2">
      <c r="B37" s="1203"/>
      <c r="C37" s="1206"/>
    </row>
    <row r="38" spans="1:8" s="1198" customFormat="1" ht="12.2" customHeight="1" x14ac:dyDescent="0.2">
      <c r="B38" s="1201"/>
      <c r="C38" s="1202" t="s">
        <v>1535</v>
      </c>
    </row>
    <row r="39" spans="1:8" ht="9" customHeight="1" x14ac:dyDescent="0.2">
      <c r="B39" s="1203"/>
      <c r="C39" s="1206"/>
    </row>
    <row r="40" spans="1:8" s="1198" customFormat="1" ht="13.5" customHeight="1" x14ac:dyDescent="0.2">
      <c r="B40" s="1201"/>
      <c r="C40" s="1202" t="s">
        <v>1536</v>
      </c>
    </row>
    <row r="41" spans="1:8" ht="9" customHeight="1" x14ac:dyDescent="0.2">
      <c r="A41" s="1207"/>
      <c r="B41" s="1203"/>
      <c r="C41" s="1206"/>
    </row>
    <row r="42" spans="1:8" s="1198" customFormat="1" ht="13.5" customHeight="1" x14ac:dyDescent="0.2">
      <c r="B42" s="1201"/>
      <c r="C42" s="1202" t="s">
        <v>1801</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1537</v>
      </c>
      <c r="D46" s="1196"/>
      <c r="E46" s="1196"/>
      <c r="F46" s="1196"/>
      <c r="G46" s="1196"/>
      <c r="H46" s="1196"/>
    </row>
    <row r="47" spans="1:8" ht="9" customHeight="1" x14ac:dyDescent="0.2"/>
    <row r="48" spans="1:8" ht="12.2" customHeight="1" x14ac:dyDescent="0.2">
      <c r="B48" s="1896"/>
      <c r="C48" s="1210" t="s">
        <v>1538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362" t="str">
        <f>'Single Audit Cover'!A7</f>
        <v>MALDEN COMMUNITY CONSOLIDATED SCHOOL DISTRICT 84</v>
      </c>
      <c r="B1" s="2339"/>
      <c r="C1" s="2339"/>
      <c r="D1" s="2339"/>
    </row>
    <row r="2" spans="1:11" s="1212" customFormat="1" ht="12.75" x14ac:dyDescent="0.2">
      <c r="A2" s="2363">
        <f>'Single Audit Cover'!E7</f>
        <v>28006084004</v>
      </c>
      <c r="B2" s="2364"/>
      <c r="C2" s="2364"/>
      <c r="D2" s="2364"/>
    </row>
    <row r="3" spans="1:11" s="1212" customFormat="1" ht="12.75" x14ac:dyDescent="0.2">
      <c r="A3" s="2362" t="s">
        <v>1499</v>
      </c>
      <c r="B3" s="2339"/>
      <c r="C3" s="2339"/>
      <c r="D3" s="2339"/>
    </row>
    <row r="4" spans="1:11" s="1212" customFormat="1" ht="4.5" customHeight="1" x14ac:dyDescent="0.2">
      <c r="A4" s="1213"/>
      <c r="B4" s="1214"/>
      <c r="C4" s="1214"/>
      <c r="D4" s="1214"/>
    </row>
    <row r="5" spans="1:11" x14ac:dyDescent="0.2">
      <c r="B5" s="1216" t="s">
        <v>1500</v>
      </c>
      <c r="C5" s="1217"/>
      <c r="D5" s="1218"/>
    </row>
    <row r="6" spans="1:11" x14ac:dyDescent="0.2">
      <c r="B6" s="1216" t="s">
        <v>1225</v>
      </c>
      <c r="C6" s="1217"/>
      <c r="D6" s="1218"/>
    </row>
    <row r="7" spans="1:11" x14ac:dyDescent="0.2">
      <c r="B7" s="1216" t="s">
        <v>1501</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1667</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1668</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1669</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1670</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1691</v>
      </c>
      <c r="E24" s="1225"/>
      <c r="F24" s="1225"/>
      <c r="G24" s="1225"/>
      <c r="H24" s="1225"/>
      <c r="I24" s="1225"/>
      <c r="J24" s="1225"/>
      <c r="K24" s="1225"/>
    </row>
    <row r="25" spans="1:11" x14ac:dyDescent="0.2">
      <c r="A25" s="1219"/>
      <c r="B25" s="1228"/>
      <c r="D25" s="1227" t="s">
        <v>1671</v>
      </c>
      <c r="E25" s="1225"/>
      <c r="F25" s="1225"/>
      <c r="G25" s="1225"/>
      <c r="H25" s="1225"/>
      <c r="I25" s="1225"/>
      <c r="J25" s="1225"/>
      <c r="K25" s="1225"/>
    </row>
    <row r="26" spans="1:11" x14ac:dyDescent="0.2">
      <c r="A26" s="1219"/>
      <c r="B26" s="1228"/>
      <c r="D26" s="1232" t="s">
        <v>1672</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1539</v>
      </c>
      <c r="E28" s="1225"/>
      <c r="F28" s="1225"/>
      <c r="G28" s="1225"/>
      <c r="H28" s="1225"/>
      <c r="I28" s="1225"/>
      <c r="J28" s="1225"/>
      <c r="K28" s="1225"/>
    </row>
    <row r="29" spans="1:11" ht="10.5" customHeight="1" x14ac:dyDescent="0.2">
      <c r="A29" s="1219"/>
      <c r="D29" s="1233" t="s">
        <v>1540</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1541</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1541</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1542</v>
      </c>
    </row>
    <row r="41" spans="1:5" ht="3" customHeight="1" x14ac:dyDescent="0.2">
      <c r="A41" s="1219"/>
      <c r="B41" s="1236"/>
      <c r="C41" s="1237"/>
      <c r="D41" s="1218"/>
    </row>
    <row r="42" spans="1:5" ht="10.5" customHeight="1" x14ac:dyDescent="0.2">
      <c r="A42" s="1219"/>
      <c r="B42" s="1238"/>
      <c r="C42" s="1229">
        <v>11</v>
      </c>
      <c r="D42" s="1240" t="s">
        <v>1543</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1544</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1673</v>
      </c>
    </row>
    <row r="57" spans="1:4" ht="10.5" customHeight="1" x14ac:dyDescent="0.2">
      <c r="A57" s="1219"/>
      <c r="D57" s="1234" t="s">
        <v>1674</v>
      </c>
    </row>
    <row r="58" spans="1:4" x14ac:dyDescent="0.2">
      <c r="A58" s="1219"/>
      <c r="C58" s="1241"/>
      <c r="D58" s="1234" t="s">
        <v>1675</v>
      </c>
    </row>
    <row r="59" spans="1:4" ht="10.5" customHeight="1" x14ac:dyDescent="0.2">
      <c r="A59" s="1219"/>
      <c r="D59" s="1218" t="s">
        <v>1209</v>
      </c>
    </row>
    <row r="60" spans="1:4" ht="10.5" customHeight="1" x14ac:dyDescent="0.2">
      <c r="A60" s="1219"/>
      <c r="D60" s="1242" t="s">
        <v>1568</v>
      </c>
    </row>
    <row r="61" spans="1:4" ht="10.5" customHeight="1" x14ac:dyDescent="0.2">
      <c r="A61" s="1219"/>
      <c r="C61" s="1241"/>
      <c r="D61" s="1234" t="s">
        <v>1676</v>
      </c>
    </row>
    <row r="62" spans="1:4" ht="10.5" customHeight="1" x14ac:dyDescent="0.2">
      <c r="A62" s="1219"/>
      <c r="D62" s="1243" t="s">
        <v>1208</v>
      </c>
    </row>
    <row r="63" spans="1:4" ht="10.5" customHeight="1" x14ac:dyDescent="0.2">
      <c r="A63" s="1219"/>
      <c r="D63" s="1218" t="s">
        <v>1545</v>
      </c>
    </row>
    <row r="64" spans="1:4" ht="10.5" customHeight="1" x14ac:dyDescent="0.2">
      <c r="A64" s="1219"/>
      <c r="D64" s="1242" t="s">
        <v>1567</v>
      </c>
    </row>
    <row r="65" spans="1:4" x14ac:dyDescent="0.2">
      <c r="A65" s="1219"/>
      <c r="C65" s="1241"/>
      <c r="D65" s="1234" t="s">
        <v>1677</v>
      </c>
    </row>
    <row r="66" spans="1:4" ht="10.5" customHeight="1" x14ac:dyDescent="0.2">
      <c r="A66" s="1219"/>
      <c r="D66" s="1244" t="s">
        <v>1207</v>
      </c>
    </row>
    <row r="67" spans="1:4" ht="10.5" customHeight="1" x14ac:dyDescent="0.2">
      <c r="A67" s="1219"/>
      <c r="D67" s="1218" t="s">
        <v>1546</v>
      </c>
    </row>
    <row r="68" spans="1:4" ht="10.5" customHeight="1" x14ac:dyDescent="0.2">
      <c r="A68" s="1219"/>
      <c r="D68" s="1242" t="s">
        <v>1567</v>
      </c>
    </row>
    <row r="69" spans="1:4" ht="10.5" customHeight="1" x14ac:dyDescent="0.2">
      <c r="A69" s="1219"/>
      <c r="C69" s="1241"/>
      <c r="D69" s="1234" t="s">
        <v>1678</v>
      </c>
    </row>
    <row r="70" spans="1:4" x14ac:dyDescent="0.2">
      <c r="A70" s="1219"/>
      <c r="D70" s="1243" t="s">
        <v>1206</v>
      </c>
    </row>
    <row r="71" spans="1:4" ht="3" customHeight="1" x14ac:dyDescent="0.2">
      <c r="A71" s="1219"/>
      <c r="D71" s="1218"/>
    </row>
    <row r="72" spans="1:4" x14ac:dyDescent="0.2">
      <c r="A72" s="1219"/>
      <c r="B72" s="1222"/>
      <c r="C72" s="1223">
        <f>C56+1</f>
        <v>18</v>
      </c>
      <c r="D72" s="1244" t="s">
        <v>1679</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1680</v>
      </c>
    </row>
    <row r="77" spans="1:4" ht="3" customHeight="1" x14ac:dyDescent="0.2">
      <c r="A77" s="1219"/>
      <c r="B77" s="1226"/>
      <c r="C77" s="1223"/>
      <c r="D77" s="1245"/>
    </row>
    <row r="78" spans="1:4" x14ac:dyDescent="0.2">
      <c r="A78" s="1219"/>
      <c r="B78" s="1222"/>
      <c r="C78" s="1223">
        <f>C76+1</f>
        <v>21</v>
      </c>
      <c r="D78" s="1218" t="s">
        <v>1681</v>
      </c>
    </row>
    <row r="79" spans="1:4" ht="3" customHeight="1" x14ac:dyDescent="0.2">
      <c r="A79" s="1219"/>
      <c r="B79" s="1226"/>
      <c r="C79" s="1223"/>
      <c r="D79" s="1218"/>
    </row>
    <row r="80" spans="1:4" x14ac:dyDescent="0.2">
      <c r="A80" s="1219"/>
      <c r="B80" s="1222"/>
      <c r="C80" s="1223">
        <f>C78+1</f>
        <v>22</v>
      </c>
      <c r="D80" s="1246" t="s">
        <v>1682</v>
      </c>
    </row>
    <row r="81" spans="1:4" ht="3" customHeight="1" x14ac:dyDescent="0.2">
      <c r="A81" s="1219"/>
      <c r="B81" s="1226"/>
      <c r="C81" s="1223"/>
      <c r="D81" s="1246"/>
    </row>
    <row r="82" spans="1:4" x14ac:dyDescent="0.2">
      <c r="A82" s="1219"/>
      <c r="B82" s="1222"/>
      <c r="C82" s="1223">
        <f>C80+1</f>
        <v>23</v>
      </c>
      <c r="D82" s="1245" t="s">
        <v>1683</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1684</v>
      </c>
    </row>
    <row r="92" spans="1:4" x14ac:dyDescent="0.2">
      <c r="A92" s="1219"/>
      <c r="B92" s="1247"/>
      <c r="C92" s="1241"/>
      <c r="D92" s="1234" t="s">
        <v>1200</v>
      </c>
    </row>
    <row r="93" spans="1:4" ht="4.5" customHeight="1" x14ac:dyDescent="0.2">
      <c r="A93" s="1219"/>
      <c r="D93" s="1218"/>
    </row>
    <row r="94" spans="1:4" x14ac:dyDescent="0.2">
      <c r="A94" s="1219"/>
      <c r="B94" s="1220" t="s">
        <v>1547</v>
      </c>
      <c r="C94" s="1221"/>
      <c r="D94" s="1218"/>
    </row>
    <row r="95" spans="1:4" ht="4.5" customHeight="1" x14ac:dyDescent="0.2">
      <c r="A95" s="1219"/>
      <c r="B95" s="1220"/>
      <c r="C95" s="1221"/>
      <c r="D95" s="1218"/>
    </row>
    <row r="96" spans="1:4" x14ac:dyDescent="0.2">
      <c r="A96" s="1219"/>
      <c r="B96" s="1222"/>
      <c r="C96" s="1223">
        <f>C91+1</f>
        <v>28</v>
      </c>
      <c r="D96" s="1234" t="s">
        <v>1685</v>
      </c>
    </row>
    <row r="97" spans="1:4" ht="3" customHeight="1" x14ac:dyDescent="0.2">
      <c r="A97" s="1219"/>
      <c r="B97" s="1226"/>
      <c r="C97" s="1223"/>
      <c r="D97" s="1234"/>
    </row>
    <row r="98" spans="1:4" x14ac:dyDescent="0.2">
      <c r="A98" s="1219"/>
      <c r="B98" s="1222"/>
      <c r="C98" s="1223">
        <f>C96+1</f>
        <v>29</v>
      </c>
      <c r="D98" s="1248" t="s">
        <v>1686</v>
      </c>
    </row>
    <row r="99" spans="1:4" ht="3" customHeight="1" x14ac:dyDescent="0.2">
      <c r="A99" s="1219"/>
      <c r="B99" s="1226"/>
      <c r="C99" s="1223"/>
      <c r="D99" s="1248"/>
    </row>
    <row r="100" spans="1:4" x14ac:dyDescent="0.2">
      <c r="A100" s="1219"/>
      <c r="B100" s="1222"/>
      <c r="C100" s="1223">
        <f>C98+1</f>
        <v>30</v>
      </c>
      <c r="D100" s="1234" t="s">
        <v>1687</v>
      </c>
    </row>
    <row r="101" spans="1:4" ht="3" customHeight="1" x14ac:dyDescent="0.2">
      <c r="A101" s="1219"/>
      <c r="B101" s="1226"/>
      <c r="C101" s="1223"/>
      <c r="D101" s="1249"/>
    </row>
    <row r="102" spans="1:4" x14ac:dyDescent="0.2">
      <c r="A102" s="1219"/>
      <c r="B102" s="1222"/>
      <c r="C102" s="1223">
        <f>C100+1</f>
        <v>31</v>
      </c>
      <c r="D102" s="1234" t="s">
        <v>1548</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1549</v>
      </c>
    </row>
    <row r="107" spans="1:4" ht="3" customHeight="1" x14ac:dyDescent="0.2">
      <c r="A107" s="1219"/>
      <c r="B107" s="1226"/>
      <c r="C107" s="1223"/>
      <c r="D107" s="1218"/>
    </row>
    <row r="108" spans="1:4" x14ac:dyDescent="0.2">
      <c r="A108" s="1219"/>
      <c r="B108" s="1222"/>
      <c r="C108" s="1223">
        <v>33</v>
      </c>
      <c r="D108" s="1218" t="s">
        <v>1688</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1689</v>
      </c>
    </row>
    <row r="118" spans="1:4" ht="3" customHeight="1" x14ac:dyDescent="0.2">
      <c r="A118" s="1219"/>
      <c r="B118" s="1226"/>
      <c r="C118" s="1223"/>
      <c r="D118" s="1234"/>
    </row>
    <row r="119" spans="1:4" x14ac:dyDescent="0.2">
      <c r="A119" s="1219"/>
      <c r="B119" s="1222"/>
      <c r="C119" s="1223">
        <f>C117+1</f>
        <v>38</v>
      </c>
      <c r="D119" s="1234" t="s">
        <v>1690</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1802</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366" t="str">
        <f>'Single Audit Cover'!A7</f>
        <v>MALDEN COMMUNITY CONSOLIDATED SCHOOL DISTRICT 84</v>
      </c>
      <c r="B1" s="2366"/>
      <c r="C1" s="2366"/>
      <c r="D1" s="2366"/>
      <c r="E1" s="2366"/>
    </row>
    <row r="2" spans="1:5" x14ac:dyDescent="0.2">
      <c r="A2" s="2367">
        <f>'Single Audit Cover'!E7</f>
        <v>28006084004</v>
      </c>
      <c r="B2" s="2367"/>
      <c r="C2" s="2367"/>
      <c r="D2" s="2367"/>
      <c r="E2" s="2367"/>
    </row>
    <row r="3" spans="1:5" ht="4.5" customHeight="1" x14ac:dyDescent="0.2"/>
    <row r="4" spans="1:5" x14ac:dyDescent="0.2">
      <c r="A4" s="2366" t="s">
        <v>1245</v>
      </c>
      <c r="B4" s="2366"/>
      <c r="C4" s="2366"/>
      <c r="D4" s="2366"/>
      <c r="E4" s="2366"/>
    </row>
    <row r="5" spans="1:5" x14ac:dyDescent="0.2">
      <c r="A5" s="2369" t="str">
        <f>'Single Audit Cover'!A4</f>
        <v>Year Ending June 30, 2019</v>
      </c>
      <c r="B5" s="2369"/>
      <c r="C5" s="2369"/>
      <c r="D5" s="2369"/>
      <c r="E5" s="2369"/>
    </row>
    <row r="6" spans="1:5" x14ac:dyDescent="0.2">
      <c r="A6" s="2366" t="s">
        <v>1244</v>
      </c>
      <c r="B6" s="2366"/>
      <c r="C6" s="2366"/>
      <c r="D6" s="2366"/>
      <c r="E6" s="2366"/>
    </row>
    <row r="8" spans="1:5" x14ac:dyDescent="0.2">
      <c r="A8" s="1257" t="s">
        <v>1243</v>
      </c>
    </row>
    <row r="10" spans="1:5" x14ac:dyDescent="0.2">
      <c r="A10" s="1258" t="s">
        <v>1242</v>
      </c>
      <c r="B10" s="1259" t="s">
        <v>1241</v>
      </c>
      <c r="C10" s="1259"/>
      <c r="D10" s="1260">
        <f>SUM('Acct Summary 7-8'!C7:K7)</f>
        <v>96763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1692</v>
      </c>
      <c r="B14" s="1259"/>
      <c r="C14" s="1259"/>
      <c r="D14" s="1261">
        <f>'ICR Computation 30'!E11</f>
        <v>1901</v>
      </c>
    </row>
    <row r="15" spans="1:5" x14ac:dyDescent="0.2">
      <c r="A15" s="1258"/>
      <c r="B15" s="1259"/>
      <c r="C15" s="1259"/>
    </row>
    <row r="16" spans="1:5" x14ac:dyDescent="0.2">
      <c r="A16" s="1258" t="s">
        <v>1808</v>
      </c>
      <c r="B16" s="1259"/>
      <c r="C16" s="1259"/>
    </row>
    <row r="17" spans="1:4" x14ac:dyDescent="0.2">
      <c r="A17" s="1258" t="s">
        <v>2022</v>
      </c>
      <c r="B17" s="1259" t="s">
        <v>1236</v>
      </c>
      <c r="C17" s="1259"/>
      <c r="D17" s="1261">
        <f>-SUM('Revenues 9-14'!C264:D264,'Revenues 9-14'!F264:G264)</f>
        <v>-6975</v>
      </c>
    </row>
    <row r="19" spans="1:4" ht="13.5" thickBot="1" x14ac:dyDescent="0.25">
      <c r="A19" s="1262" t="s">
        <v>1235</v>
      </c>
      <c r="D19" s="1263">
        <f>SUM(D10:D17)</f>
        <v>91689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368"/>
      <c r="B24" s="2368"/>
      <c r="D24" s="1265"/>
    </row>
    <row r="25" spans="1:4" x14ac:dyDescent="0.2">
      <c r="A25" s="2365"/>
      <c r="B25" s="2365"/>
      <c r="D25" s="1265"/>
    </row>
    <row r="26" spans="1:4" x14ac:dyDescent="0.2">
      <c r="A26" s="2365"/>
      <c r="B26" s="2365"/>
      <c r="D26" s="1265"/>
    </row>
    <row r="27" spans="1:4" x14ac:dyDescent="0.2">
      <c r="A27" s="2365"/>
      <c r="B27" s="2365"/>
      <c r="D27" s="1265"/>
    </row>
    <row r="28" spans="1:4" x14ac:dyDescent="0.2">
      <c r="A28" s="2365"/>
      <c r="B28" s="2365"/>
      <c r="D28" s="1265"/>
    </row>
    <row r="29" spans="1:4" x14ac:dyDescent="0.2">
      <c r="A29" s="2365"/>
      <c r="B29" s="2365"/>
      <c r="D29" s="1265"/>
    </row>
    <row r="30" spans="1:4" x14ac:dyDescent="0.2">
      <c r="A30" s="2365"/>
      <c r="B30" s="2365"/>
      <c r="D30" s="1265"/>
    </row>
    <row r="32" spans="1:4" x14ac:dyDescent="0.2">
      <c r="A32" s="1257" t="s">
        <v>1233</v>
      </c>
      <c r="D32" s="1260">
        <f>SUM(D19:D30)</f>
        <v>91689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365"/>
      <c r="B40" s="2365"/>
      <c r="D40" s="1265"/>
    </row>
    <row r="41" spans="1:4" x14ac:dyDescent="0.2">
      <c r="A41" s="2365"/>
      <c r="B41" s="2365"/>
      <c r="D41" s="1268"/>
    </row>
    <row r="42" spans="1:4" x14ac:dyDescent="0.2">
      <c r="A42" s="2365"/>
      <c r="B42" s="2365"/>
      <c r="D42" s="1268"/>
    </row>
    <row r="43" spans="1:4" x14ac:dyDescent="0.2">
      <c r="A43" s="2365"/>
      <c r="B43" s="2365"/>
      <c r="D43" s="1268"/>
    </row>
    <row r="44" spans="1:4" x14ac:dyDescent="0.2">
      <c r="A44" s="2365"/>
      <c r="B44" s="2365"/>
      <c r="D44" s="1268"/>
    </row>
    <row r="45" spans="1:4" x14ac:dyDescent="0.2">
      <c r="A45" s="2365"/>
      <c r="B45" s="2365"/>
      <c r="D45" s="1268"/>
    </row>
    <row r="47" spans="1:4" x14ac:dyDescent="0.2">
      <c r="B47" s="1269" t="s">
        <v>1227</v>
      </c>
      <c r="C47" s="1269"/>
      <c r="D47" s="1270">
        <f>SUM(D35:D45)</f>
        <v>0</v>
      </c>
    </row>
    <row r="49" spans="2:4" x14ac:dyDescent="0.2">
      <c r="B49" s="1269" t="s">
        <v>1226</v>
      </c>
      <c r="C49" s="1269"/>
      <c r="D49" s="1270">
        <f>D32-D47</f>
        <v>91689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49" t="str">
        <f>'Single Audit Cover'!A7</f>
        <v>MALDEN COMMUNITY CONSOLIDATED SCHOOL DISTRICT 84</v>
      </c>
      <c r="C1" s="2370"/>
      <c r="D1" s="2370"/>
      <c r="E1" s="2370"/>
      <c r="F1" s="2370"/>
      <c r="G1" s="2370"/>
      <c r="H1" s="2370"/>
      <c r="I1" s="2370"/>
      <c r="J1" s="2370"/>
      <c r="K1" s="2370"/>
      <c r="L1" s="2370"/>
      <c r="M1" s="2370"/>
    </row>
    <row r="2" spans="2:14" ht="15" x14ac:dyDescent="0.2">
      <c r="B2" s="2371">
        <f>'Single Audit Cover'!E7</f>
        <v>28006084004</v>
      </c>
      <c r="C2" s="2371"/>
      <c r="D2" s="2371"/>
      <c r="E2" s="2371"/>
      <c r="F2" s="2371"/>
      <c r="G2" s="2371"/>
      <c r="H2" s="2371"/>
      <c r="I2" s="2371"/>
      <c r="J2" s="2371"/>
      <c r="K2" s="2371"/>
      <c r="L2" s="2371"/>
      <c r="M2" s="2371"/>
      <c r="N2" s="1299"/>
    </row>
    <row r="3" spans="2:14" ht="15" x14ac:dyDescent="0.2">
      <c r="B3" s="2372" t="s">
        <v>1219</v>
      </c>
      <c r="C3" s="2372"/>
      <c r="D3" s="2372"/>
      <c r="E3" s="2372"/>
      <c r="F3" s="2372"/>
      <c r="G3" s="2372"/>
      <c r="H3" s="2372"/>
      <c r="I3" s="2372"/>
      <c r="J3" s="2372"/>
      <c r="K3" s="2372"/>
      <c r="L3" s="2372"/>
      <c r="M3" s="2372"/>
      <c r="N3" s="1299"/>
    </row>
    <row r="4" spans="2:14" ht="15" x14ac:dyDescent="0.2">
      <c r="B4" s="2373" t="str">
        <f>'Single Audit Cover'!A4</f>
        <v>Year Ending June 30, 2019</v>
      </c>
      <c r="C4" s="2373"/>
      <c r="D4" s="2373"/>
      <c r="E4" s="2373"/>
      <c r="F4" s="2373"/>
      <c r="G4" s="2373"/>
      <c r="H4" s="2373"/>
      <c r="I4" s="2373"/>
      <c r="J4" s="2373"/>
      <c r="K4" s="2373"/>
      <c r="L4" s="2373"/>
      <c r="M4" s="2373"/>
      <c r="N4" s="1299"/>
    </row>
    <row r="6" spans="2:14" x14ac:dyDescent="0.2">
      <c r="B6" s="1300"/>
      <c r="C6" s="1301"/>
      <c r="D6" s="1302" t="s">
        <v>1265</v>
      </c>
      <c r="E6" s="1303" t="s">
        <v>527</v>
      </c>
      <c r="F6" s="1304"/>
      <c r="G6" s="1305" t="s">
        <v>1699</v>
      </c>
      <c r="H6" s="1303"/>
      <c r="I6" s="1303"/>
      <c r="J6" s="1303"/>
      <c r="K6" s="1306"/>
      <c r="L6" s="1307"/>
      <c r="M6" s="1308"/>
    </row>
    <row r="7" spans="2:14" x14ac:dyDescent="0.2">
      <c r="B7" s="1309" t="s">
        <v>1550</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1804</v>
      </c>
      <c r="I8" s="1316" t="s">
        <v>1262</v>
      </c>
      <c r="J8" s="1315" t="s">
        <v>1951</v>
      </c>
      <c r="K8" s="1316" t="s">
        <v>1261</v>
      </c>
      <c r="L8" s="1317" t="s">
        <v>1257</v>
      </c>
      <c r="M8" s="1318" t="s">
        <v>30</v>
      </c>
    </row>
    <row r="9" spans="2:14" ht="14.25" x14ac:dyDescent="0.2">
      <c r="B9" s="1322" t="s">
        <v>1259</v>
      </c>
      <c r="C9" s="1310" t="s">
        <v>1700</v>
      </c>
      <c r="D9" s="1311" t="s">
        <v>1701</v>
      </c>
      <c r="E9" s="1319" t="s">
        <v>1804</v>
      </c>
      <c r="F9" s="1320" t="s">
        <v>1951</v>
      </c>
      <c r="G9" s="1321" t="s">
        <v>1804</v>
      </c>
      <c r="H9" s="1314" t="s">
        <v>1551</v>
      </c>
      <c r="I9" s="1316" t="s">
        <v>1951</v>
      </c>
      <c r="J9" s="1315" t="s">
        <v>1551</v>
      </c>
      <c r="K9" s="1316" t="s">
        <v>1258</v>
      </c>
      <c r="L9" s="1323" t="s">
        <v>1552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1702</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1805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1703</v>
      </c>
      <c r="C37" s="1362"/>
      <c r="D37" s="1362"/>
      <c r="E37" s="1362"/>
      <c r="F37" s="1362"/>
      <c r="G37" s="1362"/>
      <c r="H37" s="1362"/>
      <c r="I37" s="1363"/>
      <c r="J37" s="1363"/>
      <c r="K37" s="1363"/>
      <c r="L37" s="1363"/>
      <c r="M37" s="1363"/>
    </row>
    <row r="38" spans="2:13" ht="11.25" customHeight="1" x14ac:dyDescent="0.2">
      <c r="B38" s="1364" t="s">
        <v>1553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1704</v>
      </c>
      <c r="C40" s="1363"/>
      <c r="D40" s="1363"/>
      <c r="E40" s="1363"/>
      <c r="F40" s="1363"/>
      <c r="G40" s="1363"/>
      <c r="H40" s="1363"/>
      <c r="I40" s="1363"/>
      <c r="J40" s="1363"/>
      <c r="K40" s="1363"/>
      <c r="L40" s="1363"/>
      <c r="M40" s="1363"/>
    </row>
    <row r="41" spans="2:13" ht="11.25" customHeight="1" x14ac:dyDescent="0.2">
      <c r="B41" s="1297" t="s">
        <v>1554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1705</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1706</v>
      </c>
      <c r="C45" s="1365"/>
      <c r="D45" s="1366"/>
      <c r="E45" s="1297"/>
      <c r="F45" s="1297"/>
      <c r="G45" s="1297"/>
      <c r="H45" s="1297"/>
      <c r="I45" s="1297"/>
      <c r="J45" s="1297"/>
      <c r="K45" s="1367"/>
      <c r="L45" s="1367"/>
      <c r="M45" s="1297"/>
    </row>
    <row r="46" spans="2:13" ht="11.25" customHeight="1" x14ac:dyDescent="0.2">
      <c r="B46" s="1297" t="s">
        <v>1555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383" t="str">
        <f>'Single Audit Cover'!A7</f>
        <v>MALDEN COMMUNITY CONSOLIDATED SCHOOL DISTRICT 84</v>
      </c>
      <c r="B1" s="2383"/>
      <c r="C1" s="2383"/>
      <c r="D1" s="2383"/>
      <c r="E1" s="2383"/>
      <c r="F1" s="2383"/>
    </row>
    <row r="2" spans="1:7" ht="13.5" customHeight="1" x14ac:dyDescent="0.2">
      <c r="A2" s="2371">
        <f>'Single Audit Cover'!E7</f>
        <v>28006084004</v>
      </c>
      <c r="B2" s="2371"/>
      <c r="C2" s="2371"/>
      <c r="D2" s="2371"/>
      <c r="E2" s="2371"/>
      <c r="F2" s="2371"/>
      <c r="G2" s="1272"/>
    </row>
    <row r="3" spans="1:7" ht="15.75" customHeight="1" x14ac:dyDescent="0.2">
      <c r="A3" s="2384" t="s">
        <v>1271</v>
      </c>
      <c r="B3" s="2384"/>
      <c r="C3" s="2384"/>
      <c r="D3" s="2384"/>
      <c r="E3" s="2384"/>
      <c r="F3" s="2384"/>
    </row>
    <row r="4" spans="1:7" ht="13.5" customHeight="1" x14ac:dyDescent="0.2">
      <c r="A4" s="2385" t="str">
        <f>'Single Audit Cover'!A4</f>
        <v>Year Ending June 30, 2019</v>
      </c>
      <c r="B4" s="2385"/>
      <c r="C4" s="2385"/>
      <c r="D4" s="2385"/>
      <c r="E4" s="2385"/>
      <c r="F4" s="2385"/>
    </row>
    <row r="5" spans="1:7" ht="8.25" customHeight="1" x14ac:dyDescent="0.2">
      <c r="C5" s="317"/>
      <c r="D5" s="317"/>
    </row>
    <row r="6" spans="1:7" ht="13.5" customHeight="1" x14ac:dyDescent="0.2">
      <c r="A6" s="1273" t="s">
        <v>1693</v>
      </c>
      <c r="C6" s="317"/>
      <c r="D6" s="317"/>
    </row>
    <row r="7" spans="1:7" ht="60.95" customHeight="1" x14ac:dyDescent="0.2">
      <c r="A7" s="2382" t="s">
        <v>1694</v>
      </c>
      <c r="B7" s="2382"/>
      <c r="C7" s="2382"/>
      <c r="D7" s="2382"/>
      <c r="E7" s="2382"/>
      <c r="F7" s="2382"/>
    </row>
    <row r="8" spans="1:7" ht="12" customHeight="1" x14ac:dyDescent="0.2">
      <c r="A8" s="1273"/>
      <c r="B8" s="1279"/>
      <c r="C8" s="1279"/>
      <c r="D8" s="1279"/>
    </row>
    <row r="9" spans="1:7" ht="15" customHeight="1" x14ac:dyDescent="0.2">
      <c r="A9" s="1274" t="s">
        <v>1695</v>
      </c>
      <c r="B9" s="1277"/>
      <c r="C9" s="1277"/>
      <c r="D9" s="1277"/>
      <c r="E9" s="1275"/>
      <c r="F9" s="1275"/>
      <c r="G9" s="1275"/>
    </row>
    <row r="10" spans="1:7" ht="15" customHeight="1" x14ac:dyDescent="0.2">
      <c r="A10" s="1276" t="s">
        <v>1516</v>
      </c>
      <c r="B10" s="1277"/>
      <c r="C10" s="1278"/>
      <c r="D10" s="1277" t="s">
        <v>1517</v>
      </c>
      <c r="E10" s="1278"/>
      <c r="F10" s="1277" t="s">
        <v>99</v>
      </c>
      <c r="G10" s="1275"/>
    </row>
    <row r="11" spans="1:7" ht="12" customHeight="1" x14ac:dyDescent="0.2">
      <c r="A11" s="1276"/>
      <c r="B11" s="1277"/>
      <c r="C11" s="1862"/>
      <c r="D11" s="1277"/>
      <c r="E11" s="1862"/>
      <c r="F11" s="1277"/>
      <c r="G11" s="1275"/>
    </row>
    <row r="12" spans="1:7" x14ac:dyDescent="0.2">
      <c r="A12" s="1273" t="s">
        <v>1556</v>
      </c>
      <c r="C12" s="1257"/>
      <c r="D12" s="1257"/>
    </row>
    <row r="13" spans="1:7" ht="15" customHeight="1" x14ac:dyDescent="0.2">
      <c r="A13" s="2382" t="s">
        <v>1696</v>
      </c>
      <c r="B13" s="2382"/>
      <c r="C13" s="2382"/>
      <c r="D13" s="2382"/>
      <c r="E13" s="2382"/>
      <c r="F13" s="2382"/>
    </row>
    <row r="14" spans="1:7" ht="9.75" customHeight="1" x14ac:dyDescent="0.2">
      <c r="C14" s="1257"/>
      <c r="D14" s="1257"/>
    </row>
    <row r="15" spans="1:7" ht="13.5" customHeight="1" x14ac:dyDescent="0.2">
      <c r="C15" s="1846" t="s">
        <v>1270</v>
      </c>
      <c r="D15" s="2380" t="s">
        <v>1269</v>
      </c>
      <c r="E15" s="2380"/>
      <c r="F15" s="2380"/>
    </row>
    <row r="16" spans="1:7" ht="13.5" customHeight="1" x14ac:dyDescent="0.2">
      <c r="A16" s="1279"/>
      <c r="B16" s="1273" t="s">
        <v>1268</v>
      </c>
      <c r="C16" s="1846" t="s">
        <v>1267</v>
      </c>
      <c r="D16" s="2381" t="s">
        <v>1557</v>
      </c>
      <c r="E16" s="2381"/>
      <c r="F16" s="2381"/>
    </row>
    <row r="17" spans="1:6" ht="20.45" customHeight="1" x14ac:dyDescent="0.2">
      <c r="A17" s="1280"/>
      <c r="B17" s="1281"/>
      <c r="C17" s="1282"/>
      <c r="D17" s="2375"/>
      <c r="E17" s="2375"/>
      <c r="F17" s="2375"/>
    </row>
    <row r="18" spans="1:6" ht="20.65" customHeight="1" x14ac:dyDescent="0.2">
      <c r="A18" s="1280"/>
      <c r="B18" s="1281"/>
      <c r="C18" s="1282"/>
      <c r="D18" s="2375"/>
      <c r="E18" s="2375"/>
      <c r="F18" s="2375"/>
    </row>
    <row r="19" spans="1:6" ht="20.65" customHeight="1" x14ac:dyDescent="0.2">
      <c r="A19" s="1280"/>
      <c r="B19" s="1281"/>
      <c r="C19" s="1282"/>
      <c r="D19" s="2375"/>
      <c r="E19" s="2375"/>
      <c r="F19" s="2375"/>
    </row>
    <row r="20" spans="1:6" ht="20.65" customHeight="1" x14ac:dyDescent="0.2">
      <c r="A20" s="1280"/>
      <c r="B20" s="1281"/>
      <c r="C20" s="1282"/>
      <c r="D20" s="2375"/>
      <c r="E20" s="2375"/>
      <c r="F20" s="2375"/>
    </row>
    <row r="21" spans="1:6" ht="20.65" customHeight="1" x14ac:dyDescent="0.2">
      <c r="A21" s="1280"/>
      <c r="B21" s="1281"/>
      <c r="C21" s="1282"/>
      <c r="D21" s="2375"/>
      <c r="E21" s="2375"/>
      <c r="F21" s="2375"/>
    </row>
    <row r="22" spans="1:6" ht="20.65" customHeight="1" x14ac:dyDescent="0.2">
      <c r="A22" s="1280"/>
      <c r="B22" s="1281"/>
      <c r="C22" s="1282"/>
      <c r="D22" s="2375"/>
      <c r="E22" s="2375"/>
      <c r="F22" s="2375"/>
    </row>
    <row r="23" spans="1:6" ht="20.65" customHeight="1" x14ac:dyDescent="0.2">
      <c r="A23" s="1280"/>
      <c r="B23" s="1281"/>
      <c r="C23" s="1282"/>
      <c r="D23" s="2375"/>
      <c r="E23" s="2375"/>
      <c r="F23" s="2375"/>
    </row>
    <row r="24" spans="1:6" ht="20.65" customHeight="1" x14ac:dyDescent="0.2">
      <c r="A24" s="1280"/>
      <c r="B24" s="1281"/>
      <c r="C24" s="1282"/>
      <c r="D24" s="2375"/>
      <c r="E24" s="2375"/>
      <c r="F24" s="2375"/>
    </row>
    <row r="25" spans="1:6" ht="20.65" customHeight="1" x14ac:dyDescent="0.2">
      <c r="A25" s="1280"/>
      <c r="B25" s="1281"/>
      <c r="C25" s="1282"/>
      <c r="D25" s="2375"/>
      <c r="E25" s="2375"/>
      <c r="F25" s="2375"/>
    </row>
    <row r="26" spans="1:6" ht="20.65" customHeight="1" x14ac:dyDescent="0.2">
      <c r="A26" s="1280"/>
      <c r="B26" s="1281"/>
      <c r="C26" s="1282"/>
      <c r="D26" s="2375"/>
      <c r="E26" s="2375"/>
      <c r="F26" s="2375"/>
    </row>
    <row r="27" spans="1:6" ht="20.65" customHeight="1" x14ac:dyDescent="0.2">
      <c r="A27" s="1280"/>
      <c r="B27" s="1281"/>
      <c r="C27" s="1282"/>
      <c r="D27" s="2375"/>
      <c r="E27" s="2375"/>
      <c r="F27" s="2375"/>
    </row>
    <row r="28" spans="1:6" ht="20.65" customHeight="1" x14ac:dyDescent="0.2">
      <c r="A28" s="1280"/>
      <c r="B28" s="1281"/>
      <c r="C28" s="1282"/>
      <c r="D28" s="2375"/>
      <c r="E28" s="2375"/>
      <c r="F28" s="2375"/>
    </row>
    <row r="29" spans="1:6" ht="20.65" customHeight="1" x14ac:dyDescent="0.2">
      <c r="A29" s="1280"/>
      <c r="B29" s="1281"/>
      <c r="C29" s="1282"/>
      <c r="D29" s="2375"/>
      <c r="E29" s="2375"/>
      <c r="F29" s="2375"/>
    </row>
    <row r="30" spans="1:6" ht="12" customHeight="1" x14ac:dyDescent="0.2">
      <c r="A30" s="328"/>
      <c r="B30" s="328"/>
      <c r="C30" s="1462"/>
      <c r="D30" s="1863"/>
      <c r="E30" s="1283"/>
    </row>
    <row r="31" spans="1:6" ht="12" customHeight="1" x14ac:dyDescent="0.2">
      <c r="A31" s="1284" t="s">
        <v>1518</v>
      </c>
      <c r="B31" s="328"/>
      <c r="C31" s="1462"/>
      <c r="D31" s="1863"/>
      <c r="E31" s="1283"/>
    </row>
    <row r="32" spans="1:6" ht="30" customHeight="1" x14ac:dyDescent="0.2">
      <c r="A32" s="2376" t="s">
        <v>1697</v>
      </c>
      <c r="B32" s="2376"/>
      <c r="C32" s="2376"/>
      <c r="D32" s="2376"/>
      <c r="E32" s="2376"/>
      <c r="F32" s="2376"/>
    </row>
    <row r="33" spans="1:6" ht="13.5" customHeight="1" x14ac:dyDescent="0.2">
      <c r="A33" s="328" t="s">
        <v>1420</v>
      </c>
      <c r="B33" s="328"/>
      <c r="C33" s="1285">
        <v>0</v>
      </c>
      <c r="D33" s="1863"/>
      <c r="E33" s="1283"/>
    </row>
    <row r="34" spans="1:6" ht="13.5" customHeight="1" x14ac:dyDescent="0.2">
      <c r="A34" s="328" t="s">
        <v>1803</v>
      </c>
      <c r="B34" s="328"/>
      <c r="C34" s="1286">
        <v>0</v>
      </c>
      <c r="D34" s="1863" t="s">
        <v>1558</v>
      </c>
      <c r="E34" s="2377">
        <f>+C33+C34</f>
        <v>0</v>
      </c>
      <c r="F34" s="2378"/>
    </row>
    <row r="35" spans="1:6" ht="12" customHeight="1" x14ac:dyDescent="0.2">
      <c r="A35" s="328"/>
      <c r="B35" s="328"/>
      <c r="C35" s="1864"/>
      <c r="D35" s="1863"/>
      <c r="E35" s="1287"/>
      <c r="F35" s="1288"/>
    </row>
    <row r="36" spans="1:6" ht="13.5" customHeight="1" x14ac:dyDescent="0.2">
      <c r="A36" s="1284" t="s">
        <v>1519</v>
      </c>
      <c r="B36" s="328"/>
      <c r="C36" s="1462"/>
      <c r="D36" s="1863"/>
      <c r="E36" s="1283"/>
    </row>
    <row r="37" spans="1:6" ht="14.25" customHeight="1" x14ac:dyDescent="0.2">
      <c r="A37" s="328" t="s">
        <v>1470</v>
      </c>
      <c r="B37" s="328"/>
      <c r="C37" s="1865"/>
      <c r="D37" s="1863"/>
      <c r="E37" s="1283"/>
    </row>
    <row r="38" spans="1:6" ht="14.25" customHeight="1" x14ac:dyDescent="0.2">
      <c r="A38" s="328"/>
      <c r="B38" s="328" t="s">
        <v>1421</v>
      </c>
      <c r="C38" s="1289"/>
      <c r="D38" s="1863"/>
      <c r="E38" s="1283"/>
    </row>
    <row r="39" spans="1:6" ht="14.25" customHeight="1" x14ac:dyDescent="0.2">
      <c r="A39" s="328"/>
      <c r="B39" s="328" t="s">
        <v>1422</v>
      </c>
      <c r="C39" s="1289"/>
      <c r="D39" s="1863"/>
      <c r="E39" s="1283"/>
    </row>
    <row r="40" spans="1:6" ht="14.25" customHeight="1" x14ac:dyDescent="0.2">
      <c r="A40" s="328"/>
      <c r="B40" s="328" t="s">
        <v>1423</v>
      </c>
      <c r="C40" s="1289"/>
      <c r="D40" s="1863"/>
      <c r="E40" s="1283"/>
    </row>
    <row r="41" spans="1:6" ht="14.25" customHeight="1" x14ac:dyDescent="0.2">
      <c r="A41" s="328"/>
      <c r="B41" s="328" t="s">
        <v>1424</v>
      </c>
      <c r="C41" s="1289"/>
      <c r="D41" s="1863"/>
      <c r="E41" s="1283"/>
    </row>
    <row r="42" spans="1:6" ht="14.25" customHeight="1" x14ac:dyDescent="0.2">
      <c r="A42" s="328" t="s">
        <v>1425</v>
      </c>
      <c r="B42" s="328"/>
      <c r="C42" s="1861"/>
      <c r="D42" s="1863"/>
      <c r="E42" s="1283"/>
    </row>
    <row r="43" spans="1:6" ht="14.25" customHeight="1" x14ac:dyDescent="0.2">
      <c r="A43" s="328" t="s">
        <v>1426</v>
      </c>
      <c r="B43" s="328"/>
      <c r="C43" s="1290"/>
      <c r="D43" s="1863"/>
      <c r="E43" s="1283"/>
    </row>
    <row r="44" spans="1:6" ht="14.25" customHeight="1" x14ac:dyDescent="0.2">
      <c r="A44" s="328"/>
      <c r="B44" s="328"/>
      <c r="C44" s="1865" t="s">
        <v>1427</v>
      </c>
      <c r="D44" s="1863"/>
      <c r="E44" s="1283"/>
    </row>
    <row r="45" spans="1:6" ht="13.5" customHeight="1" x14ac:dyDescent="0.2">
      <c r="B45" s="322"/>
      <c r="C45" s="1291"/>
      <c r="D45" s="1291"/>
    </row>
    <row r="46" spans="1:6" x14ac:dyDescent="0.2">
      <c r="A46" s="1292" t="s">
        <v>1698</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379" t="s">
        <v>1559</v>
      </c>
      <c r="C49" s="2379"/>
      <c r="D49" s="2379"/>
      <c r="E49" s="1396"/>
    </row>
    <row r="50" spans="1:5" s="1297" customFormat="1" ht="3.75" customHeight="1" x14ac:dyDescent="0.2">
      <c r="A50" s="1296"/>
      <c r="B50" s="1845"/>
      <c r="C50" s="1845"/>
      <c r="D50" s="1845"/>
      <c r="E50" s="1396"/>
    </row>
    <row r="51" spans="1:5" s="1297" customFormat="1" ht="20.25" customHeight="1" x14ac:dyDescent="0.2">
      <c r="A51" s="1298">
        <v>6</v>
      </c>
      <c r="B51" s="2374" t="s">
        <v>1520</v>
      </c>
      <c r="C51" s="2374"/>
      <c r="D51" s="2374"/>
    </row>
    <row r="52" spans="1:5" ht="14.25" customHeight="1" x14ac:dyDescent="0.2">
      <c r="A52" s="1298"/>
      <c r="B52" s="2374"/>
      <c r="C52" s="2374"/>
      <c r="D52" s="237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11" sqref="A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397" t="str">
        <f>'Single Audit Cover'!A7</f>
        <v>MALDEN COMMUNITY CONSOLIDATED SCHOOL DISTRICT 84</v>
      </c>
      <c r="C1" s="2398"/>
      <c r="D1" s="2398"/>
      <c r="E1" s="2398"/>
      <c r="F1" s="2398"/>
      <c r="G1" s="2398"/>
      <c r="H1" s="2398"/>
      <c r="I1" s="2398"/>
      <c r="J1" s="1406"/>
    </row>
    <row r="2" spans="2:10" s="317" customFormat="1" ht="12.75" customHeight="1" x14ac:dyDescent="0.2">
      <c r="B2" s="2399">
        <f>'Single Audit Cover'!E7</f>
        <v>28006084004</v>
      </c>
      <c r="C2" s="2400"/>
      <c r="D2" s="2400"/>
      <c r="E2" s="2400"/>
      <c r="F2" s="2400"/>
      <c r="G2" s="2400"/>
      <c r="H2" s="2400"/>
      <c r="I2" s="2400"/>
      <c r="J2" s="1406"/>
    </row>
    <row r="3" spans="2:10" s="317" customFormat="1" ht="12.75" customHeight="1" x14ac:dyDescent="0.2">
      <c r="B3" s="2401" t="s">
        <v>1285</v>
      </c>
      <c r="C3" s="2402"/>
      <c r="D3" s="2402"/>
      <c r="E3" s="2402"/>
      <c r="F3" s="2402"/>
      <c r="G3" s="2402"/>
      <c r="H3" s="2402"/>
      <c r="I3" s="2402"/>
      <c r="J3" s="1407"/>
    </row>
    <row r="4" spans="2:10" s="317" customFormat="1" ht="12.75" customHeight="1" x14ac:dyDescent="0.2">
      <c r="B4" s="2401" t="str">
        <f>'Single Audit Cover'!A4</f>
        <v>Year Ending June 30, 2019</v>
      </c>
      <c r="C4" s="2402"/>
      <c r="D4" s="2402"/>
      <c r="E4" s="2402"/>
      <c r="F4" s="2402"/>
      <c r="G4" s="2402"/>
      <c r="H4" s="2402"/>
      <c r="I4" s="240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01" t="s">
        <v>1284</v>
      </c>
      <c r="C7" s="2402"/>
      <c r="D7" s="2402"/>
      <c r="E7" s="2402"/>
      <c r="F7" s="2402"/>
      <c r="G7" s="2402"/>
      <c r="H7" s="2402"/>
      <c r="I7" s="240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03"/>
      <c r="D11" s="2403"/>
      <c r="E11" s="1416"/>
      <c r="F11" s="1416"/>
      <c r="G11" s="1416"/>
    </row>
    <row r="12" spans="2:10" s="317" customFormat="1" ht="11.45" customHeight="1" x14ac:dyDescent="0.2">
      <c r="B12" s="1354"/>
      <c r="C12" s="1417" t="s">
        <v>1428</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1429</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1560</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1429</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04"/>
      <c r="E29" s="2404"/>
      <c r="F29" s="2404"/>
      <c r="G29" s="2404"/>
      <c r="H29" s="2404"/>
      <c r="I29" s="2404"/>
    </row>
    <row r="30" spans="2:9" s="317" customFormat="1" x14ac:dyDescent="0.2">
      <c r="B30" s="1365"/>
      <c r="C30" s="322"/>
      <c r="D30" s="1417" t="s">
        <v>1713</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1521</v>
      </c>
      <c r="C33" s="1279"/>
      <c r="E33" s="1422"/>
      <c r="F33" s="1297" t="s">
        <v>885</v>
      </c>
      <c r="G33" s="1422"/>
      <c r="H33" s="1297" t="s">
        <v>99</v>
      </c>
    </row>
    <row r="35" spans="2:9" x14ac:dyDescent="0.2">
      <c r="B35" s="1425" t="s">
        <v>1714</v>
      </c>
      <c r="C35" s="1426"/>
      <c r="D35" s="1264"/>
    </row>
    <row r="36" spans="2:9" ht="6" customHeight="1" x14ac:dyDescent="0.2">
      <c r="B36" s="1425"/>
      <c r="C36" s="1426"/>
      <c r="D36" s="1264"/>
    </row>
    <row r="37" spans="2:9" ht="17.25" customHeight="1" x14ac:dyDescent="0.2">
      <c r="B37" s="1427" t="s">
        <v>1715</v>
      </c>
      <c r="C37" s="2405" t="s">
        <v>1716</v>
      </c>
      <c r="D37" s="2406"/>
      <c r="E37" s="2406"/>
      <c r="F37" s="2407"/>
      <c r="G37" s="2405" t="s">
        <v>1561</v>
      </c>
      <c r="H37" s="2406"/>
      <c r="I37" s="2407"/>
    </row>
    <row r="38" spans="2:9" ht="16.5" customHeight="1" x14ac:dyDescent="0.2">
      <c r="B38" s="1428"/>
      <c r="C38" s="2393"/>
      <c r="D38" s="2394"/>
      <c r="E38" s="2394"/>
      <c r="F38" s="2395"/>
      <c r="G38" s="2408"/>
      <c r="H38" s="2409"/>
      <c r="I38" s="2410"/>
    </row>
    <row r="39" spans="2:9" ht="16.5" customHeight="1" x14ac:dyDescent="0.2">
      <c r="B39" s="1428"/>
      <c r="C39" s="2393"/>
      <c r="D39" s="2394"/>
      <c r="E39" s="2394"/>
      <c r="F39" s="2395"/>
      <c r="G39" s="2396"/>
      <c r="H39" s="2396"/>
      <c r="I39" s="2396"/>
    </row>
    <row r="40" spans="2:9" ht="16.5" customHeight="1" x14ac:dyDescent="0.2">
      <c r="B40" s="1428"/>
      <c r="C40" s="2393"/>
      <c r="D40" s="2394"/>
      <c r="E40" s="2394"/>
      <c r="F40" s="2395"/>
      <c r="G40" s="2396"/>
      <c r="H40" s="2396"/>
      <c r="I40" s="2396"/>
    </row>
    <row r="41" spans="2:9" ht="16.5" customHeight="1" x14ac:dyDescent="0.2">
      <c r="B41" s="1428"/>
      <c r="C41" s="2393"/>
      <c r="D41" s="2394"/>
      <c r="E41" s="2394"/>
      <c r="F41" s="2395"/>
      <c r="G41" s="2396"/>
      <c r="H41" s="2396"/>
      <c r="I41" s="2396"/>
    </row>
    <row r="42" spans="2:9" ht="16.5" customHeight="1" x14ac:dyDescent="0.2">
      <c r="B42" s="1428"/>
      <c r="C42" s="2393"/>
      <c r="D42" s="2394"/>
      <c r="E42" s="2394"/>
      <c r="F42" s="2395"/>
      <c r="G42" s="2396"/>
      <c r="H42" s="2396"/>
      <c r="I42" s="2396"/>
    </row>
    <row r="43" spans="2:9" ht="16.5" customHeight="1" x14ac:dyDescent="0.2">
      <c r="B43" s="1428"/>
      <c r="C43" s="2386" t="s">
        <v>1562</v>
      </c>
      <c r="D43" s="2387"/>
      <c r="E43" s="2387"/>
      <c r="F43" s="2388"/>
      <c r="G43" s="2389">
        <f>SUM(G38:I42)</f>
        <v>0</v>
      </c>
      <c r="H43" s="2389"/>
      <c r="I43" s="2389"/>
    </row>
    <row r="44" spans="2:9" ht="12.75" customHeight="1" x14ac:dyDescent="0.2"/>
    <row r="45" spans="2:9" ht="12.75" customHeight="1" x14ac:dyDescent="0.2">
      <c r="B45" s="1419" t="s">
        <v>2056</v>
      </c>
      <c r="D45" s="2390">
        <v>0</v>
      </c>
      <c r="E45" s="2391"/>
    </row>
    <row r="46" spans="2:9" ht="5.25" customHeight="1" x14ac:dyDescent="0.2">
      <c r="B46" s="1429"/>
      <c r="D46" s="1430"/>
      <c r="E46" s="1431"/>
    </row>
    <row r="47" spans="2:9" ht="12.75" customHeight="1" x14ac:dyDescent="0.2">
      <c r="B47" s="1297" t="s">
        <v>1563</v>
      </c>
      <c r="C47" s="1297"/>
      <c r="D47" s="1432" t="e">
        <f>+G43/D45</f>
        <v>#DIV/0!</v>
      </c>
      <c r="E47" s="1433"/>
      <c r="F47" s="1434"/>
      <c r="I47" s="1435"/>
    </row>
    <row r="48" spans="2:9" ht="9.9499999999999993" customHeight="1" x14ac:dyDescent="0.2"/>
    <row r="49" spans="1:9" x14ac:dyDescent="0.2">
      <c r="B49" s="1365" t="s">
        <v>1273</v>
      </c>
      <c r="C49" s="1279"/>
      <c r="D49" s="1279"/>
      <c r="E49" s="2392"/>
      <c r="F49" s="2392"/>
      <c r="G49" s="239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1717</v>
      </c>
      <c r="C54" s="1444"/>
      <c r="D54" s="1444"/>
    </row>
    <row r="55" spans="1:9" s="1445" customFormat="1" ht="12.75" customHeight="1" x14ac:dyDescent="0.2">
      <c r="A55" s="1442"/>
      <c r="B55" s="1446" t="s">
        <v>1564</v>
      </c>
      <c r="C55" s="1442"/>
      <c r="D55" s="1442"/>
    </row>
    <row r="56" spans="1:9" s="1445" customFormat="1" ht="12.75" customHeight="1" x14ac:dyDescent="0.2">
      <c r="A56" s="1442"/>
      <c r="B56" s="1446" t="s">
        <v>1565</v>
      </c>
      <c r="C56" s="1442"/>
      <c r="D56" s="1442"/>
    </row>
    <row r="57" spans="1:9" s="1445" customFormat="1" ht="3.95" customHeight="1" x14ac:dyDescent="0.2">
      <c r="A57" s="1442"/>
      <c r="B57" s="1446"/>
      <c r="C57" s="1442"/>
      <c r="D57" s="1442"/>
    </row>
    <row r="58" spans="1:9" s="1445" customFormat="1" ht="13.5" customHeight="1" x14ac:dyDescent="0.2">
      <c r="A58" s="1442"/>
      <c r="B58" s="1447" t="s">
        <v>1718</v>
      </c>
      <c r="C58" s="1448"/>
      <c r="D58" s="1448"/>
    </row>
    <row r="59" spans="1:9" s="1445" customFormat="1" ht="3.95" customHeight="1" x14ac:dyDescent="0.2">
      <c r="A59" s="1442"/>
      <c r="B59" s="1447"/>
      <c r="C59" s="1448"/>
      <c r="D59" s="1448"/>
    </row>
    <row r="60" spans="1:9" s="1445" customFormat="1" ht="13.5" customHeight="1" x14ac:dyDescent="0.2">
      <c r="A60" s="1442"/>
      <c r="B60" s="1447" t="s">
        <v>1719</v>
      </c>
      <c r="C60" s="1448"/>
      <c r="D60" s="1448"/>
    </row>
    <row r="61" spans="1:9" s="1445" customFormat="1" ht="3.95" customHeight="1" x14ac:dyDescent="0.2">
      <c r="A61" s="1442"/>
      <c r="B61" s="1447"/>
      <c r="C61" s="1448"/>
      <c r="D61" s="1448"/>
    </row>
    <row r="62" spans="1:9" s="1445" customFormat="1" ht="12.75" customHeight="1" x14ac:dyDescent="0.2">
      <c r="A62" s="1442"/>
      <c r="B62" s="1447" t="s">
        <v>1720</v>
      </c>
      <c r="C62" s="1448"/>
      <c r="D62" s="1448"/>
    </row>
    <row r="63" spans="1:9" s="1445" customFormat="1" ht="13.5" customHeight="1" x14ac:dyDescent="0.2">
      <c r="A63" s="1442"/>
      <c r="B63" s="1446" t="s">
        <v>1566</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13" t="s">
        <v>1168</v>
      </c>
      <c r="B2" s="2013"/>
      <c r="C2" s="2013"/>
      <c r="D2" s="2013"/>
      <c r="E2" s="2013"/>
      <c r="F2" s="2013"/>
      <c r="G2" s="2013"/>
      <c r="H2" s="2013"/>
      <c r="I2" s="2013"/>
      <c r="J2" s="2013"/>
    </row>
    <row r="3" spans="1:11" s="181" customFormat="1" ht="17.25" customHeight="1" x14ac:dyDescent="0.2">
      <c r="A3" s="207"/>
      <c r="B3" s="207"/>
      <c r="C3" s="208"/>
      <c r="D3" s="209"/>
      <c r="E3" s="210"/>
    </row>
    <row r="4" spans="1:11" x14ac:dyDescent="0.2">
      <c r="A4" s="344" t="s">
        <v>1606</v>
      </c>
      <c r="B4" s="344"/>
      <c r="C4" s="344"/>
      <c r="D4" s="344"/>
      <c r="E4" s="344"/>
      <c r="F4" s="344"/>
      <c r="G4" s="344"/>
      <c r="H4" s="344"/>
      <c r="I4" s="344"/>
      <c r="J4" s="344"/>
      <c r="K4" s="344"/>
    </row>
    <row r="5" spans="1:11" x14ac:dyDescent="0.2">
      <c r="A5" s="237" t="s">
        <v>1607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1527</v>
      </c>
    </row>
    <row r="10" spans="1:11" s="181" customFormat="1" x14ac:dyDescent="0.2">
      <c r="A10" s="222"/>
      <c r="B10" s="223"/>
      <c r="C10" s="224"/>
      <c r="D10" s="225" t="s">
        <v>1593</v>
      </c>
    </row>
    <row r="11" spans="1:11" s="181" customFormat="1" x14ac:dyDescent="0.2">
      <c r="A11" s="219"/>
      <c r="B11" s="226"/>
      <c r="C11" s="227">
        <v>2</v>
      </c>
      <c r="D11" s="228" t="s">
        <v>1594</v>
      </c>
    </row>
    <row r="12" spans="1:11" s="181" customFormat="1" hidden="1" x14ac:dyDescent="0.2">
      <c r="A12" s="219"/>
      <c r="B12" s="229"/>
      <c r="C12" s="227"/>
      <c r="D12" s="230"/>
    </row>
    <row r="13" spans="1:11" s="181" customFormat="1" x14ac:dyDescent="0.2">
      <c r="A13" s="219"/>
      <c r="B13" s="226"/>
      <c r="C13" s="227">
        <v>3</v>
      </c>
      <c r="D13" s="228" t="s">
        <v>1595</v>
      </c>
    </row>
    <row r="14" spans="1:11" s="181" customFormat="1" x14ac:dyDescent="0.2">
      <c r="A14" s="219"/>
      <c r="B14" s="226"/>
      <c r="C14" s="227">
        <v>4</v>
      </c>
      <c r="D14" s="228" t="s">
        <v>1596</v>
      </c>
    </row>
    <row r="15" spans="1:11" s="181" customFormat="1" x14ac:dyDescent="0.2">
      <c r="A15" s="219"/>
      <c r="B15" s="226"/>
      <c r="C15" s="227">
        <v>5</v>
      </c>
      <c r="D15" s="231" t="s">
        <v>969</v>
      </c>
    </row>
    <row r="16" spans="1:11" s="181" customFormat="1" x14ac:dyDescent="0.2">
      <c r="A16" s="219"/>
      <c r="B16" s="226"/>
      <c r="C16" s="227">
        <v>6</v>
      </c>
      <c r="D16" s="231" t="s">
        <v>1445</v>
      </c>
    </row>
    <row r="17" spans="1:4" s="181" customFormat="1" ht="6" hidden="1" customHeight="1" x14ac:dyDescent="0.2">
      <c r="A17" s="219"/>
      <c r="B17" s="229"/>
      <c r="C17" s="227"/>
      <c r="D17" s="232"/>
    </row>
    <row r="18" spans="1:4" s="181" customFormat="1" ht="12" customHeight="1" x14ac:dyDescent="0.2">
      <c r="A18" s="219"/>
      <c r="B18" s="226"/>
      <c r="C18" s="227">
        <v>7</v>
      </c>
      <c r="D18" s="231" t="s">
        <v>1444</v>
      </c>
    </row>
    <row r="19" spans="1:4" s="181" customFormat="1" hidden="1" x14ac:dyDescent="0.2">
      <c r="A19" s="219"/>
      <c r="B19" s="229"/>
      <c r="C19" s="227"/>
      <c r="D19" s="232"/>
    </row>
    <row r="20" spans="1:4" s="181" customFormat="1" x14ac:dyDescent="0.2">
      <c r="A20" s="219"/>
      <c r="B20" s="226"/>
      <c r="C20" s="227">
        <v>8</v>
      </c>
      <c r="D20" s="231" t="s">
        <v>1597</v>
      </c>
    </row>
    <row r="21" spans="1:4" s="181" customFormat="1" x14ac:dyDescent="0.2">
      <c r="A21" s="219"/>
      <c r="B21" s="229"/>
      <c r="C21" s="227"/>
      <c r="D21" s="233" t="s">
        <v>1524</v>
      </c>
    </row>
    <row r="22" spans="1:4" s="181" customFormat="1" x14ac:dyDescent="0.2">
      <c r="A22" s="219"/>
      <c r="B22" s="226"/>
      <c r="C22" s="227">
        <v>9</v>
      </c>
      <c r="D22" s="231" t="s">
        <v>1598</v>
      </c>
    </row>
    <row r="23" spans="1:4" s="181" customFormat="1" x14ac:dyDescent="0.2">
      <c r="A23" s="219"/>
      <c r="B23" s="234"/>
      <c r="C23" s="227"/>
      <c r="D23" s="235" t="s">
        <v>1525</v>
      </c>
    </row>
    <row r="24" spans="1:4" s="181" customFormat="1" x14ac:dyDescent="0.2">
      <c r="A24" s="219"/>
      <c r="B24" s="226"/>
      <c r="C24" s="227">
        <v>10</v>
      </c>
      <c r="D24" s="231" t="s">
        <v>1599</v>
      </c>
    </row>
    <row r="25" spans="1:4" s="181" customFormat="1" x14ac:dyDescent="0.2">
      <c r="A25" s="219"/>
      <c r="B25" s="226"/>
      <c r="C25" s="227">
        <v>11</v>
      </c>
      <c r="D25" s="231" t="s">
        <v>1600</v>
      </c>
    </row>
    <row r="26" spans="1:4" s="181" customFormat="1" x14ac:dyDescent="0.2">
      <c r="A26" s="219"/>
      <c r="B26" s="234"/>
      <c r="C26" s="227"/>
      <c r="D26" s="235" t="s">
        <v>1526</v>
      </c>
    </row>
    <row r="27" spans="1:4" s="181" customFormat="1" x14ac:dyDescent="0.2">
      <c r="A27" s="219"/>
      <c r="B27" s="226"/>
      <c r="C27" s="227">
        <v>12</v>
      </c>
      <c r="D27" s="231" t="s">
        <v>1528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1601</v>
      </c>
    </row>
    <row r="31" spans="1:4" s="181" customFormat="1" x14ac:dyDescent="0.2">
      <c r="A31" s="219"/>
      <c r="B31" s="226"/>
      <c r="C31" s="227">
        <v>14</v>
      </c>
      <c r="D31" s="231" t="s">
        <v>1908</v>
      </c>
    </row>
    <row r="32" spans="1:4" s="181" customFormat="1" x14ac:dyDescent="0.2">
      <c r="A32" s="219"/>
      <c r="B32" s="236"/>
      <c r="C32" s="227"/>
      <c r="D32" s="237" t="s">
        <v>1758</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27" t="s">
        <v>1602</v>
      </c>
      <c r="B35" s="2028"/>
      <c r="C35" s="2028"/>
      <c r="D35" s="2028"/>
      <c r="E35" s="2029"/>
      <c r="F35" s="2029"/>
      <c r="G35" s="2029"/>
      <c r="H35" s="2029"/>
      <c r="I35" s="202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1603</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1604</v>
      </c>
    </row>
    <row r="43" spans="1:9" s="181" customFormat="1" x14ac:dyDescent="0.2">
      <c r="A43" s="219"/>
      <c r="B43" s="229"/>
      <c r="C43" s="227"/>
      <c r="D43" s="240" t="s">
        <v>1605</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27" t="s">
        <v>313</v>
      </c>
      <c r="B47" s="2030"/>
      <c r="C47" s="2030"/>
      <c r="D47" s="2030"/>
      <c r="E47" s="2031"/>
      <c r="F47" s="2031"/>
      <c r="G47" s="2031"/>
      <c r="H47" s="2031"/>
      <c r="I47" s="203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1608</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1448</v>
      </c>
      <c r="E53" s="248"/>
      <c r="F53" s="249"/>
      <c r="G53" s="249" t="s">
        <v>1447</v>
      </c>
      <c r="H53" s="250"/>
      <c r="I53" s="237" t="s">
        <v>1469</v>
      </c>
    </row>
    <row r="54" spans="1:10" s="181" customFormat="1" x14ac:dyDescent="0.2">
      <c r="A54" s="219"/>
      <c r="B54" s="220"/>
      <c r="C54" s="179">
        <v>23</v>
      </c>
      <c r="D54" s="243" t="s">
        <v>1362</v>
      </c>
      <c r="E54" s="248"/>
      <c r="F54" s="249"/>
    </row>
    <row r="55" spans="1:10" s="181" customFormat="1" x14ac:dyDescent="0.2">
      <c r="A55" s="214"/>
      <c r="B55" s="251"/>
      <c r="C55" s="251"/>
      <c r="D55" s="231" t="s">
        <v>1757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34"/>
      <c r="C57" s="2035"/>
      <c r="D57" s="2035"/>
      <c r="E57" s="2035"/>
      <c r="F57" s="2035"/>
      <c r="G57" s="2035"/>
      <c r="H57" s="2035"/>
      <c r="I57" s="2035"/>
      <c r="J57" s="2036"/>
    </row>
    <row r="58" spans="1:10" s="181" customFormat="1" x14ac:dyDescent="0.2">
      <c r="A58" s="253"/>
      <c r="B58" s="2037"/>
      <c r="C58" s="2038"/>
      <c r="D58" s="2038"/>
      <c r="E58" s="2038"/>
      <c r="F58" s="2038"/>
      <c r="G58" s="2038"/>
      <c r="H58" s="2038"/>
      <c r="I58" s="2038"/>
      <c r="J58" s="2039"/>
    </row>
    <row r="59" spans="1:10" s="181" customFormat="1" x14ac:dyDescent="0.2">
      <c r="A59" s="253"/>
      <c r="B59" s="2037"/>
      <c r="C59" s="2038"/>
      <c r="D59" s="2038"/>
      <c r="E59" s="2038"/>
      <c r="F59" s="2038"/>
      <c r="G59" s="2038"/>
      <c r="H59" s="2038"/>
      <c r="I59" s="2038"/>
      <c r="J59" s="2039"/>
    </row>
    <row r="60" spans="1:10" s="181" customFormat="1" x14ac:dyDescent="0.2">
      <c r="A60" s="253"/>
      <c r="B60" s="2037"/>
      <c r="C60" s="2038"/>
      <c r="D60" s="2038"/>
      <c r="E60" s="2038"/>
      <c r="F60" s="2038"/>
      <c r="G60" s="2038"/>
      <c r="H60" s="2038"/>
      <c r="I60" s="2038"/>
      <c r="J60" s="2039"/>
    </row>
    <row r="61" spans="1:10" s="181" customFormat="1" x14ac:dyDescent="0.2">
      <c r="A61" s="253"/>
      <c r="B61" s="2037"/>
      <c r="C61" s="2038"/>
      <c r="D61" s="2038"/>
      <c r="E61" s="2038"/>
      <c r="F61" s="2038"/>
      <c r="G61" s="2038"/>
      <c r="H61" s="2038"/>
      <c r="I61" s="2038"/>
      <c r="J61" s="2039"/>
    </row>
    <row r="62" spans="1:10" s="181" customFormat="1" x14ac:dyDescent="0.2">
      <c r="A62" s="253"/>
      <c r="B62" s="2037"/>
      <c r="C62" s="2038"/>
      <c r="D62" s="2038"/>
      <c r="E62" s="2038"/>
      <c r="F62" s="2038"/>
      <c r="G62" s="2038"/>
      <c r="H62" s="2038"/>
      <c r="I62" s="2038"/>
      <c r="J62" s="2039"/>
    </row>
    <row r="63" spans="1:10" s="181" customFormat="1" x14ac:dyDescent="0.2">
      <c r="A63" s="253"/>
      <c r="B63" s="2037"/>
      <c r="C63" s="2038"/>
      <c r="D63" s="2038"/>
      <c r="E63" s="2038"/>
      <c r="F63" s="2038"/>
      <c r="G63" s="2038"/>
      <c r="H63" s="2038"/>
      <c r="I63" s="2038"/>
      <c r="J63" s="2039"/>
    </row>
    <row r="64" spans="1:10" s="181" customFormat="1" x14ac:dyDescent="0.2">
      <c r="A64" s="253"/>
      <c r="B64" s="2037"/>
      <c r="C64" s="2038"/>
      <c r="D64" s="2038"/>
      <c r="E64" s="2038"/>
      <c r="F64" s="2038"/>
      <c r="G64" s="2038"/>
      <c r="H64" s="2038"/>
      <c r="I64" s="2038"/>
      <c r="J64" s="2039"/>
    </row>
    <row r="65" spans="1:10" s="181" customFormat="1" x14ac:dyDescent="0.2">
      <c r="A65" s="253"/>
      <c r="B65" s="2037"/>
      <c r="C65" s="2038"/>
      <c r="D65" s="2038"/>
      <c r="E65" s="2038"/>
      <c r="F65" s="2038"/>
      <c r="G65" s="2038"/>
      <c r="H65" s="2038"/>
      <c r="I65" s="2038"/>
      <c r="J65" s="2039"/>
    </row>
    <row r="66" spans="1:10" s="181" customFormat="1" x14ac:dyDescent="0.2">
      <c r="A66" s="253"/>
      <c r="B66" s="2037"/>
      <c r="C66" s="2038"/>
      <c r="D66" s="2038"/>
      <c r="E66" s="2038"/>
      <c r="F66" s="2038"/>
      <c r="G66" s="2038"/>
      <c r="H66" s="2038"/>
      <c r="I66" s="2038"/>
      <c r="J66" s="2039"/>
    </row>
    <row r="67" spans="1:10" s="181" customFormat="1" ht="9" customHeight="1" x14ac:dyDescent="0.2">
      <c r="A67" s="254"/>
      <c r="B67" s="2040"/>
      <c r="C67" s="2041"/>
      <c r="D67" s="2041"/>
      <c r="E67" s="2041"/>
      <c r="F67" s="2041"/>
      <c r="G67" s="2041"/>
      <c r="H67" s="2041"/>
      <c r="I67" s="2041"/>
      <c r="J67" s="204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27" t="s">
        <v>1323</v>
      </c>
      <c r="B70" s="2030"/>
      <c r="C70" s="2030"/>
      <c r="D70" s="2030"/>
      <c r="E70" s="2031"/>
      <c r="F70" s="2031"/>
      <c r="G70" s="2031"/>
      <c r="H70" s="2031"/>
      <c r="I70" s="203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1892</v>
      </c>
      <c r="B73" s="255"/>
      <c r="C73" s="256"/>
      <c r="D73" s="256"/>
      <c r="E73" s="256"/>
      <c r="F73" s="256"/>
      <c r="G73" s="256"/>
      <c r="H73" s="256"/>
    </row>
    <row r="74" spans="1:10" s="181" customFormat="1" x14ac:dyDescent="0.2">
      <c r="A74" s="259" t="s">
        <v>1411</v>
      </c>
      <c r="B74" s="255"/>
      <c r="C74" s="256"/>
      <c r="D74" s="256"/>
      <c r="E74" s="256"/>
      <c r="F74" s="256"/>
      <c r="G74" s="256"/>
      <c r="H74" s="256"/>
    </row>
    <row r="75" spans="1:10" s="181" customFormat="1" x14ac:dyDescent="0.2">
      <c r="A75" s="259" t="s">
        <v>1909</v>
      </c>
      <c r="B75" s="255"/>
      <c r="C75" s="256"/>
      <c r="D75" s="256"/>
      <c r="E75" s="256"/>
      <c r="F75" s="256"/>
      <c r="G75" s="256"/>
      <c r="H75" s="256"/>
    </row>
    <row r="76" spans="1:10" s="181" customFormat="1" ht="18.75" customHeight="1" x14ac:dyDescent="0.2">
      <c r="A76" s="239" t="s">
        <v>1412</v>
      </c>
      <c r="B76" s="255"/>
      <c r="C76" s="256"/>
      <c r="D76" s="256"/>
      <c r="E76" s="256"/>
      <c r="F76" s="256"/>
      <c r="G76" s="256"/>
      <c r="H76" s="256"/>
    </row>
    <row r="77" spans="1:10" s="181" customFormat="1" x14ac:dyDescent="0.2">
      <c r="C77" s="179">
        <v>24</v>
      </c>
      <c r="D77" s="247" t="s">
        <v>1616</v>
      </c>
      <c r="G77" s="297" t="s">
        <v>1869</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1614</v>
      </c>
      <c r="E79" s="248"/>
      <c r="F79" s="249"/>
    </row>
    <row r="80" spans="1:10" s="181" customFormat="1" x14ac:dyDescent="0.2">
      <c r="A80" s="219"/>
      <c r="B80" s="262"/>
      <c r="C80" s="179"/>
      <c r="D80" s="247" t="s">
        <v>1615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32" t="s">
        <v>1320</v>
      </c>
      <c r="B83" s="2032"/>
      <c r="C83" s="2032"/>
      <c r="D83" s="2033"/>
      <c r="E83" s="263" t="s">
        <v>1357</v>
      </c>
      <c r="F83" s="263" t="s">
        <v>1358</v>
      </c>
      <c r="G83" s="263" t="s">
        <v>1359</v>
      </c>
      <c r="H83" s="263" t="s">
        <v>1360</v>
      </c>
      <c r="I83" s="263" t="s">
        <v>1361</v>
      </c>
      <c r="J83" s="264" t="s">
        <v>156</v>
      </c>
    </row>
    <row r="84" spans="1:10" s="181" customFormat="1" ht="13.5" customHeight="1" thickTop="1" x14ac:dyDescent="0.2">
      <c r="A84" s="265" t="s">
        <v>1430</v>
      </c>
      <c r="B84" s="266"/>
      <c r="C84" s="267"/>
      <c r="D84" s="268"/>
      <c r="E84" s="269"/>
      <c r="F84" s="269"/>
      <c r="G84" s="269"/>
      <c r="H84" s="269"/>
      <c r="I84" s="269"/>
      <c r="J84" s="270"/>
    </row>
    <row r="85" spans="1:10" s="181" customFormat="1" ht="13.5" customHeight="1" x14ac:dyDescent="0.2">
      <c r="A85" s="271" t="s">
        <v>1890</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1890</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1609</v>
      </c>
      <c r="C92" s="179"/>
      <c r="E92" s="260"/>
      <c r="F92" s="296"/>
      <c r="H92" s="297"/>
    </row>
    <row r="93" spans="1:10" s="181" customFormat="1" ht="16.5" customHeight="1" x14ac:dyDescent="0.2">
      <c r="A93" s="219"/>
      <c r="B93" s="298" t="s">
        <v>1891</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1610</v>
      </c>
      <c r="C95" s="309"/>
      <c r="D95" s="310"/>
      <c r="E95" s="304"/>
      <c r="F95" s="304"/>
      <c r="G95" s="304"/>
      <c r="H95" s="304"/>
      <c r="I95" s="304"/>
    </row>
    <row r="96" spans="1:10" s="181" customFormat="1" x14ac:dyDescent="0.2">
      <c r="A96" s="307" t="s">
        <v>1169</v>
      </c>
      <c r="B96" s="345" t="s">
        <v>1612</v>
      </c>
      <c r="C96" s="309"/>
      <c r="D96" s="311"/>
      <c r="E96" s="311"/>
      <c r="F96" s="311"/>
      <c r="G96" s="311"/>
      <c r="H96" s="311"/>
      <c r="I96" s="304"/>
    </row>
    <row r="97" spans="1:9" s="181" customFormat="1" x14ac:dyDescent="0.2">
      <c r="A97" s="307"/>
      <c r="B97" s="308" t="s">
        <v>1611</v>
      </c>
      <c r="C97" s="309"/>
      <c r="D97" s="311"/>
      <c r="E97" s="311"/>
      <c r="F97" s="311"/>
      <c r="G97" s="311"/>
      <c r="H97" s="311"/>
      <c r="I97" s="304"/>
    </row>
    <row r="98" spans="1:9" s="181" customFormat="1" x14ac:dyDescent="0.2">
      <c r="A98" s="308"/>
      <c r="B98" s="312" t="s">
        <v>1613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14"/>
      <c r="C102" s="2015"/>
      <c r="D102" s="2015"/>
      <c r="E102" s="2015"/>
      <c r="F102" s="2015"/>
      <c r="G102" s="2015"/>
      <c r="H102" s="2015"/>
      <c r="I102" s="2016"/>
    </row>
    <row r="103" spans="1:9" s="181" customFormat="1" ht="11.25" customHeight="1" x14ac:dyDescent="0.2">
      <c r="A103" s="316"/>
      <c r="B103" s="2017"/>
      <c r="C103" s="2018"/>
      <c r="D103" s="2018"/>
      <c r="E103" s="2018"/>
      <c r="F103" s="2018"/>
      <c r="G103" s="2018"/>
      <c r="H103" s="2018"/>
      <c r="I103" s="2019"/>
    </row>
    <row r="104" spans="1:9" s="181" customFormat="1" ht="11.25" customHeight="1" x14ac:dyDescent="0.2">
      <c r="A104" s="316"/>
      <c r="B104" s="2017"/>
      <c r="C104" s="2018"/>
      <c r="D104" s="2018"/>
      <c r="E104" s="2018"/>
      <c r="F104" s="2018"/>
      <c r="G104" s="2018"/>
      <c r="H104" s="2018"/>
      <c r="I104" s="2019"/>
    </row>
    <row r="105" spans="1:9" s="181" customFormat="1" x14ac:dyDescent="0.2">
      <c r="A105" s="316"/>
      <c r="B105" s="2017"/>
      <c r="C105" s="2018"/>
      <c r="D105" s="2018"/>
      <c r="E105" s="2018"/>
      <c r="F105" s="2018"/>
      <c r="G105" s="2018"/>
      <c r="H105" s="2018"/>
      <c r="I105" s="2019"/>
    </row>
    <row r="106" spans="1:9" s="181" customFormat="1" ht="11.25" customHeight="1" x14ac:dyDescent="0.2">
      <c r="A106" s="316"/>
      <c r="B106" s="2017"/>
      <c r="C106" s="2018"/>
      <c r="D106" s="2018"/>
      <c r="E106" s="2018"/>
      <c r="F106" s="2018"/>
      <c r="G106" s="2018"/>
      <c r="H106" s="2018"/>
      <c r="I106" s="2019"/>
    </row>
    <row r="107" spans="1:9" s="181" customFormat="1" ht="11.25" customHeight="1" x14ac:dyDescent="0.2">
      <c r="A107" s="316"/>
      <c r="B107" s="2017"/>
      <c r="C107" s="2018"/>
      <c r="D107" s="2018"/>
      <c r="E107" s="2018"/>
      <c r="F107" s="2018"/>
      <c r="G107" s="2018"/>
      <c r="H107" s="2018"/>
      <c r="I107" s="2019"/>
    </row>
    <row r="108" spans="1:9" s="181" customFormat="1" ht="11.25" customHeight="1" x14ac:dyDescent="0.2">
      <c r="A108" s="316"/>
      <c r="B108" s="2017"/>
      <c r="C108" s="2018"/>
      <c r="D108" s="2018"/>
      <c r="E108" s="2018"/>
      <c r="F108" s="2018"/>
      <c r="G108" s="2018"/>
      <c r="H108" s="2018"/>
      <c r="I108" s="2019"/>
    </row>
    <row r="109" spans="1:9" s="181" customFormat="1" ht="11.25" customHeight="1" x14ac:dyDescent="0.2">
      <c r="A109" s="316"/>
      <c r="B109" s="2017"/>
      <c r="C109" s="2018"/>
      <c r="D109" s="2018"/>
      <c r="E109" s="2018"/>
      <c r="F109" s="2018"/>
      <c r="G109" s="2018"/>
      <c r="H109" s="2018"/>
      <c r="I109" s="2019"/>
    </row>
    <row r="110" spans="1:9" s="181" customFormat="1" ht="11.25" customHeight="1" x14ac:dyDescent="0.2">
      <c r="A110" s="316"/>
      <c r="B110" s="2017"/>
      <c r="C110" s="2018"/>
      <c r="D110" s="2018"/>
      <c r="E110" s="2018"/>
      <c r="F110" s="2018"/>
      <c r="G110" s="2018"/>
      <c r="H110" s="2018"/>
      <c r="I110" s="2019"/>
    </row>
    <row r="111" spans="1:9" s="181" customFormat="1" ht="11.25" customHeight="1" x14ac:dyDescent="0.2">
      <c r="A111" s="316"/>
      <c r="B111" s="2017"/>
      <c r="C111" s="2018"/>
      <c r="D111" s="2018"/>
      <c r="E111" s="2018"/>
      <c r="F111" s="2018"/>
      <c r="G111" s="2018"/>
      <c r="H111" s="2018"/>
      <c r="I111" s="2019"/>
    </row>
    <row r="112" spans="1:9" s="181" customFormat="1" ht="11.25" customHeight="1" x14ac:dyDescent="0.2">
      <c r="A112" s="316"/>
      <c r="B112" s="2020"/>
      <c r="C112" s="2021"/>
      <c r="D112" s="2021"/>
      <c r="E112" s="2021"/>
      <c r="F112" s="2021"/>
      <c r="G112" s="2021"/>
      <c r="H112" s="2021"/>
      <c r="I112" s="202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23" t="s">
        <v>2035</v>
      </c>
      <c r="D114" s="202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24" t="s">
        <v>1330</v>
      </c>
      <c r="D117" s="2025"/>
      <c r="E117" s="2026"/>
      <c r="F117" s="2026"/>
      <c r="G117" s="2026"/>
      <c r="H117" s="202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1870</v>
      </c>
      <c r="G119" s="328"/>
      <c r="H119" s="328"/>
      <c r="I119" s="304"/>
    </row>
    <row r="120" spans="1:9" x14ac:dyDescent="0.2">
      <c r="A120" s="329"/>
      <c r="B120" s="180"/>
      <c r="C120" s="330"/>
      <c r="D120" s="256"/>
      <c r="E120" s="256"/>
      <c r="F120" s="256"/>
      <c r="G120" s="256"/>
      <c r="H120" s="256"/>
      <c r="I120" s="304"/>
    </row>
    <row r="121" spans="1:9" x14ac:dyDescent="0.2">
      <c r="A121" s="329"/>
      <c r="B121" s="1488" t="s">
        <v>1570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97" t="str">
        <f>'Single Audit Cover'!A7</f>
        <v>MALDEN COMMUNITY CONSOLIDATED SCHOOL DISTRICT 84</v>
      </c>
      <c r="C1" s="2397"/>
      <c r="D1" s="2397"/>
      <c r="E1" s="2397"/>
      <c r="F1" s="2397"/>
      <c r="G1" s="2397"/>
      <c r="H1" s="2397"/>
      <c r="I1" s="2397"/>
      <c r="J1" s="2397"/>
      <c r="K1" s="2397"/>
      <c r="L1" s="1371"/>
      <c r="M1" s="1371"/>
    </row>
    <row r="2" spans="1:13" ht="12" customHeight="1" x14ac:dyDescent="0.2">
      <c r="B2" s="2399">
        <f>'Single Audit Cover'!E7</f>
        <v>28006084004</v>
      </c>
      <c r="C2" s="2399"/>
      <c r="D2" s="2399"/>
      <c r="E2" s="2399"/>
      <c r="F2" s="2399"/>
      <c r="G2" s="2399"/>
      <c r="H2" s="2399"/>
      <c r="I2" s="2399"/>
      <c r="J2" s="2399"/>
      <c r="K2" s="2399"/>
      <c r="L2" s="1372"/>
      <c r="M2" s="1373"/>
    </row>
    <row r="3" spans="1:13" ht="10.35" customHeight="1" x14ac:dyDescent="0.2">
      <c r="B3" s="2413" t="s">
        <v>1285</v>
      </c>
      <c r="C3" s="2413"/>
      <c r="D3" s="2413"/>
      <c r="E3" s="2413"/>
      <c r="F3" s="2413"/>
      <c r="G3" s="2413"/>
      <c r="H3" s="2413"/>
      <c r="I3" s="2413"/>
      <c r="J3" s="2413"/>
      <c r="K3" s="2413"/>
      <c r="L3" s="1374"/>
      <c r="M3" s="1374"/>
    </row>
    <row r="4" spans="1:13" ht="14.25" customHeight="1" x14ac:dyDescent="0.2">
      <c r="B4" s="2414" t="str">
        <f>'Single Audit Cover'!A4</f>
        <v>Year Ending June 30, 2019</v>
      </c>
      <c r="C4" s="2414"/>
      <c r="D4" s="2414"/>
      <c r="E4" s="2414"/>
      <c r="F4" s="2414"/>
      <c r="G4" s="2414"/>
      <c r="H4" s="2414"/>
      <c r="I4" s="2414"/>
      <c r="J4" s="2414"/>
      <c r="K4" s="241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14" t="s">
        <v>1296</v>
      </c>
      <c r="C7" s="2414"/>
      <c r="D7" s="2415"/>
      <c r="E7" s="2415"/>
      <c r="F7" s="2415"/>
      <c r="G7" s="2415"/>
      <c r="H7" s="2415"/>
      <c r="I7" s="2415"/>
      <c r="J7" s="2415"/>
      <c r="K7" s="241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1707</v>
      </c>
      <c r="C10" s="1382" t="s">
        <v>1952</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12"/>
      <c r="C14" s="2412"/>
      <c r="D14" s="2412"/>
      <c r="E14" s="2412"/>
      <c r="F14" s="2412"/>
      <c r="G14" s="2412"/>
      <c r="H14" s="2412"/>
      <c r="I14" s="2412"/>
      <c r="J14" s="2412"/>
      <c r="K14" s="241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12"/>
      <c r="C17" s="2412"/>
      <c r="D17" s="2412"/>
      <c r="E17" s="2412"/>
      <c r="F17" s="2412"/>
      <c r="G17" s="2412"/>
      <c r="H17" s="2412"/>
      <c r="I17" s="2412"/>
      <c r="J17" s="2412"/>
      <c r="K17" s="2412"/>
      <c r="L17" s="1378"/>
    </row>
    <row r="18" spans="2:12" ht="4.5" customHeight="1" x14ac:dyDescent="0.2">
      <c r="B18" s="1395"/>
      <c r="C18" s="1395"/>
      <c r="L18" s="1378"/>
    </row>
    <row r="19" spans="2:12" s="1279" customFormat="1" ht="13.5" customHeight="1" x14ac:dyDescent="0.2">
      <c r="B19" s="1390" t="s">
        <v>1708</v>
      </c>
      <c r="C19" s="1390"/>
      <c r="D19" s="1391"/>
      <c r="E19" s="1391"/>
      <c r="F19" s="1391"/>
      <c r="G19" s="1392"/>
      <c r="H19" s="1391"/>
      <c r="I19" s="1392"/>
      <c r="J19" s="1391"/>
      <c r="K19" s="1391"/>
      <c r="L19" s="1393"/>
    </row>
    <row r="20" spans="2:12" ht="45.75" customHeight="1" x14ac:dyDescent="0.2">
      <c r="B20" s="2416"/>
      <c r="C20" s="2416"/>
      <c r="D20" s="2412"/>
      <c r="E20" s="2412"/>
      <c r="F20" s="2412"/>
      <c r="G20" s="2412"/>
      <c r="H20" s="2412"/>
      <c r="I20" s="2412"/>
      <c r="J20" s="2412"/>
      <c r="K20" s="241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12"/>
      <c r="C23" s="2412"/>
      <c r="D23" s="2412"/>
      <c r="E23" s="2412"/>
      <c r="F23" s="2412"/>
      <c r="G23" s="2412"/>
      <c r="H23" s="2412"/>
      <c r="I23" s="2412"/>
      <c r="J23" s="2412"/>
      <c r="K23" s="241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12"/>
      <c r="C26" s="2412"/>
      <c r="D26" s="2412"/>
      <c r="E26" s="2412"/>
      <c r="F26" s="2412"/>
      <c r="G26" s="2412"/>
      <c r="H26" s="2412"/>
      <c r="I26" s="2412"/>
      <c r="J26" s="2412"/>
      <c r="K26" s="241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11"/>
      <c r="C29" s="2411"/>
      <c r="D29" s="2412"/>
      <c r="E29" s="2412"/>
      <c r="F29" s="2412"/>
      <c r="G29" s="2412"/>
      <c r="H29" s="2412"/>
      <c r="I29" s="2412"/>
      <c r="J29" s="2412"/>
      <c r="K29" s="241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1709</v>
      </c>
      <c r="C31" s="1400"/>
      <c r="D31" s="1375"/>
      <c r="E31" s="1376"/>
      <c r="F31" s="1376"/>
      <c r="G31" s="1377"/>
      <c r="H31" s="1376"/>
      <c r="I31" s="1377"/>
      <c r="J31" s="1376"/>
      <c r="K31" s="1376"/>
      <c r="L31" s="1378"/>
    </row>
    <row r="32" spans="2:12" s="322" customFormat="1" ht="44.25" customHeight="1" x14ac:dyDescent="0.2">
      <c r="B32" s="2411"/>
      <c r="C32" s="2411"/>
      <c r="D32" s="2412"/>
      <c r="E32" s="2412"/>
      <c r="F32" s="2412"/>
      <c r="G32" s="2412"/>
      <c r="H32" s="2412"/>
      <c r="I32" s="2412"/>
      <c r="J32" s="2412"/>
      <c r="K32" s="241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1710</v>
      </c>
      <c r="C35" s="1403"/>
      <c r="D35" s="322"/>
      <c r="E35" s="322"/>
      <c r="F35" s="322"/>
      <c r="L35" s="1378"/>
    </row>
    <row r="36" spans="1:13" ht="9.6" customHeight="1" x14ac:dyDescent="0.2">
      <c r="B36" s="1297" t="s">
        <v>1806</v>
      </c>
      <c r="C36" s="1297"/>
      <c r="L36" s="1378"/>
    </row>
    <row r="37" spans="1:13" ht="9.6" customHeight="1" x14ac:dyDescent="0.2">
      <c r="B37" s="1297" t="s">
        <v>1807</v>
      </c>
      <c r="C37" s="1297"/>
    </row>
    <row r="38" spans="1:13" ht="11.85" customHeight="1" x14ac:dyDescent="0.2">
      <c r="B38" s="1404" t="s">
        <v>1711</v>
      </c>
      <c r="C38" s="1404"/>
    </row>
    <row r="39" spans="1:13" ht="9.6" customHeight="1" x14ac:dyDescent="0.2">
      <c r="B39" s="1297" t="s">
        <v>1286</v>
      </c>
      <c r="C39" s="1297"/>
      <c r="M39" s="1405"/>
    </row>
    <row r="40" spans="1:13" ht="12.6" customHeight="1" x14ac:dyDescent="0.2">
      <c r="B40" s="1404" t="s">
        <v>1712</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20" t="str">
        <f>'Single Audit Cover'!A7</f>
        <v>MALDEN COMMUNITY CONSOLIDATED SCHOOL DISTRICT 84</v>
      </c>
      <c r="C1" s="2420"/>
      <c r="D1" s="2420"/>
      <c r="E1" s="2420"/>
      <c r="F1" s="2420"/>
      <c r="G1" s="2420"/>
      <c r="H1" s="2420"/>
      <c r="I1" s="2420"/>
      <c r="J1" s="2420"/>
      <c r="K1" s="2420"/>
      <c r="L1" s="1449"/>
    </row>
    <row r="2" spans="1:12" ht="12.75" customHeight="1" x14ac:dyDescent="0.2">
      <c r="B2" s="2421">
        <f>'Single Audit Cover'!E7</f>
        <v>28006084004</v>
      </c>
      <c r="C2" s="2421"/>
      <c r="D2" s="2421"/>
      <c r="E2" s="2421"/>
      <c r="F2" s="2421"/>
      <c r="G2" s="2421"/>
      <c r="H2" s="2421"/>
      <c r="I2" s="2421"/>
      <c r="J2" s="2421"/>
      <c r="K2" s="2421"/>
      <c r="L2" s="1450"/>
    </row>
    <row r="3" spans="1:12" ht="12.75" customHeight="1" x14ac:dyDescent="0.2">
      <c r="B3" s="2413" t="s">
        <v>1285</v>
      </c>
      <c r="C3" s="2413"/>
      <c r="D3" s="2413"/>
      <c r="E3" s="2413"/>
      <c r="F3" s="2413"/>
      <c r="G3" s="2413"/>
      <c r="H3" s="2413"/>
      <c r="I3" s="2413"/>
      <c r="J3" s="2413"/>
      <c r="K3" s="2413"/>
      <c r="L3" s="1374"/>
    </row>
    <row r="4" spans="1:12" ht="12.75" customHeight="1" x14ac:dyDescent="0.2">
      <c r="B4" s="2413" t="str">
        <f>'Single Audit Cover'!A4</f>
        <v>Year Ending June 30, 2019</v>
      </c>
      <c r="C4" s="2413"/>
      <c r="D4" s="2413"/>
      <c r="E4" s="2413"/>
      <c r="F4" s="2413"/>
      <c r="G4" s="2413"/>
      <c r="H4" s="2413"/>
      <c r="I4" s="2413"/>
      <c r="J4" s="2413"/>
      <c r="K4" s="2413"/>
      <c r="L4" s="1374"/>
    </row>
    <row r="5" spans="1:12" ht="5.25" customHeight="1" x14ac:dyDescent="0.2">
      <c r="B5" s="1257" t="s">
        <v>1169</v>
      </c>
      <c r="C5" s="1257"/>
      <c r="L5" s="322"/>
    </row>
    <row r="6" spans="1:12" ht="30.75" customHeight="1" x14ac:dyDescent="0.2">
      <c r="A6" s="322"/>
      <c r="B6" s="2422" t="s">
        <v>1308</v>
      </c>
      <c r="C6" s="2422"/>
      <c r="D6" s="2422"/>
      <c r="E6" s="2422"/>
      <c r="F6" s="2422"/>
      <c r="G6" s="2422"/>
      <c r="H6" s="2422"/>
      <c r="I6" s="2422"/>
      <c r="J6" s="2422"/>
      <c r="K6" s="2422"/>
      <c r="L6" s="322"/>
    </row>
    <row r="7" spans="1:12" ht="4.5" customHeight="1" x14ac:dyDescent="0.2">
      <c r="B7" s="1376"/>
      <c r="C7" s="1376"/>
      <c r="D7" s="1376"/>
      <c r="E7" s="1376"/>
      <c r="F7" s="1376"/>
      <c r="G7" s="1377"/>
      <c r="H7" s="1376"/>
      <c r="I7" s="1377"/>
      <c r="J7" s="1376"/>
      <c r="K7" s="1376"/>
      <c r="L7" s="322"/>
    </row>
    <row r="8" spans="1:12" ht="13.5" customHeight="1" x14ac:dyDescent="0.2">
      <c r="B8" s="1384" t="s">
        <v>1721</v>
      </c>
      <c r="C8" s="1451" t="s">
        <v>1952</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04"/>
      <c r="G12" s="2404"/>
      <c r="H12" s="2404"/>
      <c r="I12" s="2404"/>
      <c r="J12" s="2404"/>
      <c r="K12" s="240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17"/>
      <c r="E14" s="2417"/>
      <c r="F14" s="2417"/>
      <c r="H14" s="1459" t="s">
        <v>1303</v>
      </c>
      <c r="I14" s="2418"/>
      <c r="J14" s="2418"/>
      <c r="K14" s="241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18"/>
      <c r="E16" s="2418"/>
      <c r="F16" s="2418"/>
      <c r="G16" s="2418"/>
      <c r="H16" s="2418"/>
      <c r="I16" s="2418"/>
      <c r="J16" s="2418"/>
      <c r="K16" s="2418"/>
      <c r="L16" s="322"/>
    </row>
    <row r="17" spans="2:12" ht="13.5" customHeight="1" x14ac:dyDescent="0.2">
      <c r="B17" s="1384" t="s">
        <v>1301</v>
      </c>
      <c r="C17" s="1384"/>
      <c r="D17" s="2419"/>
      <c r="E17" s="2419"/>
      <c r="F17" s="2419"/>
      <c r="G17" s="2419"/>
      <c r="H17" s="2419"/>
      <c r="I17" s="2419"/>
      <c r="J17" s="2419"/>
      <c r="K17" s="241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12"/>
      <c r="C20" s="2412"/>
      <c r="D20" s="2412"/>
      <c r="E20" s="2412"/>
      <c r="F20" s="2412"/>
      <c r="G20" s="2412"/>
      <c r="H20" s="2412"/>
      <c r="I20" s="2412"/>
      <c r="J20" s="2412"/>
      <c r="K20" s="241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1722</v>
      </c>
      <c r="C22" s="1461"/>
      <c r="D22" s="322"/>
      <c r="E22" s="322"/>
      <c r="F22" s="322"/>
      <c r="G22" s="1380"/>
      <c r="H22" s="322"/>
      <c r="I22" s="1380"/>
      <c r="J22" s="322"/>
      <c r="K22" s="322"/>
      <c r="L22" s="322"/>
    </row>
    <row r="23" spans="2:12" ht="37.5" customHeight="1" x14ac:dyDescent="0.2">
      <c r="B23" s="2412"/>
      <c r="C23" s="2412"/>
      <c r="D23" s="2412"/>
      <c r="E23" s="2412"/>
      <c r="F23" s="2412"/>
      <c r="G23" s="2412"/>
      <c r="H23" s="2412"/>
      <c r="I23" s="2412"/>
      <c r="J23" s="2412"/>
      <c r="K23" s="241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1723</v>
      </c>
      <c r="C25" s="1461"/>
      <c r="D25" s="322"/>
      <c r="E25" s="322"/>
      <c r="F25" s="322"/>
      <c r="G25" s="1380"/>
      <c r="H25" s="322"/>
      <c r="I25" s="1380"/>
      <c r="J25" s="322"/>
      <c r="K25" s="322"/>
      <c r="L25" s="322"/>
    </row>
    <row r="26" spans="2:12" ht="37.5" customHeight="1" x14ac:dyDescent="0.2">
      <c r="B26" s="2412"/>
      <c r="C26" s="2412"/>
      <c r="D26" s="2412"/>
      <c r="E26" s="2412"/>
      <c r="F26" s="2412"/>
      <c r="G26" s="2412"/>
      <c r="H26" s="2412"/>
      <c r="I26" s="2412"/>
      <c r="J26" s="2412"/>
      <c r="K26" s="241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1724</v>
      </c>
      <c r="C28" s="1461"/>
      <c r="D28" s="322"/>
      <c r="E28" s="322"/>
      <c r="F28" s="322"/>
      <c r="G28" s="1380"/>
      <c r="H28" s="322"/>
      <c r="I28" s="1380"/>
      <c r="J28" s="322"/>
      <c r="K28" s="322"/>
      <c r="L28" s="322"/>
    </row>
    <row r="29" spans="2:12" ht="37.5" customHeight="1" x14ac:dyDescent="0.2">
      <c r="B29" s="2412"/>
      <c r="C29" s="2412"/>
      <c r="D29" s="2412"/>
      <c r="E29" s="2412"/>
      <c r="F29" s="2412"/>
      <c r="G29" s="2412"/>
      <c r="H29" s="2412"/>
      <c r="I29" s="2412"/>
      <c r="J29" s="2412"/>
      <c r="K29" s="241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12"/>
      <c r="C32" s="2412"/>
      <c r="D32" s="2412"/>
      <c r="E32" s="2412"/>
      <c r="F32" s="2412"/>
      <c r="G32" s="2412"/>
      <c r="H32" s="2412"/>
      <c r="I32" s="2412"/>
      <c r="J32" s="2412"/>
      <c r="K32" s="241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12"/>
      <c r="C35" s="2412"/>
      <c r="D35" s="2412"/>
      <c r="E35" s="2412"/>
      <c r="F35" s="2412"/>
      <c r="G35" s="2412"/>
      <c r="H35" s="2412"/>
      <c r="I35" s="2412"/>
      <c r="J35" s="2412"/>
      <c r="K35" s="241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12"/>
      <c r="C38" s="2412"/>
      <c r="D38" s="2412"/>
      <c r="E38" s="2412"/>
      <c r="F38" s="2412"/>
      <c r="G38" s="2412"/>
      <c r="H38" s="2412"/>
      <c r="I38" s="2412"/>
      <c r="J38" s="2412"/>
      <c r="K38" s="241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1725</v>
      </c>
      <c r="C40" s="1400"/>
      <c r="D40" s="1375"/>
      <c r="E40" s="1376"/>
      <c r="F40" s="1376"/>
      <c r="G40" s="1377"/>
      <c r="H40" s="1376"/>
      <c r="I40" s="1377"/>
      <c r="J40" s="1376"/>
      <c r="K40" s="1376"/>
    </row>
    <row r="41" spans="2:12" s="322" customFormat="1" ht="33.75" customHeight="1" x14ac:dyDescent="0.2">
      <c r="B41" s="2412"/>
      <c r="C41" s="2412"/>
      <c r="D41" s="2412"/>
      <c r="E41" s="2412"/>
      <c r="F41" s="2412"/>
      <c r="G41" s="2412"/>
      <c r="H41" s="2412"/>
      <c r="I41" s="2412"/>
      <c r="J41" s="2412"/>
      <c r="K41" s="241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1726</v>
      </c>
      <c r="C44" s="1403"/>
      <c r="D44" s="322"/>
      <c r="E44" s="322"/>
      <c r="F44" s="322"/>
    </row>
    <row r="45" spans="2:12" ht="10.5" customHeight="1" x14ac:dyDescent="0.2">
      <c r="B45" s="1404" t="s">
        <v>1727</v>
      </c>
      <c r="C45" s="1404"/>
      <c r="G45" s="317"/>
      <c r="I45" s="317"/>
    </row>
    <row r="46" spans="2:12" ht="11.1" customHeight="1" x14ac:dyDescent="0.2">
      <c r="B46" s="1404" t="s">
        <v>1728</v>
      </c>
      <c r="C46" s="1404"/>
      <c r="G46" s="317"/>
      <c r="I46" s="317"/>
    </row>
    <row r="47" spans="2:12" ht="11.1" customHeight="1" x14ac:dyDescent="0.2">
      <c r="B47" s="1404" t="s">
        <v>1729</v>
      </c>
      <c r="C47" s="1404"/>
      <c r="G47" s="317"/>
      <c r="I47" s="317"/>
    </row>
    <row r="48" spans="2:12" ht="11.1" customHeight="1" x14ac:dyDescent="0.2">
      <c r="B48" s="1404" t="s">
        <v>1730</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397" t="str">
        <f>'Single Audit Cover'!A7</f>
        <v>MALDEN COMMUNITY CONSOLIDATED SCHOOL DISTRICT 84</v>
      </c>
      <c r="C1" s="2397"/>
      <c r="D1" s="2397"/>
      <c r="E1" s="1469"/>
    </row>
    <row r="2" spans="2:5" s="1279" customFormat="1" ht="12.75" customHeight="1" x14ac:dyDescent="0.2">
      <c r="B2" s="2399">
        <f>'Single Audit Cover'!E7</f>
        <v>28006084004</v>
      </c>
      <c r="C2" s="2399"/>
      <c r="D2" s="2399"/>
      <c r="E2" s="1470"/>
    </row>
    <row r="3" spans="2:5" ht="12.75" customHeight="1" x14ac:dyDescent="0.2">
      <c r="B3" s="2413" t="s">
        <v>1731</v>
      </c>
      <c r="C3" s="2413"/>
      <c r="D3" s="2413"/>
      <c r="E3" s="1271"/>
    </row>
    <row r="4" spans="2:5" s="1279" customFormat="1" ht="12.75" customHeight="1" x14ac:dyDescent="0.2">
      <c r="B4" s="2423" t="str">
        <f>'Single Audit Cover'!A4</f>
        <v>Year Ending June 30, 2019</v>
      </c>
      <c r="C4" s="2423"/>
      <c r="D4" s="2423"/>
      <c r="E4" s="1471"/>
    </row>
    <row r="5" spans="2:5" s="1279" customFormat="1" ht="40.15" customHeight="1" x14ac:dyDescent="0.2">
      <c r="B5" s="1472" t="s">
        <v>1732</v>
      </c>
      <c r="C5" s="328"/>
      <c r="D5" s="328"/>
      <c r="E5" s="328"/>
    </row>
    <row r="6" spans="2:5" s="1279" customFormat="1" ht="13.5" customHeight="1" x14ac:dyDescent="0.2">
      <c r="B6" s="1473" t="s">
        <v>1315</v>
      </c>
      <c r="C6" s="1473" t="s">
        <v>1314</v>
      </c>
      <c r="D6" s="1473" t="s">
        <v>1733</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1734</v>
      </c>
    </row>
    <row r="46" spans="2:5" ht="12.2" customHeight="1" x14ac:dyDescent="0.2">
      <c r="B46" s="1483" t="s">
        <v>1735</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B47" sqref="B4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43" t="s">
        <v>386</v>
      </c>
      <c r="B1" s="2043"/>
      <c r="C1" s="2043"/>
      <c r="D1" s="2043"/>
      <c r="E1" s="2043"/>
      <c r="F1" s="2043"/>
      <c r="G1" s="2043"/>
      <c r="H1" s="2043"/>
      <c r="I1" s="2043"/>
      <c r="J1" s="2043"/>
      <c r="K1" s="2043"/>
      <c r="L1" s="2043"/>
      <c r="M1" s="204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1617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1910</v>
      </c>
      <c r="E7" s="222"/>
      <c r="F7" s="351" t="s">
        <v>272</v>
      </c>
      <c r="G7" s="222"/>
      <c r="H7" s="222"/>
      <c r="I7" s="222"/>
      <c r="J7" s="352">
        <v>19614558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2.0899999999999998E-2</v>
      </c>
      <c r="E10" s="356" t="s">
        <v>1005</v>
      </c>
      <c r="F10" s="355">
        <v>2.4992E-3</v>
      </c>
      <c r="G10" s="356" t="s">
        <v>1005</v>
      </c>
      <c r="H10" s="355">
        <v>1.5E-3</v>
      </c>
      <c r="I10" s="356" t="s">
        <v>1006</v>
      </c>
      <c r="J10" s="1732">
        <f>ROUND(D10+F10+H10,5)</f>
        <v>2.4899999999999999E-2</v>
      </c>
      <c r="K10" s="222"/>
      <c r="L10" s="355">
        <v>5.0000000000000001E-4</v>
      </c>
      <c r="M10" s="222"/>
    </row>
    <row r="11" spans="1:14" ht="7.5" customHeight="1" x14ac:dyDescent="0.2">
      <c r="B11" s="222"/>
      <c r="C11" s="222"/>
      <c r="D11" s="2053" t="str">
        <f>IF(SUM(J10)&lt;=0.0999999,"","Enter the Tax Rates by moving the decimal two places to the left.")</f>
        <v/>
      </c>
      <c r="E11" s="2054"/>
      <c r="F11" s="2054"/>
      <c r="G11" s="2054"/>
      <c r="H11" s="2054"/>
      <c r="I11" s="2054"/>
      <c r="J11" s="205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1618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1060848</v>
      </c>
      <c r="E16" s="356"/>
      <c r="F16" s="1733">
        <f>SUM('Acct Summary 7-8'!C17,'Acct Summary 7-8'!D17,'Acct Summary 7-8'!F17)</f>
        <v>985319</v>
      </c>
      <c r="G16" s="356"/>
      <c r="H16" s="1733">
        <f>SUM(D16-F16)</f>
        <v>75529</v>
      </c>
      <c r="I16" s="222"/>
      <c r="J16" s="1733">
        <f>SUM('Acct Summary 7-8'!C81,'Acct Summary 7-8'!D81,'Acct Summary 7-8'!F81,'Acct Summary 7-8'!I81)</f>
        <v>1025049</v>
      </c>
      <c r="K16" s="222"/>
      <c r="L16" s="222"/>
      <c r="M16" s="222"/>
    </row>
    <row r="17" spans="1:13" ht="12.2" customHeight="1" x14ac:dyDescent="0.2">
      <c r="A17" s="349"/>
      <c r="B17" s="260" t="s">
        <v>8</v>
      </c>
      <c r="C17" s="237" t="s">
        <v>1382</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1619</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2024</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2030</v>
      </c>
      <c r="C31" s="367" t="s">
        <v>586</v>
      </c>
      <c r="D31" s="237" t="s">
        <v>1072</v>
      </c>
      <c r="E31" s="222"/>
      <c r="F31" s="222"/>
      <c r="G31" s="363"/>
      <c r="H31" s="1735">
        <f>IF(B31="X",(J7*0.069),IF(B32="X",(J7*0.138),"Enter x in a.or b."))</f>
        <v>1353404.5020000001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44"/>
      <c r="C54" s="2045"/>
      <c r="D54" s="2045"/>
      <c r="E54" s="2045"/>
      <c r="F54" s="2045"/>
      <c r="G54" s="2045"/>
      <c r="H54" s="2045"/>
      <c r="I54" s="2045"/>
      <c r="J54" s="2045"/>
      <c r="K54" s="2045"/>
      <c r="L54" s="2046"/>
      <c r="M54" s="380"/>
    </row>
    <row r="55" spans="1:13" ht="12.75" customHeight="1" x14ac:dyDescent="0.2">
      <c r="B55" s="2047"/>
      <c r="C55" s="2048"/>
      <c r="D55" s="2048"/>
      <c r="E55" s="2048"/>
      <c r="F55" s="2048"/>
      <c r="G55" s="2048"/>
      <c r="H55" s="2048"/>
      <c r="I55" s="2048"/>
      <c r="J55" s="2048"/>
      <c r="K55" s="2048"/>
      <c r="L55" s="2049"/>
      <c r="M55" s="380"/>
    </row>
    <row r="56" spans="1:13" ht="12.75" customHeight="1" x14ac:dyDescent="0.2">
      <c r="B56" s="2047"/>
      <c r="C56" s="2048"/>
      <c r="D56" s="2048"/>
      <c r="E56" s="2048"/>
      <c r="F56" s="2048"/>
      <c r="G56" s="2048"/>
      <c r="H56" s="2048"/>
      <c r="I56" s="2048"/>
      <c r="J56" s="2048"/>
      <c r="K56" s="2048"/>
      <c r="L56" s="2049"/>
      <c r="M56" s="222"/>
    </row>
    <row r="57" spans="1:13" ht="12.75" customHeight="1" x14ac:dyDescent="0.2">
      <c r="B57" s="2047"/>
      <c r="C57" s="2048"/>
      <c r="D57" s="2048"/>
      <c r="E57" s="2048"/>
      <c r="F57" s="2048"/>
      <c r="G57" s="2048"/>
      <c r="H57" s="2048"/>
      <c r="I57" s="2048"/>
      <c r="J57" s="2048"/>
      <c r="K57" s="2048"/>
      <c r="L57" s="2049"/>
      <c r="M57" s="222"/>
    </row>
    <row r="58" spans="1:13" x14ac:dyDescent="0.2">
      <c r="B58" s="2050"/>
      <c r="C58" s="2051"/>
      <c r="D58" s="2051"/>
      <c r="E58" s="2051"/>
      <c r="F58" s="2051"/>
      <c r="G58" s="2051"/>
      <c r="H58" s="2051"/>
      <c r="I58" s="2051"/>
      <c r="J58" s="2051"/>
      <c r="K58" s="2051"/>
      <c r="L58" s="205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55"/>
      <c r="D61" s="205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4"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58"/>
      <c r="B1" s="2059"/>
      <c r="C1" s="2059"/>
      <c r="D1" s="384"/>
      <c r="E1" s="384"/>
      <c r="F1" s="384"/>
      <c r="G1" s="384"/>
      <c r="H1" s="384"/>
      <c r="I1" s="384"/>
      <c r="J1" s="384"/>
      <c r="K1" s="384"/>
      <c r="L1" s="384"/>
      <c r="M1" s="384"/>
      <c r="N1" s="384"/>
      <c r="O1" s="2058"/>
      <c r="P1" s="2059"/>
      <c r="Q1" s="2059"/>
    </row>
    <row r="2" spans="1:18" ht="15" x14ac:dyDescent="0.2">
      <c r="A2" s="2062" t="s">
        <v>556</v>
      </c>
      <c r="B2" s="2062"/>
      <c r="C2" s="2062"/>
      <c r="D2" s="2062"/>
      <c r="E2" s="2062"/>
      <c r="F2" s="2062"/>
      <c r="G2" s="2062"/>
      <c r="H2" s="2062"/>
      <c r="I2" s="2062"/>
      <c r="J2" s="2062"/>
      <c r="K2" s="2062"/>
      <c r="L2" s="2062"/>
      <c r="M2" s="2062"/>
      <c r="N2" s="2062"/>
      <c r="O2" s="2062"/>
      <c r="P2" s="2062"/>
      <c r="Q2" s="2062"/>
      <c r="R2" s="2062"/>
    </row>
    <row r="3" spans="1:18" ht="12.75" x14ac:dyDescent="0.2">
      <c r="A3" s="2063" t="s">
        <v>1399</v>
      </c>
      <c r="B3" s="2063"/>
      <c r="C3" s="2063"/>
      <c r="D3" s="2063"/>
      <c r="E3" s="2063"/>
      <c r="F3" s="2063"/>
      <c r="G3" s="2063"/>
      <c r="H3" s="2063"/>
      <c r="I3" s="2063"/>
      <c r="J3" s="2063"/>
      <c r="K3" s="2063"/>
      <c r="L3" s="2063"/>
      <c r="M3" s="2063"/>
      <c r="N3" s="2063"/>
      <c r="O3" s="2063"/>
      <c r="P3" s="2063"/>
      <c r="Q3" s="2063"/>
      <c r="R3" s="2063"/>
    </row>
    <row r="4" spans="1:18" x14ac:dyDescent="0.2">
      <c r="A4" s="2064" t="s">
        <v>1523</v>
      </c>
      <c r="B4" s="2064"/>
      <c r="C4" s="2064"/>
      <c r="D4" s="2064"/>
      <c r="E4" s="2064"/>
      <c r="F4" s="2064"/>
      <c r="G4" s="2064"/>
      <c r="H4" s="2064"/>
      <c r="I4" s="2064"/>
      <c r="J4" s="2064"/>
      <c r="K4" s="2064"/>
      <c r="L4" s="2064"/>
      <c r="M4" s="2064"/>
      <c r="N4" s="2064"/>
      <c r="O4" s="2064"/>
      <c r="P4" s="2064"/>
      <c r="Q4" s="2064"/>
      <c r="R4" s="206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MALDEN COMMUNITY CONSOLIDATED SCHOOL DISTRICT 84</v>
      </c>
      <c r="E7" s="391"/>
      <c r="G7" s="252"/>
      <c r="H7" s="387"/>
      <c r="I7" s="387"/>
      <c r="J7" s="387"/>
      <c r="K7" s="387"/>
      <c r="L7" s="329"/>
      <c r="M7" s="329"/>
      <c r="N7" s="329"/>
      <c r="O7" s="329"/>
      <c r="P7" s="329"/>
    </row>
    <row r="8" spans="1:18" ht="12.75" x14ac:dyDescent="0.2">
      <c r="A8" s="329"/>
      <c r="B8" s="329"/>
      <c r="C8" s="389" t="s">
        <v>1125</v>
      </c>
      <c r="D8" s="392">
        <f>COVER!A13</f>
        <v>28006084004</v>
      </c>
      <c r="E8" s="393"/>
      <c r="G8" s="329"/>
      <c r="H8" s="329"/>
      <c r="I8" s="329"/>
      <c r="J8" s="329"/>
      <c r="K8" s="329"/>
      <c r="L8" s="329"/>
      <c r="M8" s="329"/>
      <c r="N8" s="329"/>
      <c r="O8" s="329"/>
      <c r="P8" s="329"/>
    </row>
    <row r="9" spans="1:18" ht="12.75" x14ac:dyDescent="0.2">
      <c r="A9" s="329"/>
      <c r="B9" s="329"/>
      <c r="C9" s="389" t="s">
        <v>713</v>
      </c>
      <c r="D9" s="394" t="str">
        <f>COVER!A15</f>
        <v xml:space="preserve">BUREAU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1025049</v>
      </c>
      <c r="I12" s="404"/>
      <c r="J12" s="404"/>
      <c r="K12" s="405">
        <f>TRUNC((H12/H13*100000),5)/100000</f>
        <v>0.96625435500000012</v>
      </c>
      <c r="L12" s="406"/>
      <c r="M12" s="360" t="s">
        <v>1144</v>
      </c>
      <c r="N12" s="360"/>
      <c r="O12" s="407">
        <v>0.35</v>
      </c>
      <c r="P12" s="218"/>
      <c r="Q12" s="218"/>
    </row>
    <row r="13" spans="1:18" s="408" customFormat="1" ht="12.75" x14ac:dyDescent="0.2">
      <c r="A13" s="218"/>
      <c r="B13" s="401"/>
      <c r="C13" s="2060" t="s">
        <v>1324</v>
      </c>
      <c r="D13" s="2061"/>
      <c r="E13" s="218"/>
      <c r="F13" s="409" t="s">
        <v>793</v>
      </c>
      <c r="G13" s="402"/>
      <c r="H13" s="403">
        <f>SUM('Acct Summary 7-8'!C8+'Acct Summary 7-8'!D8+'Acct Summary 7-8'!F8+'Acct Summary 7-8'!I8)+H14</f>
        <v>1060848</v>
      </c>
      <c r="I13" s="404"/>
      <c r="J13" s="404"/>
      <c r="K13" s="410"/>
      <c r="L13" s="218"/>
      <c r="M13" s="360" t="s">
        <v>1145</v>
      </c>
      <c r="N13" s="360"/>
      <c r="O13" s="411">
        <f>(O11*O12)</f>
        <v>1.4</v>
      </c>
      <c r="P13" s="218"/>
      <c r="Q13" s="218"/>
      <c r="R13" s="412"/>
    </row>
    <row r="14" spans="1:18" s="408" customFormat="1" ht="12.75" x14ac:dyDescent="0.2">
      <c r="A14" s="218"/>
      <c r="B14" s="401"/>
      <c r="C14" s="240" t="s">
        <v>1383</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1397</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985319</v>
      </c>
      <c r="I17" s="404"/>
      <c r="J17" s="416"/>
      <c r="K17" s="405">
        <f>TRUNC((H17/H18*100000),5)/100000</f>
        <v>0.92880318379999993</v>
      </c>
      <c r="L17" s="406"/>
      <c r="M17" s="417" t="s">
        <v>1171</v>
      </c>
      <c r="O17" s="418" t="str">
        <f>IF(AND(O16="2", J20 &gt; 2),"1",IF(AND(O16 = "1", J20 &gt; 2),"2",IF(AND(O16="1", J20 &gt;1),"1","0")))</f>
        <v>0</v>
      </c>
      <c r="P17" s="218"/>
    </row>
    <row r="18" spans="1:18" s="408" customFormat="1" ht="11.25" x14ac:dyDescent="0.2">
      <c r="A18" s="218"/>
      <c r="B18" s="401"/>
      <c r="C18" s="2060" t="s">
        <v>1317</v>
      </c>
      <c r="D18" s="2061"/>
      <c r="E18" s="218"/>
      <c r="F18" s="419" t="s">
        <v>794</v>
      </c>
      <c r="G18" s="402"/>
      <c r="H18" s="403">
        <f>SUM('Acct Summary 7-8'!C8+'Acct Summary 7-8'!D8+'Acct Summary 7-8'!F8+'Acct Summary 7-8'!I8)+H19</f>
        <v>1060848</v>
      </c>
      <c r="I18" s="404"/>
      <c r="J18" s="404"/>
      <c r="K18" s="410"/>
      <c r="L18" s="218"/>
      <c r="M18" s="360" t="s">
        <v>1144</v>
      </c>
      <c r="N18" s="360"/>
      <c r="O18" s="410">
        <v>0.35</v>
      </c>
      <c r="P18" s="218"/>
    </row>
    <row r="19" spans="1:18" s="408" customFormat="1" ht="11.25" x14ac:dyDescent="0.2">
      <c r="A19" s="218"/>
      <c r="B19" s="401"/>
      <c r="C19" s="240" t="s">
        <v>1383</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1397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57" t="s">
        <v>1398</v>
      </c>
      <c r="D24" s="2057"/>
      <c r="E24" s="218"/>
      <c r="F24" s="218" t="s">
        <v>445</v>
      </c>
      <c r="G24" s="402"/>
      <c r="H24" s="403">
        <f>SUM('Assets-Liab 5-6'!C4+'Assets-Liab 5-6'!D4+'Assets-Liab 5-6'!F4+'Assets-Liab 5-6'!I4+'Assets-Liab 5-6'!C5+'Assets-Liab 5-6'!D5+'Assets-Liab 5-6'!F5+'Assets-Liab 5-6'!I5)</f>
        <v>1025049</v>
      </c>
      <c r="I24" s="422"/>
      <c r="J24" s="422"/>
      <c r="K24" s="423">
        <f>TRUNC(((H24/H25*100000)/100000),2)</f>
        <v>374.51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2736.9972200000002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1893</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415142.12007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165000</v>
      </c>
      <c r="I32" s="420"/>
      <c r="J32" s="420"/>
      <c r="K32" s="423">
        <f>TRUNC(100-((((H32/H33*100))*100)/100),2)</f>
        <v>87.8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1353404.5020000001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1947</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1492</v>
      </c>
      <c r="I40" s="408"/>
      <c r="J40" s="408"/>
      <c r="K40" s="410"/>
      <c r="L40" s="408"/>
      <c r="M40" s="408"/>
      <c r="N40" s="408"/>
      <c r="O40" s="218"/>
      <c r="P40" s="216"/>
      <c r="Q40" s="216"/>
    </row>
    <row r="41" spans="1:17" x14ac:dyDescent="0.2">
      <c r="G41" s="448"/>
      <c r="H41" s="218" t="s">
        <v>1493</v>
      </c>
      <c r="M41" s="216"/>
      <c r="O41" s="216"/>
      <c r="P41" s="216"/>
      <c r="Q41" s="216"/>
    </row>
    <row r="42" spans="1:17" x14ac:dyDescent="0.2">
      <c r="A42" s="385" t="s">
        <v>1494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2" activePane="bottomLeft" state="frozen"/>
      <selection pane="bottomLeft" activeCell="L38" sqref="L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65" t="s">
        <v>1480</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6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67" t="s">
        <v>973</v>
      </c>
      <c r="B3" s="2068"/>
      <c r="C3" s="1559"/>
      <c r="D3" s="1560"/>
      <c r="E3" s="1560"/>
      <c r="F3" s="1560"/>
      <c r="G3" s="1560"/>
      <c r="H3" s="1560"/>
      <c r="I3" s="1560"/>
      <c r="J3" s="1560"/>
      <c r="K3" s="1560"/>
      <c r="L3" s="1560"/>
      <c r="M3" s="1561"/>
      <c r="N3" s="1562"/>
    </row>
    <row r="4" spans="1:14" ht="13.5" customHeight="1" x14ac:dyDescent="0.2">
      <c r="A4" s="463" t="s">
        <v>1620</v>
      </c>
      <c r="B4" s="464"/>
      <c r="C4" s="465">
        <f>586138+750</f>
        <v>586888</v>
      </c>
      <c r="D4" s="466">
        <v>131299</v>
      </c>
      <c r="E4" s="466">
        <v>14577</v>
      </c>
      <c r="F4" s="466">
        <v>145371</v>
      </c>
      <c r="G4" s="466">
        <v>34630</v>
      </c>
      <c r="H4" s="466"/>
      <c r="I4" s="466">
        <v>161491</v>
      </c>
      <c r="J4" s="467">
        <v>37839</v>
      </c>
      <c r="K4" s="466">
        <v>31080</v>
      </c>
      <c r="L4" s="466">
        <v>1453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586888</v>
      </c>
      <c r="D13" s="1737">
        <f t="shared" ref="D13:L13" si="0">SUM(D4:D12)</f>
        <v>131299</v>
      </c>
      <c r="E13" s="1737">
        <f t="shared" si="0"/>
        <v>14577</v>
      </c>
      <c r="F13" s="1737">
        <f t="shared" si="0"/>
        <v>145371</v>
      </c>
      <c r="G13" s="1737">
        <f t="shared" si="0"/>
        <v>34630</v>
      </c>
      <c r="H13" s="1737">
        <f t="shared" si="0"/>
        <v>0</v>
      </c>
      <c r="I13" s="1737">
        <f t="shared" si="0"/>
        <v>161491</v>
      </c>
      <c r="J13" s="1737">
        <f t="shared" si="0"/>
        <v>37839</v>
      </c>
      <c r="K13" s="1737">
        <f t="shared" si="0"/>
        <v>31080</v>
      </c>
      <c r="L13" s="1737">
        <f t="shared" si="0"/>
        <v>1453</v>
      </c>
      <c r="M13" s="468"/>
      <c r="N13" s="469"/>
    </row>
    <row r="14" spans="1:14" ht="18" customHeight="1" thickTop="1" x14ac:dyDescent="0.2">
      <c r="A14" s="2069" t="s">
        <v>147</v>
      </c>
      <c r="B14" s="2070"/>
      <c r="C14" s="1563"/>
      <c r="D14" s="1564"/>
      <c r="E14" s="1564"/>
      <c r="F14" s="1564"/>
      <c r="G14" s="1564"/>
      <c r="H14" s="1564"/>
      <c r="I14" s="1564"/>
      <c r="J14" s="1564"/>
      <c r="K14" s="1564"/>
      <c r="L14" s="1564"/>
      <c r="M14" s="1565"/>
      <c r="N14" s="1566"/>
    </row>
    <row r="15" spans="1:14" s="485" customFormat="1" ht="12.75" customHeight="1" x14ac:dyDescent="0.2">
      <c r="A15" s="482" t="s">
        <v>1387</v>
      </c>
      <c r="B15" s="483">
        <v>210</v>
      </c>
      <c r="C15" s="477"/>
      <c r="D15" s="477"/>
      <c r="E15" s="477"/>
      <c r="F15" s="477"/>
      <c r="G15" s="477"/>
      <c r="H15" s="477"/>
      <c r="I15" s="477"/>
      <c r="J15" s="477"/>
      <c r="K15" s="477"/>
      <c r="L15" s="477"/>
      <c r="M15" s="478"/>
      <c r="N15" s="484"/>
    </row>
    <row r="16" spans="1:14" s="485" customFormat="1" ht="12.75" customHeight="1" x14ac:dyDescent="0.2">
      <c r="A16" s="482" t="s">
        <v>1388</v>
      </c>
      <c r="B16" s="483">
        <v>220</v>
      </c>
      <c r="C16" s="477"/>
      <c r="D16" s="477"/>
      <c r="E16" s="477"/>
      <c r="F16" s="477"/>
      <c r="G16" s="477"/>
      <c r="H16" s="477"/>
      <c r="I16" s="477"/>
      <c r="J16" s="477"/>
      <c r="K16" s="477"/>
      <c r="L16" s="477"/>
      <c r="M16" s="467">
        <v>3000</v>
      </c>
      <c r="N16" s="484"/>
    </row>
    <row r="17" spans="1:14" s="485" customFormat="1" ht="12.75" customHeight="1" x14ac:dyDescent="0.2">
      <c r="A17" s="482" t="s">
        <v>1389</v>
      </c>
      <c r="B17" s="483">
        <v>230</v>
      </c>
      <c r="C17" s="477"/>
      <c r="D17" s="477"/>
      <c r="E17" s="477"/>
      <c r="F17" s="477"/>
      <c r="G17" s="477"/>
      <c r="H17" s="477"/>
      <c r="I17" s="477"/>
      <c r="J17" s="477"/>
      <c r="K17" s="477"/>
      <c r="L17" s="477"/>
      <c r="M17" s="467">
        <v>811311</v>
      </c>
      <c r="N17" s="484"/>
    </row>
    <row r="18" spans="1:14" s="485" customFormat="1" ht="12.75" customHeight="1" x14ac:dyDescent="0.2">
      <c r="A18" s="482" t="s">
        <v>1390</v>
      </c>
      <c r="B18" s="483">
        <v>240</v>
      </c>
      <c r="C18" s="477"/>
      <c r="D18" s="477"/>
      <c r="E18" s="477"/>
      <c r="F18" s="477"/>
      <c r="G18" s="477"/>
      <c r="H18" s="477"/>
      <c r="I18" s="477"/>
      <c r="J18" s="477"/>
      <c r="K18" s="477"/>
      <c r="L18" s="477"/>
      <c r="M18" s="467">
        <v>47768</v>
      </c>
      <c r="N18" s="484"/>
    </row>
    <row r="19" spans="1:14" s="485" customFormat="1" ht="12.75" customHeight="1" x14ac:dyDescent="0.2">
      <c r="A19" s="482" t="s">
        <v>1391</v>
      </c>
      <c r="B19" s="483">
        <v>250</v>
      </c>
      <c r="C19" s="477"/>
      <c r="D19" s="477"/>
      <c r="E19" s="477"/>
      <c r="F19" s="477"/>
      <c r="G19" s="477"/>
      <c r="H19" s="477"/>
      <c r="I19" s="477"/>
      <c r="J19" s="477"/>
      <c r="K19" s="477"/>
      <c r="L19" s="477"/>
      <c r="M19" s="467">
        <f>193260+298037</f>
        <v>491297</v>
      </c>
      <c r="N19" s="484"/>
    </row>
    <row r="20" spans="1:14" s="485" customFormat="1" ht="12.75" customHeight="1" x14ac:dyDescent="0.2">
      <c r="A20" s="482" t="s">
        <v>1392</v>
      </c>
      <c r="B20" s="483">
        <v>260</v>
      </c>
      <c r="C20" s="477"/>
      <c r="D20" s="477"/>
      <c r="E20" s="477"/>
      <c r="F20" s="477"/>
      <c r="G20" s="477"/>
      <c r="H20" s="477"/>
      <c r="I20" s="477"/>
      <c r="J20" s="477"/>
      <c r="K20" s="477"/>
      <c r="L20" s="477"/>
      <c r="M20" s="467"/>
      <c r="N20" s="484"/>
    </row>
    <row r="21" spans="1:14" s="485" customFormat="1" ht="12.75" customHeight="1" x14ac:dyDescent="0.2">
      <c r="A21" s="482" t="s">
        <v>1393</v>
      </c>
      <c r="B21" s="483">
        <v>340</v>
      </c>
      <c r="C21" s="477"/>
      <c r="D21" s="477"/>
      <c r="E21" s="477"/>
      <c r="F21" s="477"/>
      <c r="G21" s="477"/>
      <c r="H21" s="477"/>
      <c r="I21" s="477"/>
      <c r="J21" s="477"/>
      <c r="K21" s="477"/>
      <c r="L21" s="477"/>
      <c r="M21" s="486"/>
      <c r="N21" s="467">
        <v>14577</v>
      </c>
    </row>
    <row r="22" spans="1:14" s="485" customFormat="1" ht="12.75" customHeight="1" x14ac:dyDescent="0.2">
      <c r="A22" s="482" t="s">
        <v>1394</v>
      </c>
      <c r="B22" s="483">
        <v>350</v>
      </c>
      <c r="C22" s="477"/>
      <c r="D22" s="477"/>
      <c r="E22" s="477"/>
      <c r="F22" s="477"/>
      <c r="G22" s="477"/>
      <c r="H22" s="477"/>
      <c r="I22" s="477"/>
      <c r="J22" s="477"/>
      <c r="K22" s="477"/>
      <c r="L22" s="477"/>
      <c r="M22" s="486"/>
      <c r="N22" s="487">
        <f>'Short-Term Long-Term Debt 24'!J49</f>
        <v>150423</v>
      </c>
    </row>
    <row r="23" spans="1:14" ht="13.5" customHeight="1" thickBot="1" x14ac:dyDescent="0.25">
      <c r="A23" s="1736" t="s">
        <v>643</v>
      </c>
      <c r="B23" s="1741"/>
      <c r="C23" s="468"/>
      <c r="D23" s="468"/>
      <c r="E23" s="468"/>
      <c r="F23" s="468"/>
      <c r="G23" s="468"/>
      <c r="H23" s="468"/>
      <c r="I23" s="468"/>
      <c r="J23" s="468"/>
      <c r="K23" s="468"/>
      <c r="L23" s="468"/>
      <c r="M23" s="1688">
        <f>SUM(M15:M22)</f>
        <v>1353376</v>
      </c>
      <c r="N23" s="1688">
        <f>SUM(N21:N22)</f>
        <v>165000</v>
      </c>
    </row>
    <row r="24" spans="1:14" ht="18" customHeight="1" thickTop="1" x14ac:dyDescent="0.2">
      <c r="A24" s="2071" t="s">
        <v>598</v>
      </c>
      <c r="B24" s="207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1453</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1453</v>
      </c>
      <c r="M34" s="468"/>
      <c r="N34" s="480"/>
    </row>
    <row r="35" spans="1:14" ht="18" customHeight="1" thickTop="1" x14ac:dyDescent="0.2">
      <c r="A35" s="2073" t="s">
        <v>529</v>
      </c>
      <c r="B35" s="207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165000</v>
      </c>
    </row>
    <row r="37" spans="1:14" ht="13.5" thickBot="1" x14ac:dyDescent="0.25">
      <c r="A37" s="1736" t="s">
        <v>653</v>
      </c>
      <c r="B37" s="1741"/>
      <c r="C37" s="477"/>
      <c r="D37" s="477"/>
      <c r="E37" s="477"/>
      <c r="F37" s="477"/>
      <c r="G37" s="477"/>
      <c r="H37" s="477"/>
      <c r="I37" s="477"/>
      <c r="J37" s="477"/>
      <c r="K37" s="477"/>
      <c r="L37" s="480"/>
      <c r="M37" s="468"/>
      <c r="N37" s="1688">
        <f>SUM(N36:N36)</f>
        <v>165000</v>
      </c>
    </row>
    <row r="38" spans="1:14" s="329" customFormat="1" ht="13.5" customHeight="1" thickTop="1" x14ac:dyDescent="0.2">
      <c r="A38" s="496" t="s">
        <v>420</v>
      </c>
      <c r="B38" s="483">
        <v>714</v>
      </c>
      <c r="C38" s="466">
        <v>31536</v>
      </c>
      <c r="D38" s="466"/>
      <c r="E38" s="466"/>
      <c r="F38" s="466"/>
      <c r="G38" s="466"/>
      <c r="H38" s="466"/>
      <c r="I38" s="466"/>
      <c r="J38" s="467"/>
      <c r="K38" s="466"/>
      <c r="L38" s="481"/>
      <c r="M38" s="497"/>
      <c r="N38" s="497"/>
    </row>
    <row r="39" spans="1:14" s="329" customFormat="1" ht="13.5" customHeight="1" x14ac:dyDescent="0.2">
      <c r="A39" s="496" t="s">
        <v>342</v>
      </c>
      <c r="B39" s="483">
        <v>730</v>
      </c>
      <c r="C39" s="466">
        <f>586888-31536</f>
        <v>555352</v>
      </c>
      <c r="D39" s="466">
        <v>131299</v>
      </c>
      <c r="E39" s="466">
        <v>14577</v>
      </c>
      <c r="F39" s="466">
        <v>145371</v>
      </c>
      <c r="G39" s="466">
        <v>34630</v>
      </c>
      <c r="H39" s="466"/>
      <c r="I39" s="466">
        <v>161491</v>
      </c>
      <c r="J39" s="467">
        <v>37839</v>
      </c>
      <c r="K39" s="466">
        <v>31080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1353376</v>
      </c>
      <c r="N40" s="497"/>
    </row>
    <row r="41" spans="1:14" ht="13.5" customHeight="1" thickBot="1" x14ac:dyDescent="0.25">
      <c r="A41" s="1736" t="s">
        <v>655</v>
      </c>
      <c r="B41" s="1706"/>
      <c r="C41" s="1688">
        <f>(SUM(C34,C37,C38,C39))</f>
        <v>586888</v>
      </c>
      <c r="D41" s="1688">
        <f t="shared" ref="D41:L41" si="2">SUM(D34,D37,D38:D39)</f>
        <v>131299</v>
      </c>
      <c r="E41" s="1688">
        <f t="shared" si="2"/>
        <v>14577</v>
      </c>
      <c r="F41" s="1688">
        <f t="shared" si="2"/>
        <v>145371</v>
      </c>
      <c r="G41" s="1688">
        <f t="shared" si="2"/>
        <v>34630</v>
      </c>
      <c r="H41" s="1688">
        <f t="shared" si="2"/>
        <v>0</v>
      </c>
      <c r="I41" s="1688">
        <f t="shared" si="2"/>
        <v>161491</v>
      </c>
      <c r="J41" s="1688">
        <f t="shared" si="2"/>
        <v>37839</v>
      </c>
      <c r="K41" s="1688">
        <f t="shared" si="2"/>
        <v>31080</v>
      </c>
      <c r="L41" s="1688">
        <f t="shared" si="2"/>
        <v>1453</v>
      </c>
      <c r="M41" s="1688">
        <f>SUM(M40)</f>
        <v>1353376</v>
      </c>
      <c r="N41" s="1688">
        <f>SUM(N37)</f>
        <v>165000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083" t="s">
        <v>1621</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08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095" t="s">
        <v>1175</v>
      </c>
      <c r="B3" s="2096"/>
      <c r="C3" s="1573"/>
      <c r="D3" s="1574"/>
      <c r="E3" s="1574"/>
      <c r="F3" s="1574"/>
      <c r="G3" s="1574"/>
      <c r="H3" s="1574"/>
      <c r="I3" s="1574"/>
      <c r="J3" s="1574"/>
      <c r="K3" s="1575"/>
      <c r="L3" s="506"/>
    </row>
    <row r="4" spans="1:13" ht="15.75" customHeight="1" x14ac:dyDescent="0.2">
      <c r="A4" s="1888" t="s">
        <v>1485</v>
      </c>
      <c r="B4" s="1889">
        <v>1000</v>
      </c>
      <c r="C4" s="1742">
        <f>'Revenues 9-14'!C109</f>
        <v>504446</v>
      </c>
      <c r="D4" s="1742">
        <f>'Revenues 9-14'!D109</f>
        <v>106567</v>
      </c>
      <c r="E4" s="1742">
        <f>'Revenues 9-14'!E109</f>
        <v>46182</v>
      </c>
      <c r="F4" s="1742">
        <f>'Revenues 9-14'!F109</f>
        <v>29901</v>
      </c>
      <c r="G4" s="1742">
        <f>'Revenues 9-14'!G109</f>
        <v>45435</v>
      </c>
      <c r="H4" s="1742">
        <f>'Revenues 9-14'!H109</f>
        <v>0</v>
      </c>
      <c r="I4" s="1742">
        <f>'Revenues 9-14'!I109</f>
        <v>9662</v>
      </c>
      <c r="J4" s="1742">
        <f>'Revenues 9-14'!J109</f>
        <v>62837</v>
      </c>
      <c r="K4" s="1742">
        <f>'Revenues 9-14'!K109</f>
        <v>9321</v>
      </c>
      <c r="L4" s="347"/>
    </row>
    <row r="5" spans="1:13" ht="15.75" customHeight="1" x14ac:dyDescent="0.2">
      <c r="A5" s="1576" t="s">
        <v>1486</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1487</v>
      </c>
      <c r="B6" s="1578">
        <v>3000</v>
      </c>
      <c r="C6" s="1743">
        <f>'Revenues 9-14'!C170</f>
        <v>285491</v>
      </c>
      <c r="D6" s="1743">
        <f>'Revenues 9-14'!D170</f>
        <v>1000</v>
      </c>
      <c r="E6" s="1743">
        <f>'Revenues 9-14'!E170</f>
        <v>0</v>
      </c>
      <c r="F6" s="1743">
        <f>'Revenues 9-14'!F170</f>
        <v>27018</v>
      </c>
      <c r="G6" s="1743">
        <f>'Revenues 9-14'!G170</f>
        <v>1500</v>
      </c>
      <c r="H6" s="1743">
        <f>'Revenues 9-14'!H170</f>
        <v>0</v>
      </c>
      <c r="I6" s="1743">
        <f>'Revenues 9-14'!I170</f>
        <v>0</v>
      </c>
      <c r="J6" s="1743">
        <f>'Revenues 9-14'!J170</f>
        <v>0</v>
      </c>
      <c r="K6" s="1743">
        <f>'Revenues 9-14'!K170</f>
        <v>0</v>
      </c>
      <c r="L6" s="347"/>
      <c r="M6" s="513"/>
    </row>
    <row r="7" spans="1:13" ht="15.75" customHeight="1" x14ac:dyDescent="0.2">
      <c r="A7" s="1576" t="s">
        <v>1488</v>
      </c>
      <c r="B7" s="1578">
        <v>4000</v>
      </c>
      <c r="C7" s="1743">
        <f>'Revenues 9-14'!C267</f>
        <v>96763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886700</v>
      </c>
      <c r="D8" s="1688">
        <f t="shared" ref="D8:K8" si="0">SUM(D4:D7)</f>
        <v>107567</v>
      </c>
      <c r="E8" s="1688">
        <f t="shared" si="0"/>
        <v>46182</v>
      </c>
      <c r="F8" s="1688">
        <f t="shared" si="0"/>
        <v>56919</v>
      </c>
      <c r="G8" s="1688">
        <f t="shared" si="0"/>
        <v>46935</v>
      </c>
      <c r="H8" s="1688">
        <f t="shared" si="0"/>
        <v>0</v>
      </c>
      <c r="I8" s="1688">
        <f t="shared" si="0"/>
        <v>9662</v>
      </c>
      <c r="J8" s="1688">
        <f t="shared" si="0"/>
        <v>62837</v>
      </c>
      <c r="K8" s="1688">
        <f t="shared" si="0"/>
        <v>9321</v>
      </c>
      <c r="L8" s="347"/>
    </row>
    <row r="9" spans="1:13" ht="15.75" thickTop="1" x14ac:dyDescent="0.2">
      <c r="A9" s="514" t="s">
        <v>1622</v>
      </c>
      <c r="B9" s="515">
        <v>3998</v>
      </c>
      <c r="C9" s="481">
        <f>325953+5987</f>
        <v>331940</v>
      </c>
      <c r="D9" s="516"/>
      <c r="E9" s="481"/>
      <c r="F9" s="481"/>
      <c r="G9" s="517"/>
      <c r="H9" s="481"/>
      <c r="I9" s="509" t="s">
        <v>1169</v>
      </c>
      <c r="J9" s="478"/>
      <c r="K9" s="481"/>
      <c r="L9" s="347"/>
    </row>
    <row r="10" spans="1:13" s="519" customFormat="1" ht="13.5" thickBot="1" x14ac:dyDescent="0.25">
      <c r="A10" s="1736" t="s">
        <v>1173</v>
      </c>
      <c r="B10" s="1709"/>
      <c r="C10" s="1688">
        <f>SUM(C8:C9)</f>
        <v>1218640</v>
      </c>
      <c r="D10" s="1688">
        <f t="shared" ref="D10:K10" si="1">SUM(D8:D9)</f>
        <v>107567</v>
      </c>
      <c r="E10" s="1688">
        <f t="shared" si="1"/>
        <v>46182</v>
      </c>
      <c r="F10" s="1688">
        <f t="shared" si="1"/>
        <v>56919</v>
      </c>
      <c r="G10" s="1688">
        <f t="shared" si="1"/>
        <v>46935</v>
      </c>
      <c r="H10" s="1688">
        <f t="shared" si="1"/>
        <v>0</v>
      </c>
      <c r="I10" s="1688">
        <f t="shared" si="1"/>
        <v>9662</v>
      </c>
      <c r="J10" s="1688">
        <f t="shared" si="1"/>
        <v>62837</v>
      </c>
      <c r="K10" s="1688">
        <f t="shared" si="1"/>
        <v>9321</v>
      </c>
      <c r="L10" s="518"/>
    </row>
    <row r="11" spans="1:13" s="519" customFormat="1" ht="16.7" customHeight="1" thickTop="1" x14ac:dyDescent="0.2">
      <c r="A11" s="2069" t="s">
        <v>1176</v>
      </c>
      <c r="B11" s="2070"/>
      <c r="C11" s="1570"/>
      <c r="D11" s="1571"/>
      <c r="E11" s="1571"/>
      <c r="F11" s="1571"/>
      <c r="G11" s="1571"/>
      <c r="H11" s="1571"/>
      <c r="I11" s="1571"/>
      <c r="J11" s="1571"/>
      <c r="K11" s="1572"/>
      <c r="L11" s="518"/>
    </row>
    <row r="12" spans="1:13" ht="15.75" customHeight="1" x14ac:dyDescent="0.2">
      <c r="A12" s="1576" t="s">
        <v>456</v>
      </c>
      <c r="B12" s="1578">
        <v>1000</v>
      </c>
      <c r="C12" s="1742">
        <f>'Expenditures 15-22'!K33</f>
        <v>539475</v>
      </c>
      <c r="D12" s="520" t="s">
        <v>1169</v>
      </c>
      <c r="E12" s="468" t="s">
        <v>1169</v>
      </c>
      <c r="F12" s="468" t="s">
        <v>1169</v>
      </c>
      <c r="G12" s="1742">
        <f>'Expenditures 15-22'!K229</f>
        <v>23757</v>
      </c>
      <c r="H12" s="521"/>
      <c r="I12" s="468" t="s">
        <v>1169</v>
      </c>
      <c r="J12" s="468" t="s">
        <v>1169</v>
      </c>
      <c r="K12" s="521" t="s">
        <v>1169</v>
      </c>
      <c r="L12" s="347"/>
    </row>
    <row r="13" spans="1:13" ht="15.75" customHeight="1" x14ac:dyDescent="0.2">
      <c r="A13" s="1576" t="s">
        <v>457</v>
      </c>
      <c r="B13" s="1578">
        <v>2000</v>
      </c>
      <c r="C13" s="1743">
        <f>'Expenditures 15-22'!K74</f>
        <v>255024</v>
      </c>
      <c r="D13" s="1743">
        <f>'Expenditures 15-22'!K129</f>
        <v>101367</v>
      </c>
      <c r="E13" s="469" t="s">
        <v>1169</v>
      </c>
      <c r="F13" s="1743">
        <f>'Expenditures 15-22'!K184</f>
        <v>26669</v>
      </c>
      <c r="G13" s="1743">
        <f>'Expenditures 15-22'!K279</f>
        <v>15569</v>
      </c>
      <c r="H13" s="1743">
        <f>'Expenditures 15-22'!K303</f>
        <v>0</v>
      </c>
      <c r="I13" s="468" t="s">
        <v>1169</v>
      </c>
      <c r="J13" s="1743">
        <f>'Expenditures 15-22'!K330</f>
        <v>55140</v>
      </c>
      <c r="K13" s="1747">
        <f>'Expenditures 15-22'!K352</f>
        <v>0</v>
      </c>
      <c r="L13" s="347"/>
    </row>
    <row r="14" spans="1:13" ht="15.75" customHeight="1" x14ac:dyDescent="0.2">
      <c r="A14" s="1576" t="s">
        <v>449</v>
      </c>
      <c r="B14" s="1578">
        <v>3000</v>
      </c>
      <c r="C14" s="1743">
        <f>'Expenditures 15-22'!K75</f>
        <v>20739</v>
      </c>
      <c r="D14" s="1743">
        <f>'Expenditures 15-22'!K130</f>
        <v>0</v>
      </c>
      <c r="E14" s="520" t="s">
        <v>1169</v>
      </c>
      <c r="F14" s="1743">
        <f>'Expenditures 15-22'!K185</f>
        <v>0</v>
      </c>
      <c r="G14" s="1743">
        <f>'Expenditures 15-22'!K280</f>
        <v>942</v>
      </c>
      <c r="H14" s="512"/>
      <c r="I14" s="468" t="s">
        <v>1169</v>
      </c>
      <c r="J14" s="468" t="s">
        <v>1169</v>
      </c>
      <c r="K14" s="512" t="s">
        <v>1169</v>
      </c>
      <c r="L14" s="347"/>
    </row>
    <row r="15" spans="1:13" ht="15.75" customHeight="1" x14ac:dyDescent="0.2">
      <c r="A15" s="1576" t="s">
        <v>107</v>
      </c>
      <c r="B15" s="1578">
        <v>4000</v>
      </c>
      <c r="C15" s="1743">
        <f>'Expenditures 15-22'!K102</f>
        <v>30548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46813</v>
      </c>
      <c r="F16" s="1743">
        <f>'Expenditures 15-22'!K208</f>
        <v>11497</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845786</v>
      </c>
      <c r="D17" s="1688">
        <f t="shared" si="2"/>
        <v>101367</v>
      </c>
      <c r="E17" s="1688">
        <f t="shared" si="2"/>
        <v>46813</v>
      </c>
      <c r="F17" s="1688">
        <f t="shared" si="2"/>
        <v>38166</v>
      </c>
      <c r="G17" s="1688">
        <f t="shared" si="2"/>
        <v>40268</v>
      </c>
      <c r="H17" s="1688">
        <f t="shared" si="2"/>
        <v>0</v>
      </c>
      <c r="I17" s="468"/>
      <c r="J17" s="1688">
        <f>SUM(J12:J16)</f>
        <v>55140</v>
      </c>
      <c r="K17" s="1688">
        <f>SUM(K12:K16)</f>
        <v>0</v>
      </c>
      <c r="L17" s="347"/>
    </row>
    <row r="18" spans="1:12" ht="15" customHeight="1" thickTop="1" x14ac:dyDescent="0.2">
      <c r="A18" s="1744" t="s">
        <v>1623</v>
      </c>
      <c r="B18" s="1745">
        <v>4180</v>
      </c>
      <c r="C18" s="1742">
        <f t="shared" ref="C18:H18" si="3">C9</f>
        <v>331940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1177726</v>
      </c>
      <c r="D19" s="1688">
        <f t="shared" si="4"/>
        <v>101367</v>
      </c>
      <c r="E19" s="1688">
        <f t="shared" si="4"/>
        <v>46813</v>
      </c>
      <c r="F19" s="1688">
        <f t="shared" si="4"/>
        <v>38166</v>
      </c>
      <c r="G19" s="1688">
        <f t="shared" si="4"/>
        <v>40268</v>
      </c>
      <c r="H19" s="1688">
        <f t="shared" si="4"/>
        <v>0</v>
      </c>
      <c r="I19" s="468"/>
      <c r="J19" s="1688">
        <f>SUM(J17:J18)</f>
        <v>55140</v>
      </c>
      <c r="K19" s="1688">
        <f>SUM(K17:K18)</f>
        <v>0</v>
      </c>
      <c r="L19" s="347"/>
    </row>
    <row r="20" spans="1:12" ht="16.5" thickTop="1" thickBot="1" x14ac:dyDescent="0.25">
      <c r="A20" s="2085" t="s">
        <v>1624</v>
      </c>
      <c r="B20" s="2086"/>
      <c r="C20" s="1746">
        <f>C8-C17</f>
        <v>40914</v>
      </c>
      <c r="D20" s="1746">
        <f t="shared" ref="D20:K20" si="5">D8-D17</f>
        <v>6200</v>
      </c>
      <c r="E20" s="1746">
        <f t="shared" si="5"/>
        <v>-631</v>
      </c>
      <c r="F20" s="1746">
        <f t="shared" si="5"/>
        <v>18753</v>
      </c>
      <c r="G20" s="1746">
        <f t="shared" si="5"/>
        <v>6667</v>
      </c>
      <c r="H20" s="1746">
        <f t="shared" si="5"/>
        <v>0</v>
      </c>
      <c r="I20" s="1746">
        <f t="shared" si="5"/>
        <v>9662</v>
      </c>
      <c r="J20" s="1746">
        <f t="shared" si="5"/>
        <v>7697</v>
      </c>
      <c r="K20" s="1746">
        <f t="shared" si="5"/>
        <v>9321</v>
      </c>
      <c r="L20" s="347"/>
    </row>
    <row r="21" spans="1:12" ht="16.7" customHeight="1" thickTop="1" x14ac:dyDescent="0.2">
      <c r="A21" s="2097" t="s">
        <v>595</v>
      </c>
      <c r="B21" s="2098"/>
      <c r="C21" s="1570"/>
      <c r="D21" s="1571"/>
      <c r="E21" s="1571"/>
      <c r="F21" s="1571"/>
      <c r="G21" s="1571"/>
      <c r="H21" s="1571"/>
      <c r="I21" s="1571"/>
      <c r="J21" s="1571"/>
      <c r="K21" s="1572"/>
      <c r="L21" s="524"/>
    </row>
    <row r="22" spans="1:12" ht="15.75" customHeight="1" collapsed="1" x14ac:dyDescent="0.2">
      <c r="A22" s="2093" t="s">
        <v>596</v>
      </c>
      <c r="B22" s="2094"/>
      <c r="C22" s="477"/>
      <c r="D22" s="477"/>
      <c r="E22" s="477"/>
      <c r="F22" s="477"/>
      <c r="G22" s="477"/>
      <c r="H22" s="477"/>
      <c r="I22" s="477"/>
      <c r="J22" s="477"/>
      <c r="K22" s="477"/>
      <c r="L22" s="347"/>
    </row>
    <row r="23" spans="1:12" s="485" customFormat="1" ht="15.75" customHeight="1" x14ac:dyDescent="0.2">
      <c r="A23" s="2089" t="s">
        <v>293</v>
      </c>
      <c r="B23" s="2090"/>
      <c r="C23" s="480"/>
      <c r="D23" s="477"/>
      <c r="E23" s="477"/>
      <c r="F23" s="477"/>
      <c r="G23" s="477"/>
      <c r="H23" s="477"/>
      <c r="I23" s="477"/>
      <c r="J23" s="477"/>
      <c r="K23" s="477"/>
      <c r="L23" s="524"/>
    </row>
    <row r="24" spans="1:12" s="485" customFormat="1" ht="13.5" customHeight="1" x14ac:dyDescent="0.2">
      <c r="A24" s="1489" t="s">
        <v>1625</v>
      </c>
      <c r="B24" s="525">
        <v>7110</v>
      </c>
      <c r="C24" s="467"/>
      <c r="D24" s="477"/>
      <c r="E24" s="477"/>
      <c r="F24" s="477"/>
      <c r="G24" s="477"/>
      <c r="H24" s="477"/>
      <c r="I24" s="477"/>
      <c r="J24" s="477"/>
      <c r="K24" s="477"/>
      <c r="L24" s="524"/>
    </row>
    <row r="25" spans="1:12" s="485" customFormat="1" ht="13.5" customHeight="1" x14ac:dyDescent="0.2">
      <c r="A25" s="1489" t="s">
        <v>1626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1384</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1759</v>
      </c>
      <c r="B30" s="527">
        <v>7160</v>
      </c>
      <c r="C30" s="477"/>
      <c r="D30" s="467"/>
      <c r="E30" s="477"/>
      <c r="F30" s="477"/>
      <c r="G30" s="477"/>
      <c r="H30" s="477"/>
      <c r="I30" s="477"/>
      <c r="J30" s="477"/>
      <c r="K30" s="477"/>
      <c r="L30" s="524"/>
    </row>
    <row r="31" spans="1:12" s="485" customFormat="1" ht="26.25" x14ac:dyDescent="0.2">
      <c r="A31" s="1489" t="s">
        <v>1763</v>
      </c>
      <c r="B31" s="527">
        <v>7170</v>
      </c>
      <c r="C31" s="477"/>
      <c r="D31" s="477"/>
      <c r="E31" s="474"/>
      <c r="F31" s="477"/>
      <c r="G31" s="477"/>
      <c r="H31" s="477"/>
      <c r="I31" s="477"/>
      <c r="J31" s="477"/>
      <c r="K31" s="477"/>
      <c r="L31" s="524"/>
    </row>
    <row r="32" spans="1:12" s="485" customFormat="1" ht="15.75" customHeight="1" x14ac:dyDescent="0.2">
      <c r="A32" s="2091" t="s">
        <v>981</v>
      </c>
      <c r="B32" s="209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1627</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099" t="s">
        <v>374</v>
      </c>
      <c r="B44" s="2100"/>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093" t="s">
        <v>108</v>
      </c>
      <c r="B45" s="2094"/>
      <c r="C45" s="528"/>
      <c r="D45" s="528"/>
      <c r="E45" s="528"/>
      <c r="F45" s="528"/>
      <c r="G45" s="528"/>
      <c r="H45" s="528"/>
      <c r="I45" s="528"/>
      <c r="J45" s="528"/>
      <c r="K45" s="528"/>
      <c r="L45" s="347"/>
    </row>
    <row r="46" spans="1:12" s="485" customFormat="1" ht="15.75" customHeight="1" x14ac:dyDescent="0.2">
      <c r="A46" s="2101" t="s">
        <v>109</v>
      </c>
      <c r="B46" s="2102"/>
      <c r="C46" s="477"/>
      <c r="D46" s="477"/>
      <c r="E46" s="477"/>
      <c r="F46" s="477"/>
      <c r="G46" s="477"/>
      <c r="H46" s="477"/>
      <c r="I46" s="480"/>
      <c r="J46" s="477"/>
      <c r="K46" s="477"/>
      <c r="L46" s="529"/>
    </row>
    <row r="47" spans="1:12" s="485" customFormat="1" ht="15" x14ac:dyDescent="0.2">
      <c r="A47" s="1490" t="s">
        <v>1628</v>
      </c>
      <c r="B47" s="483">
        <v>8110</v>
      </c>
      <c r="C47" s="477"/>
      <c r="D47" s="477"/>
      <c r="E47" s="477"/>
      <c r="F47" s="477"/>
      <c r="G47" s="477"/>
      <c r="H47" s="477"/>
      <c r="I47" s="1743">
        <f>SUM(C24,C25:H25,J25:K25)</f>
        <v>0</v>
      </c>
      <c r="J47" s="477"/>
      <c r="K47" s="477"/>
      <c r="L47" s="529"/>
    </row>
    <row r="48" spans="1:12" s="485" customFormat="1" ht="15" x14ac:dyDescent="0.2">
      <c r="A48" s="1490" t="s">
        <v>1629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1384</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1762</v>
      </c>
      <c r="B52" s="483">
        <v>8160</v>
      </c>
      <c r="C52" s="477"/>
      <c r="D52" s="477"/>
      <c r="E52" s="477"/>
      <c r="F52" s="477"/>
      <c r="G52" s="477"/>
      <c r="H52" s="477"/>
      <c r="I52" s="477"/>
      <c r="J52" s="477"/>
      <c r="K52" s="1743">
        <f>D30</f>
        <v>0</v>
      </c>
      <c r="L52" s="524"/>
    </row>
    <row r="53" spans="1:12" s="485" customFormat="1" ht="26.25" x14ac:dyDescent="0.2">
      <c r="A53" s="1490" t="s">
        <v>1761</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075" t="s">
        <v>440</v>
      </c>
      <c r="B76" s="207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077" t="s">
        <v>1177</v>
      </c>
      <c r="B77" s="2078"/>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081" t="s">
        <v>597</v>
      </c>
      <c r="B78" s="2082"/>
      <c r="C78" s="1702">
        <f t="shared" ref="C78:K78" si="9">C20+C77</f>
        <v>40914</v>
      </c>
      <c r="D78" s="1702">
        <f t="shared" si="9"/>
        <v>6200</v>
      </c>
      <c r="E78" s="1702">
        <f t="shared" si="9"/>
        <v>-631</v>
      </c>
      <c r="F78" s="1702">
        <f t="shared" si="9"/>
        <v>18753</v>
      </c>
      <c r="G78" s="1702">
        <f t="shared" si="9"/>
        <v>6667</v>
      </c>
      <c r="H78" s="1702">
        <f t="shared" si="9"/>
        <v>0</v>
      </c>
      <c r="I78" s="1702">
        <f t="shared" si="9"/>
        <v>9662</v>
      </c>
      <c r="J78" s="1702">
        <f t="shared" si="9"/>
        <v>7697</v>
      </c>
      <c r="K78" s="1702">
        <f t="shared" si="9"/>
        <v>9321</v>
      </c>
      <c r="L78" s="533"/>
    </row>
    <row r="79" spans="1:12" ht="13.5" thickTop="1" x14ac:dyDescent="0.2">
      <c r="A79" s="1494" t="s">
        <v>1911</v>
      </c>
      <c r="B79" s="534"/>
      <c r="C79" s="478">
        <v>545974</v>
      </c>
      <c r="D79" s="535">
        <v>125099</v>
      </c>
      <c r="E79" s="535">
        <v>15208</v>
      </c>
      <c r="F79" s="535">
        <v>126618</v>
      </c>
      <c r="G79" s="535">
        <v>27963</v>
      </c>
      <c r="H79" s="535"/>
      <c r="I79" s="535">
        <v>151829</v>
      </c>
      <c r="J79" s="535">
        <v>30142</v>
      </c>
      <c r="K79" s="535">
        <v>21759</v>
      </c>
      <c r="L79" s="347"/>
    </row>
    <row r="80" spans="1:12" x14ac:dyDescent="0.2">
      <c r="A80" s="2087" t="s">
        <v>1760</v>
      </c>
      <c r="B80" s="2088"/>
      <c r="C80" s="467"/>
      <c r="D80" s="467"/>
      <c r="E80" s="467"/>
      <c r="F80" s="467"/>
      <c r="G80" s="467"/>
      <c r="H80" s="467"/>
      <c r="I80" s="467"/>
      <c r="J80" s="467"/>
      <c r="K80" s="467"/>
      <c r="L80" s="347"/>
    </row>
    <row r="81" spans="1:12" ht="13.5" thickBot="1" x14ac:dyDescent="0.25">
      <c r="A81" s="2079" t="s">
        <v>1912</v>
      </c>
      <c r="B81" s="2080"/>
      <c r="C81" s="1688">
        <f>(SUM(C78:C80))</f>
        <v>586888</v>
      </c>
      <c r="D81" s="1688">
        <f>SUM(D78:D80)</f>
        <v>131299</v>
      </c>
      <c r="E81" s="1688">
        <f t="shared" ref="E81:K81" si="10">SUM(E78:E80)</f>
        <v>14577</v>
      </c>
      <c r="F81" s="1688">
        <f t="shared" si="10"/>
        <v>145371</v>
      </c>
      <c r="G81" s="1688">
        <f t="shared" si="10"/>
        <v>34630</v>
      </c>
      <c r="H81" s="1688">
        <f t="shared" si="10"/>
        <v>0</v>
      </c>
      <c r="I81" s="1688">
        <f t="shared" si="10"/>
        <v>161491</v>
      </c>
      <c r="J81" s="1688">
        <f t="shared" si="10"/>
        <v>37839</v>
      </c>
      <c r="K81" s="1688">
        <f t="shared" si="10"/>
        <v>31080</v>
      </c>
      <c r="L81" s="347"/>
    </row>
    <row r="82" spans="1:12" ht="0.75" customHeight="1" thickTop="1" thickBot="1" x14ac:dyDescent="0.25">
      <c r="A82" s="536" t="s">
        <v>343</v>
      </c>
      <c r="B82" s="537"/>
      <c r="C82" s="538">
        <f>(C81-C79)</f>
        <v>40914</v>
      </c>
      <c r="D82" s="538">
        <f t="shared" ref="D82:K82" si="11">(D81-D79)</f>
        <v>6200</v>
      </c>
      <c r="E82" s="538">
        <f t="shared" si="11"/>
        <v>-631</v>
      </c>
      <c r="F82" s="538">
        <f t="shared" si="11"/>
        <v>18753</v>
      </c>
      <c r="G82" s="538">
        <f t="shared" si="11"/>
        <v>6667</v>
      </c>
      <c r="H82" s="538">
        <f t="shared" si="11"/>
        <v>0</v>
      </c>
      <c r="I82" s="538">
        <f t="shared" si="11"/>
        <v>9662</v>
      </c>
      <c r="J82" s="538">
        <f t="shared" si="11"/>
        <v>7697</v>
      </c>
      <c r="K82" s="538">
        <f t="shared" si="11"/>
        <v>9321</v>
      </c>
    </row>
    <row r="83" spans="1:12" ht="14.25" hidden="1" thickTop="1" thickBot="1" x14ac:dyDescent="0.25">
      <c r="A83" s="539" t="s">
        <v>344</v>
      </c>
      <c r="B83" s="464"/>
      <c r="C83" s="540">
        <f>C82/C81</f>
        <v>6.9713471735663363E-2</v>
      </c>
      <c r="D83" s="540">
        <f t="shared" ref="D83:K83" si="12">D82/D81</f>
        <v>4.7220466264023334E-2</v>
      </c>
      <c r="E83" s="540">
        <f t="shared" si="12"/>
        <v>-4.328737051519517E-2</v>
      </c>
      <c r="F83" s="540">
        <f t="shared" si="12"/>
        <v>0.12900096993210475</v>
      </c>
      <c r="G83" s="540">
        <f t="shared" si="12"/>
        <v>0.1925209356049668</v>
      </c>
      <c r="H83" s="540" t="e">
        <f t="shared" si="12"/>
        <v>#DIV/0!</v>
      </c>
      <c r="I83" s="540">
        <f t="shared" si="12"/>
        <v>5.9829959564310087E-2</v>
      </c>
      <c r="J83" s="540">
        <f t="shared" si="12"/>
        <v>0.20341446655567008</v>
      </c>
      <c r="K83" s="540">
        <f t="shared" si="12"/>
        <v>0.29990347490347491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I5" sqref="I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083" t="s">
        <v>1767</v>
      </c>
      <c r="B1" s="452"/>
      <c r="C1" s="453" t="s">
        <v>425</v>
      </c>
      <c r="D1" s="453" t="s">
        <v>426</v>
      </c>
      <c r="E1" s="453" t="s">
        <v>427</v>
      </c>
      <c r="F1" s="453" t="s">
        <v>428</v>
      </c>
      <c r="G1" s="453" t="s">
        <v>429</v>
      </c>
      <c r="H1" s="453" t="s">
        <v>430</v>
      </c>
      <c r="I1" s="453" t="s">
        <v>431</v>
      </c>
      <c r="J1" s="453" t="s">
        <v>432</v>
      </c>
      <c r="K1" s="453" t="s">
        <v>756</v>
      </c>
    </row>
    <row r="2" spans="1:12" ht="36" x14ac:dyDescent="0.2">
      <c r="A2" s="208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1630</v>
      </c>
      <c r="B5" s="547"/>
      <c r="C5" s="481">
        <v>386539</v>
      </c>
      <c r="D5" s="481">
        <v>101722</v>
      </c>
      <c r="E5" s="466">
        <v>46129</v>
      </c>
      <c r="F5" s="548">
        <v>27742</v>
      </c>
      <c r="G5" s="466">
        <v>21912</v>
      </c>
      <c r="H5" s="466"/>
      <c r="I5" s="466">
        <v>9248</v>
      </c>
      <c r="J5" s="467">
        <v>62750</v>
      </c>
      <c r="K5" s="466">
        <v>9248</v>
      </c>
    </row>
    <row r="6" spans="1:12" ht="15" x14ac:dyDescent="0.2">
      <c r="A6" s="463" t="s">
        <v>1631</v>
      </c>
      <c r="B6" s="470">
        <v>1130</v>
      </c>
      <c r="C6" s="466">
        <v>9248</v>
      </c>
      <c r="D6" s="466"/>
      <c r="E6" s="475"/>
      <c r="F6" s="475"/>
      <c r="G6" s="468"/>
      <c r="H6" s="468"/>
      <c r="I6" s="468"/>
      <c r="J6" s="468"/>
      <c r="K6" s="468"/>
    </row>
    <row r="7" spans="1:12" x14ac:dyDescent="0.2">
      <c r="A7" s="463" t="s">
        <v>110</v>
      </c>
      <c r="B7" s="549">
        <v>1140</v>
      </c>
      <c r="C7" s="466">
        <v>3699</v>
      </c>
      <c r="D7" s="466"/>
      <c r="E7" s="468"/>
      <c r="F7" s="467"/>
      <c r="G7" s="467"/>
      <c r="H7" s="467"/>
      <c r="I7" s="468"/>
      <c r="J7" s="468"/>
      <c r="K7" s="468"/>
    </row>
    <row r="8" spans="1:12" x14ac:dyDescent="0.2">
      <c r="A8" s="463" t="s">
        <v>413</v>
      </c>
      <c r="B8" s="470">
        <v>1150</v>
      </c>
      <c r="C8" s="475"/>
      <c r="D8" s="475"/>
      <c r="E8" s="477"/>
      <c r="F8" s="477"/>
      <c r="G8" s="481">
        <v>21912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399486</v>
      </c>
      <c r="D12" s="1707">
        <f t="shared" si="0"/>
        <v>101722</v>
      </c>
      <c r="E12" s="1707">
        <f t="shared" si="0"/>
        <v>46129</v>
      </c>
      <c r="F12" s="1707">
        <f t="shared" si="0"/>
        <v>27742</v>
      </c>
      <c r="G12" s="1707">
        <f t="shared" si="0"/>
        <v>43824</v>
      </c>
      <c r="H12" s="1707">
        <f t="shared" si="0"/>
        <v>0</v>
      </c>
      <c r="I12" s="1707">
        <f t="shared" si="0"/>
        <v>9248</v>
      </c>
      <c r="J12" s="1707">
        <f t="shared" si="0"/>
        <v>62750</v>
      </c>
      <c r="K12" s="1688">
        <f t="shared" si="0"/>
        <v>9248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633</v>
      </c>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1632</v>
      </c>
      <c r="B16" s="549">
        <v>1230</v>
      </c>
      <c r="C16" s="551">
        <v>25156</v>
      </c>
      <c r="D16" s="466"/>
      <c r="E16" s="466"/>
      <c r="F16" s="466">
        <v>1500</v>
      </c>
      <c r="G16" s="466">
        <v>1500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25789</v>
      </c>
      <c r="D18" s="1710">
        <f t="shared" ref="D18:K18" si="1">SUM(D14:D17)</f>
        <v>0</v>
      </c>
      <c r="E18" s="1710">
        <f t="shared" si="1"/>
        <v>0</v>
      </c>
      <c r="F18" s="1710">
        <f t="shared" si="1"/>
        <v>1500</v>
      </c>
      <c r="G18" s="1710">
        <f t="shared" si="1"/>
        <v>1500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35676</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35676</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1769</v>
      </c>
      <c r="D65" s="466">
        <v>401</v>
      </c>
      <c r="E65" s="466">
        <v>53</v>
      </c>
      <c r="F65" s="467">
        <v>357</v>
      </c>
      <c r="G65" s="466">
        <v>111</v>
      </c>
      <c r="H65" s="466"/>
      <c r="I65" s="466">
        <v>414</v>
      </c>
      <c r="J65" s="467">
        <v>87</v>
      </c>
      <c r="K65" s="466">
        <v>73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1769</v>
      </c>
      <c r="D67" s="1688">
        <f t="shared" ref="D67:K67" si="2">SUM(D65:D66)</f>
        <v>401</v>
      </c>
      <c r="E67" s="1688">
        <f t="shared" si="2"/>
        <v>53</v>
      </c>
      <c r="F67" s="1688">
        <f t="shared" si="2"/>
        <v>357</v>
      </c>
      <c r="G67" s="1688">
        <f t="shared" si="2"/>
        <v>111</v>
      </c>
      <c r="H67" s="1688">
        <f t="shared" si="2"/>
        <v>0</v>
      </c>
      <c r="I67" s="1688">
        <f t="shared" si="2"/>
        <v>414</v>
      </c>
      <c r="J67" s="1688">
        <f t="shared" si="2"/>
        <v>87</v>
      </c>
      <c r="K67" s="1688">
        <f t="shared" si="2"/>
        <v>73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7615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833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8448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2802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2802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2461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171</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2632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25</v>
      </c>
      <c r="E95" s="521"/>
      <c r="F95" s="521"/>
      <c r="G95" s="521"/>
      <c r="H95" s="521"/>
      <c r="I95" s="521"/>
      <c r="J95" s="521"/>
      <c r="K95" s="521"/>
    </row>
    <row r="96" spans="1:11" ht="12.75" customHeight="1" x14ac:dyDescent="0.2">
      <c r="A96" s="463" t="s">
        <v>391</v>
      </c>
      <c r="B96" s="470">
        <v>1920</v>
      </c>
      <c r="C96" s="551">
        <v>629</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3626</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1416</v>
      </c>
      <c r="B106" s="470">
        <v>1993</v>
      </c>
      <c r="C106" s="466"/>
      <c r="D106" s="489"/>
      <c r="E106" s="467"/>
      <c r="F106" s="467"/>
      <c r="G106" s="467"/>
      <c r="H106" s="467"/>
      <c r="I106" s="521"/>
      <c r="J106" s="467"/>
      <c r="K106" s="467"/>
    </row>
    <row r="107" spans="1:12" ht="12.75" customHeight="1" x14ac:dyDescent="0.2">
      <c r="A107" s="463" t="s">
        <v>78</v>
      </c>
      <c r="B107" s="470">
        <v>1999</v>
      </c>
      <c r="C107" s="551">
        <v>23589</v>
      </c>
      <c r="D107" s="466">
        <v>4419</v>
      </c>
      <c r="E107" s="466"/>
      <c r="F107" s="466">
        <v>302</v>
      </c>
      <c r="G107" s="466"/>
      <c r="H107" s="466"/>
      <c r="I107" s="466"/>
      <c r="J107" s="467"/>
      <c r="K107" s="466"/>
    </row>
    <row r="108" spans="1:12" ht="12.75" customHeight="1" thickBot="1" x14ac:dyDescent="0.25">
      <c r="A108" s="1708" t="s">
        <v>487</v>
      </c>
      <c r="B108" s="1712"/>
      <c r="C108" s="1707">
        <f>SUM(C95:C107)</f>
        <v>27844</v>
      </c>
      <c r="D108" s="1707">
        <f t="shared" ref="D108:K108" si="3">SUM(D95:D107)</f>
        <v>4444</v>
      </c>
      <c r="E108" s="1707">
        <f t="shared" si="3"/>
        <v>0</v>
      </c>
      <c r="F108" s="1707">
        <f t="shared" si="3"/>
        <v>302</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504446</v>
      </c>
      <c r="D109" s="1715">
        <f t="shared" si="4"/>
        <v>106567</v>
      </c>
      <c r="E109" s="1715">
        <f t="shared" si="4"/>
        <v>46182</v>
      </c>
      <c r="F109" s="1715">
        <f t="shared" si="4"/>
        <v>29901</v>
      </c>
      <c r="G109" s="1715">
        <f t="shared" si="4"/>
        <v>45435</v>
      </c>
      <c r="H109" s="1715">
        <f t="shared" si="4"/>
        <v>0</v>
      </c>
      <c r="I109" s="1715">
        <f t="shared" si="4"/>
        <v>9662</v>
      </c>
      <c r="J109" s="1715">
        <f t="shared" si="4"/>
        <v>62837</v>
      </c>
      <c r="K109" s="1702">
        <f t="shared" si="4"/>
        <v>9321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1477</v>
      </c>
      <c r="B116" s="1596"/>
      <c r="C116" s="522"/>
      <c r="D116" s="521"/>
      <c r="E116" s="561"/>
      <c r="F116" s="521"/>
      <c r="G116" s="521"/>
      <c r="H116" s="561"/>
      <c r="I116" s="468"/>
      <c r="J116" s="521"/>
      <c r="K116" s="521"/>
    </row>
    <row r="117" spans="1:11" ht="12.75" customHeight="1" x14ac:dyDescent="0.2">
      <c r="A117" s="463" t="s">
        <v>1636</v>
      </c>
      <c r="B117" s="562">
        <v>3001</v>
      </c>
      <c r="C117" s="516">
        <v>156338</v>
      </c>
      <c r="D117" s="481"/>
      <c r="E117" s="466"/>
      <c r="F117" s="481"/>
      <c r="G117" s="481"/>
      <c r="H117" s="466"/>
      <c r="I117" s="468"/>
      <c r="J117" s="467"/>
      <c r="K117" s="466"/>
    </row>
    <row r="118" spans="1:11" ht="12.75" customHeight="1" x14ac:dyDescent="0.2">
      <c r="A118" s="463" t="s">
        <v>1764</v>
      </c>
      <c r="B118" s="562">
        <v>3002</v>
      </c>
      <c r="C118" s="551"/>
      <c r="D118" s="466"/>
      <c r="E118" s="466"/>
      <c r="F118" s="466"/>
      <c r="G118" s="466"/>
      <c r="H118" s="466"/>
      <c r="I118" s="468"/>
      <c r="J118" s="467"/>
      <c r="K118" s="466"/>
    </row>
    <row r="119" spans="1:11" ht="12.75" customHeight="1" x14ac:dyDescent="0.2">
      <c r="A119" s="463" t="s">
        <v>1765</v>
      </c>
      <c r="B119" s="562">
        <v>3005</v>
      </c>
      <c r="C119" s="551"/>
      <c r="D119" s="466"/>
      <c r="E119" s="466"/>
      <c r="F119" s="466"/>
      <c r="G119" s="466"/>
      <c r="H119" s="466"/>
      <c r="I119" s="468"/>
      <c r="J119" s="467"/>
      <c r="K119" s="466"/>
    </row>
    <row r="120" spans="1:11" ht="12.75" customHeight="1" x14ac:dyDescent="0.2">
      <c r="A120" s="1890" t="s">
        <v>1898</v>
      </c>
      <c r="B120" s="562">
        <v>3030</v>
      </c>
      <c r="C120" s="551"/>
      <c r="D120" s="466"/>
      <c r="E120" s="466"/>
      <c r="F120" s="466"/>
      <c r="G120" s="466"/>
      <c r="H120" s="466"/>
      <c r="I120" s="468"/>
      <c r="J120" s="467"/>
      <c r="K120" s="466"/>
    </row>
    <row r="121" spans="1:11" x14ac:dyDescent="0.2">
      <c r="A121" s="1496" t="s">
        <v>1766</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156338</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1476</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1432</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1433</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394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1434</v>
      </c>
      <c r="B152" s="562">
        <v>3500</v>
      </c>
      <c r="C152" s="551"/>
      <c r="D152" s="466"/>
      <c r="E152" s="561"/>
      <c r="F152" s="466">
        <v>24838</v>
      </c>
      <c r="G152" s="467"/>
      <c r="H152" s="468"/>
      <c r="I152" s="468"/>
      <c r="J152" s="468"/>
      <c r="K152" s="468"/>
    </row>
    <row r="153" spans="1:11" ht="12.75" customHeight="1" x14ac:dyDescent="0.2">
      <c r="A153" s="463" t="s">
        <v>1057</v>
      </c>
      <c r="B153" s="562">
        <v>3510</v>
      </c>
      <c r="C153" s="551"/>
      <c r="D153" s="466"/>
      <c r="E153" s="561"/>
      <c r="F153" s="466">
        <v>180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25018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128759</v>
      </c>
      <c r="D159" s="578">
        <v>1000</v>
      </c>
      <c r="E159" s="561"/>
      <c r="F159" s="576">
        <v>2000</v>
      </c>
      <c r="G159" s="576">
        <v>1500</v>
      </c>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1435</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03" t="s">
        <v>398</v>
      </c>
      <c r="B169" s="2104"/>
      <c r="C169" s="1722">
        <f t="shared" ref="C169:K169" si="6">SUM(C132,C141,C145,C146:C150,C155,C156:C167,C168)</f>
        <v>129153</v>
      </c>
      <c r="D169" s="1722">
        <f t="shared" si="6"/>
        <v>1000</v>
      </c>
      <c r="E169" s="1722">
        <f t="shared" si="6"/>
        <v>0</v>
      </c>
      <c r="F169" s="1722">
        <f t="shared" si="6"/>
        <v>27018</v>
      </c>
      <c r="G169" s="1722">
        <f t="shared" si="6"/>
        <v>1500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285491</v>
      </c>
      <c r="D170" s="1715">
        <f t="shared" si="7"/>
        <v>1000</v>
      </c>
      <c r="E170" s="1715">
        <f t="shared" si="7"/>
        <v>0</v>
      </c>
      <c r="F170" s="1715">
        <f t="shared" si="7"/>
        <v>27018</v>
      </c>
      <c r="G170" s="1715">
        <f t="shared" si="7"/>
        <v>1500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05" t="s">
        <v>1478</v>
      </c>
      <c r="B172" s="210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09" t="s">
        <v>1634</v>
      </c>
      <c r="B175" s="211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13" t="s">
        <v>1633</v>
      </c>
      <c r="B176" s="211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11" t="s">
        <v>785</v>
      </c>
      <c r="B181" s="211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07" t="s">
        <v>1768</v>
      </c>
      <c r="B182" s="2108"/>
      <c r="C182" s="584"/>
      <c r="D182" s="566"/>
      <c r="E182" s="509"/>
      <c r="F182" s="566"/>
      <c r="G182" s="566"/>
      <c r="H182" s="468"/>
      <c r="I182" s="468"/>
      <c r="J182" s="468"/>
      <c r="K182" s="468"/>
    </row>
    <row r="183" spans="1:11" ht="15.75" customHeight="1" x14ac:dyDescent="0.2">
      <c r="A183" s="1603" t="s">
        <v>1571</v>
      </c>
      <c r="B183" s="1604"/>
      <c r="C183" s="522"/>
      <c r="D183" s="521"/>
      <c r="E183" s="509"/>
      <c r="F183" s="521"/>
      <c r="G183" s="521"/>
      <c r="H183" s="468"/>
      <c r="I183" s="468"/>
      <c r="J183" s="468"/>
      <c r="K183" s="468"/>
    </row>
    <row r="184" spans="1:11" ht="12.75" customHeight="1" x14ac:dyDescent="0.2">
      <c r="A184" s="463" t="s">
        <v>1572</v>
      </c>
      <c r="B184" s="470">
        <v>4100</v>
      </c>
      <c r="C184" s="516"/>
      <c r="D184" s="481"/>
      <c r="E184" s="561"/>
      <c r="F184" s="481"/>
      <c r="G184" s="481"/>
      <c r="H184" s="468"/>
      <c r="I184" s="468"/>
      <c r="J184" s="468"/>
      <c r="K184" s="468"/>
    </row>
    <row r="185" spans="1:11" ht="12.75" customHeight="1" x14ac:dyDescent="0.2">
      <c r="A185" s="463" t="s">
        <v>1573</v>
      </c>
      <c r="B185" s="470">
        <v>4105</v>
      </c>
      <c r="C185" s="551"/>
      <c r="D185" s="466"/>
      <c r="E185" s="561"/>
      <c r="F185" s="466"/>
      <c r="G185" s="466"/>
      <c r="H185" s="468"/>
      <c r="I185" s="468"/>
      <c r="J185" s="468"/>
      <c r="K185" s="468"/>
    </row>
    <row r="186" spans="1:11" ht="12.75" customHeight="1" x14ac:dyDescent="0.2">
      <c r="A186" s="463" t="s">
        <v>1575</v>
      </c>
      <c r="B186" s="470">
        <v>4107</v>
      </c>
      <c r="C186" s="551">
        <v>26936</v>
      </c>
      <c r="D186" s="466"/>
      <c r="E186" s="561"/>
      <c r="F186" s="466"/>
      <c r="G186" s="466"/>
      <c r="H186" s="468"/>
      <c r="I186" s="468"/>
      <c r="J186" s="468"/>
      <c r="K186" s="468"/>
    </row>
    <row r="187" spans="1:11" ht="12.75" customHeight="1" x14ac:dyDescent="0.2">
      <c r="A187" s="463" t="s">
        <v>1574</v>
      </c>
      <c r="B187" s="470">
        <v>4199</v>
      </c>
      <c r="C187" s="551"/>
      <c r="D187" s="466"/>
      <c r="E187" s="561"/>
      <c r="F187" s="466"/>
      <c r="G187" s="466"/>
      <c r="H187" s="468"/>
      <c r="I187" s="468"/>
      <c r="J187" s="468"/>
      <c r="K187" s="468"/>
    </row>
    <row r="188" spans="1:11" ht="12.75" customHeight="1" thickBot="1" x14ac:dyDescent="0.25">
      <c r="A188" s="1708" t="s">
        <v>1576</v>
      </c>
      <c r="B188" s="1709"/>
      <c r="C188" s="1707">
        <f>SUM(C184:C187)</f>
        <v>26936</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1436</v>
      </c>
      <c r="B190" s="470">
        <v>4200</v>
      </c>
      <c r="C190" s="467"/>
      <c r="D190" s="468"/>
      <c r="E190" s="561"/>
      <c r="F190" s="553"/>
      <c r="G190" s="585"/>
      <c r="H190" s="468"/>
      <c r="I190" s="468"/>
      <c r="J190" s="468"/>
      <c r="K190" s="468"/>
    </row>
    <row r="191" spans="1:11" ht="12.75" customHeight="1" x14ac:dyDescent="0.2">
      <c r="A191" s="463" t="s">
        <v>1058</v>
      </c>
      <c r="B191" s="470">
        <v>4210</v>
      </c>
      <c r="C191" s="466">
        <v>16049</v>
      </c>
      <c r="D191" s="468"/>
      <c r="E191" s="561"/>
      <c r="F191" s="468"/>
      <c r="G191" s="585"/>
      <c r="H191" s="468"/>
      <c r="I191" s="468"/>
      <c r="J191" s="468"/>
      <c r="K191" s="468"/>
    </row>
    <row r="192" spans="1:11" ht="12.75" customHeight="1" x14ac:dyDescent="0.2">
      <c r="A192" s="463" t="s">
        <v>1047</v>
      </c>
      <c r="B192" s="470">
        <v>4215</v>
      </c>
      <c r="C192" s="551">
        <v>868</v>
      </c>
      <c r="D192" s="468"/>
      <c r="E192" s="561"/>
      <c r="F192" s="468"/>
      <c r="G192" s="585"/>
      <c r="H192" s="468"/>
      <c r="I192" s="468"/>
      <c r="J192" s="468"/>
      <c r="K192" s="468"/>
    </row>
    <row r="193" spans="1:11" ht="12.75" customHeight="1" x14ac:dyDescent="0.2">
      <c r="A193" s="463" t="s">
        <v>1059</v>
      </c>
      <c r="B193" s="470">
        <v>4220</v>
      </c>
      <c r="C193" s="551">
        <v>4221</v>
      </c>
      <c r="D193" s="468"/>
      <c r="E193" s="561"/>
      <c r="F193" s="468"/>
      <c r="G193" s="585"/>
      <c r="H193" s="468"/>
      <c r="I193" s="468"/>
      <c r="J193" s="468"/>
      <c r="K193" s="468"/>
    </row>
    <row r="194" spans="1:11" ht="12.75" customHeight="1" x14ac:dyDescent="0.2">
      <c r="A194" s="463" t="s">
        <v>1437</v>
      </c>
      <c r="B194" s="470">
        <v>4225</v>
      </c>
      <c r="C194" s="551"/>
      <c r="D194" s="468"/>
      <c r="E194" s="561"/>
      <c r="F194" s="468"/>
      <c r="G194" s="585"/>
      <c r="H194" s="468"/>
      <c r="I194" s="468"/>
      <c r="J194" s="468"/>
      <c r="K194" s="468"/>
    </row>
    <row r="195" spans="1:11" ht="12.75" customHeight="1" x14ac:dyDescent="0.2">
      <c r="A195" s="463" t="s">
        <v>1438</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21138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26944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26944</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10140</v>
      </c>
      <c r="D206" s="466"/>
      <c r="E206" s="468"/>
      <c r="F206" s="466"/>
      <c r="G206" s="466"/>
      <c r="H206" s="468"/>
      <c r="I206" s="468"/>
      <c r="J206" s="468"/>
      <c r="K206" s="468"/>
    </row>
    <row r="207" spans="1:11" ht="12.75" customHeight="1" x14ac:dyDescent="0.2">
      <c r="A207" s="463" t="s">
        <v>1439</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10140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1440</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1441</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1407</v>
      </c>
      <c r="B253" s="588">
        <v>4901</v>
      </c>
      <c r="C253" s="589"/>
      <c r="D253" s="469"/>
      <c r="E253" s="468"/>
      <c r="F253" s="468"/>
      <c r="G253" s="468"/>
      <c r="H253" s="468"/>
      <c r="I253" s="468"/>
      <c r="J253" s="468"/>
      <c r="K253" s="468"/>
    </row>
    <row r="254" spans="1:11" ht="12.75" customHeight="1" thickTop="1" thickBot="1" x14ac:dyDescent="0.25">
      <c r="A254" s="1503" t="s">
        <v>1449</v>
      </c>
      <c r="B254" s="590">
        <v>4902</v>
      </c>
      <c r="C254" s="591"/>
      <c r="D254" s="592"/>
      <c r="E254" s="469"/>
      <c r="F254" s="592"/>
      <c r="G254" s="592"/>
      <c r="H254" s="469"/>
      <c r="I254" s="468"/>
      <c r="J254" s="469"/>
      <c r="K254" s="469"/>
    </row>
    <row r="255" spans="1:11" ht="12.75" customHeight="1" thickTop="1" thickBot="1" x14ac:dyDescent="0.25">
      <c r="A255" s="463" t="s">
        <v>1442</v>
      </c>
      <c r="B255" s="470">
        <v>4905</v>
      </c>
      <c r="C255" s="573"/>
      <c r="D255" s="468"/>
      <c r="E255" s="468"/>
      <c r="F255" s="578"/>
      <c r="G255" s="573"/>
      <c r="H255" s="468"/>
      <c r="I255" s="468"/>
      <c r="J255" s="468"/>
      <c r="K255" s="468"/>
    </row>
    <row r="256" spans="1:11" ht="12.75" customHeight="1" thickTop="1" thickBot="1" x14ac:dyDescent="0.25">
      <c r="A256" s="463" t="s">
        <v>1443</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2347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90" t="s">
        <v>1899</v>
      </c>
      <c r="B261" s="470">
        <v>4981</v>
      </c>
      <c r="C261" s="575"/>
      <c r="D261" s="576"/>
      <c r="E261" s="468"/>
      <c r="F261" s="576"/>
      <c r="G261" s="576"/>
      <c r="H261" s="468"/>
      <c r="I261" s="468"/>
      <c r="J261" s="468"/>
      <c r="K261" s="468"/>
    </row>
    <row r="262" spans="1:11" ht="12.75" customHeight="1" thickTop="1" thickBot="1" x14ac:dyDescent="0.25">
      <c r="A262" s="1891" t="s">
        <v>1900</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6975</v>
      </c>
      <c r="D264" s="576"/>
      <c r="E264" s="468"/>
      <c r="F264" s="576"/>
      <c r="G264" s="576"/>
      <c r="H264" s="468"/>
      <c r="I264" s="468"/>
      <c r="J264" s="468"/>
      <c r="K264" s="468"/>
    </row>
    <row r="265" spans="1:11" s="593" customFormat="1" ht="12.75" customHeight="1" thickTop="1" thickBot="1" x14ac:dyDescent="0.25">
      <c r="A265" s="563" t="s">
        <v>75</v>
      </c>
      <c r="B265" s="557">
        <v>4999</v>
      </c>
      <c r="C265" s="575">
        <v>2283</v>
      </c>
      <c r="D265" s="576"/>
      <c r="E265" s="468"/>
      <c r="F265" s="576"/>
      <c r="G265" s="576"/>
      <c r="H265" s="530"/>
      <c r="I265" s="468"/>
      <c r="J265" s="468"/>
      <c r="K265" s="530"/>
    </row>
    <row r="266" spans="1:11" ht="14.25" thickTop="1" thickBot="1" x14ac:dyDescent="0.25">
      <c r="A266" s="1708" t="s">
        <v>1635</v>
      </c>
      <c r="B266" s="1727"/>
      <c r="C266" s="1715">
        <f t="shared" ref="C266:H266" si="10">SUM(C188,C198,C204,C209,C217,C221,C222,C252:C265)</f>
        <v>96763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96763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886700</v>
      </c>
      <c r="D268" s="1715">
        <f t="shared" si="12"/>
        <v>107567</v>
      </c>
      <c r="E268" s="1715">
        <f t="shared" si="12"/>
        <v>46182</v>
      </c>
      <c r="F268" s="1715">
        <f t="shared" si="12"/>
        <v>56919</v>
      </c>
      <c r="G268" s="1715">
        <f t="shared" si="12"/>
        <v>46935</v>
      </c>
      <c r="H268" s="1715">
        <f t="shared" si="12"/>
        <v>0</v>
      </c>
      <c r="I268" s="1715">
        <f t="shared" si="12"/>
        <v>9662</v>
      </c>
      <c r="J268" s="1715">
        <f t="shared" si="12"/>
        <v>62837</v>
      </c>
      <c r="K268" s="1702">
        <f t="shared" si="12"/>
        <v>9321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3" activePane="bottomLeft" state="frozen"/>
      <selection pane="bottomLeft" activeCell="A63" sqref="A6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083" t="s">
        <v>1767</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1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21" t="s">
        <v>297</v>
      </c>
      <c r="B3" s="212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348886</v>
      </c>
      <c r="D5" s="466">
        <v>33290</v>
      </c>
      <c r="E5" s="466">
        <v>4535</v>
      </c>
      <c r="F5" s="466">
        <v>12386</v>
      </c>
      <c r="G5" s="466"/>
      <c r="H5" s="466">
        <v>1053</v>
      </c>
      <c r="I5" s="467"/>
      <c r="J5" s="467"/>
      <c r="K5" s="1671">
        <f>SUM(C5:J5)</f>
        <v>400150</v>
      </c>
      <c r="L5" s="466">
        <v>415550</v>
      </c>
    </row>
    <row r="6" spans="1:14" x14ac:dyDescent="0.2">
      <c r="A6" s="1504" t="s">
        <v>1419</v>
      </c>
      <c r="B6" s="614" t="s">
        <v>1417</v>
      </c>
      <c r="C6" s="477"/>
      <c r="D6" s="477"/>
      <c r="E6" s="466"/>
      <c r="F6" s="477"/>
      <c r="G6" s="477"/>
      <c r="H6" s="477"/>
      <c r="I6" s="477"/>
      <c r="J6" s="477"/>
      <c r="K6" s="1671">
        <f>SUM(C6,E6)</f>
        <v>0</v>
      </c>
      <c r="L6" s="466"/>
    </row>
    <row r="7" spans="1:14" x14ac:dyDescent="0.2">
      <c r="A7" s="1504" t="s">
        <v>163</v>
      </c>
      <c r="B7" s="614" t="s">
        <v>967</v>
      </c>
      <c r="C7" s="467">
        <v>53213</v>
      </c>
      <c r="D7" s="467">
        <v>4606</v>
      </c>
      <c r="E7" s="467">
        <v>2000</v>
      </c>
      <c r="F7" s="467">
        <v>2982</v>
      </c>
      <c r="G7" s="467"/>
      <c r="H7" s="467"/>
      <c r="I7" s="467"/>
      <c r="J7" s="467"/>
      <c r="K7" s="1671">
        <f t="shared" ref="K7:K32" si="0">SUM(C7:J7)</f>
        <v>62801</v>
      </c>
      <c r="L7" s="466">
        <v>58970</v>
      </c>
    </row>
    <row r="8" spans="1:14" x14ac:dyDescent="0.2">
      <c r="A8" s="1504" t="s">
        <v>164</v>
      </c>
      <c r="B8" s="614">
        <v>1200</v>
      </c>
      <c r="C8" s="466">
        <v>49512</v>
      </c>
      <c r="D8" s="466">
        <v>5001</v>
      </c>
      <c r="E8" s="466"/>
      <c r="F8" s="466">
        <v>632</v>
      </c>
      <c r="G8" s="466"/>
      <c r="H8" s="466"/>
      <c r="I8" s="467"/>
      <c r="J8" s="467"/>
      <c r="K8" s="1671">
        <f t="shared" si="0"/>
        <v>55145</v>
      </c>
      <c r="L8" s="466">
        <v>55275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11880</v>
      </c>
      <c r="D14" s="466">
        <v>898</v>
      </c>
      <c r="E14" s="466">
        <v>4815</v>
      </c>
      <c r="F14" s="466">
        <v>3156</v>
      </c>
      <c r="G14" s="466"/>
      <c r="H14" s="466">
        <v>630</v>
      </c>
      <c r="I14" s="467"/>
      <c r="J14" s="467"/>
      <c r="K14" s="1671">
        <f t="shared" si="0"/>
        <v>21379</v>
      </c>
      <c r="L14" s="466">
        <v>19525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v>500</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1637</v>
      </c>
      <c r="B33" s="1669" t="s">
        <v>570</v>
      </c>
      <c r="C33" s="1670">
        <f>SUM(C5:C32)</f>
        <v>463491</v>
      </c>
      <c r="D33" s="1670">
        <f t="shared" ref="D33:L33" si="1">SUM(D5:D32)</f>
        <v>43795</v>
      </c>
      <c r="E33" s="1670">
        <f t="shared" si="1"/>
        <v>11350</v>
      </c>
      <c r="F33" s="1670">
        <f t="shared" si="1"/>
        <v>19156</v>
      </c>
      <c r="G33" s="1670">
        <f t="shared" si="1"/>
        <v>0</v>
      </c>
      <c r="H33" s="1670">
        <f t="shared" si="1"/>
        <v>1683</v>
      </c>
      <c r="I33" s="1670">
        <f t="shared" si="1"/>
        <v>0</v>
      </c>
      <c r="J33" s="1670">
        <f t="shared" si="1"/>
        <v>0</v>
      </c>
      <c r="K33" s="1670">
        <f t="shared" si="1"/>
        <v>539475</v>
      </c>
      <c r="L33" s="1670">
        <f t="shared" si="1"/>
        <v>549820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v>3343</v>
      </c>
      <c r="F37" s="466"/>
      <c r="G37" s="466"/>
      <c r="H37" s="466"/>
      <c r="I37" s="467"/>
      <c r="J37" s="467"/>
      <c r="K37" s="1671">
        <f t="shared" si="2"/>
        <v>3343</v>
      </c>
      <c r="L37" s="466"/>
    </row>
    <row r="38" spans="1:14" x14ac:dyDescent="0.2">
      <c r="A38" s="1504" t="s">
        <v>198</v>
      </c>
      <c r="B38" s="614">
        <v>2130</v>
      </c>
      <c r="C38" s="466"/>
      <c r="D38" s="466"/>
      <c r="E38" s="466">
        <v>69</v>
      </c>
      <c r="F38" s="466"/>
      <c r="G38" s="466"/>
      <c r="H38" s="466"/>
      <c r="I38" s="467"/>
      <c r="J38" s="467"/>
      <c r="K38" s="1671">
        <f t="shared" si="2"/>
        <v>69</v>
      </c>
      <c r="L38" s="466">
        <v>550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v>26288</v>
      </c>
      <c r="F40" s="466"/>
      <c r="G40" s="466"/>
      <c r="H40" s="466"/>
      <c r="I40" s="467"/>
      <c r="J40" s="467"/>
      <c r="K40" s="1671">
        <f t="shared" si="2"/>
        <v>26288</v>
      </c>
      <c r="L40" s="466">
        <v>32500</v>
      </c>
    </row>
    <row r="41" spans="1:14" x14ac:dyDescent="0.2">
      <c r="A41" s="1504" t="s">
        <v>1638</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29700</v>
      </c>
      <c r="F42" s="1670">
        <f t="shared" si="3"/>
        <v>0</v>
      </c>
      <c r="G42" s="1670">
        <f t="shared" si="3"/>
        <v>0</v>
      </c>
      <c r="H42" s="1670">
        <f t="shared" si="3"/>
        <v>0</v>
      </c>
      <c r="I42" s="1670">
        <f t="shared" si="3"/>
        <v>0</v>
      </c>
      <c r="J42" s="1670">
        <f t="shared" si="3"/>
        <v>0</v>
      </c>
      <c r="K42" s="1670">
        <f t="shared" si="3"/>
        <v>29700</v>
      </c>
      <c r="L42" s="1670">
        <f t="shared" si="3"/>
        <v>33050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10623</v>
      </c>
      <c r="F44" s="481"/>
      <c r="G44" s="481"/>
      <c r="H44" s="481"/>
      <c r="I44" s="467"/>
      <c r="J44" s="467"/>
      <c r="K44" s="1672">
        <f>SUM(C44:J44)</f>
        <v>10623</v>
      </c>
      <c r="L44" s="481">
        <v>6750</v>
      </c>
    </row>
    <row r="45" spans="1:14" x14ac:dyDescent="0.2">
      <c r="A45" s="1504" t="s">
        <v>815</v>
      </c>
      <c r="B45" s="614">
        <v>2220</v>
      </c>
      <c r="C45" s="466"/>
      <c r="D45" s="466"/>
      <c r="E45" s="466">
        <v>10887</v>
      </c>
      <c r="F45" s="466">
        <v>18332</v>
      </c>
      <c r="G45" s="466"/>
      <c r="H45" s="466"/>
      <c r="I45" s="467"/>
      <c r="J45" s="467"/>
      <c r="K45" s="1672">
        <f>SUM(C45:J45)</f>
        <v>29219</v>
      </c>
      <c r="L45" s="466">
        <v>26500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21510</v>
      </c>
      <c r="F47" s="1670">
        <f t="shared" si="4"/>
        <v>18332</v>
      </c>
      <c r="G47" s="1670">
        <f t="shared" si="4"/>
        <v>0</v>
      </c>
      <c r="H47" s="1670">
        <f t="shared" si="4"/>
        <v>0</v>
      </c>
      <c r="I47" s="1670">
        <f t="shared" si="4"/>
        <v>0</v>
      </c>
      <c r="J47" s="1670">
        <f t="shared" si="4"/>
        <v>0</v>
      </c>
      <c r="K47" s="1670">
        <f t="shared" si="4"/>
        <v>39842</v>
      </c>
      <c r="L47" s="1670">
        <f>SUM(L44:L46)</f>
        <v>33250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2986</v>
      </c>
      <c r="D49" s="481"/>
      <c r="E49" s="481">
        <v>5484</v>
      </c>
      <c r="F49" s="481">
        <v>1490</v>
      </c>
      <c r="G49" s="481"/>
      <c r="H49" s="481"/>
      <c r="I49" s="467"/>
      <c r="J49" s="467"/>
      <c r="K49" s="1672">
        <f>SUM(C49:J49)</f>
        <v>9960</v>
      </c>
      <c r="L49" s="481">
        <v>13675</v>
      </c>
    </row>
    <row r="50" spans="1:14" x14ac:dyDescent="0.2">
      <c r="A50" s="1504" t="s">
        <v>818</v>
      </c>
      <c r="B50" s="614">
        <v>2320</v>
      </c>
      <c r="C50" s="466">
        <v>57592</v>
      </c>
      <c r="D50" s="466">
        <v>6107</v>
      </c>
      <c r="E50" s="466"/>
      <c r="F50" s="466"/>
      <c r="G50" s="466"/>
      <c r="H50" s="466">
        <v>2822</v>
      </c>
      <c r="I50" s="467"/>
      <c r="J50" s="467"/>
      <c r="K50" s="1672">
        <f>SUM(C50:J50)</f>
        <v>66521</v>
      </c>
      <c r="L50" s="466">
        <v>67950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60578</v>
      </c>
      <c r="D53" s="1670">
        <f t="shared" ref="D53:L53" si="5">SUM(D49:D52)</f>
        <v>6107</v>
      </c>
      <c r="E53" s="1670">
        <f t="shared" si="5"/>
        <v>5484</v>
      </c>
      <c r="F53" s="1670">
        <f t="shared" si="5"/>
        <v>1490</v>
      </c>
      <c r="G53" s="1670">
        <f t="shared" si="5"/>
        <v>0</v>
      </c>
      <c r="H53" s="1670">
        <f t="shared" si="5"/>
        <v>2822</v>
      </c>
      <c r="I53" s="1670">
        <f t="shared" si="5"/>
        <v>0</v>
      </c>
      <c r="J53" s="1670">
        <f t="shared" si="5"/>
        <v>0</v>
      </c>
      <c r="K53" s="1670">
        <f t="shared" si="5"/>
        <v>76481</v>
      </c>
      <c r="L53" s="1670">
        <f t="shared" si="5"/>
        <v>81625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53841</v>
      </c>
      <c r="D55" s="481">
        <v>5497</v>
      </c>
      <c r="E55" s="481">
        <v>43</v>
      </c>
      <c r="F55" s="481">
        <v>10</v>
      </c>
      <c r="G55" s="481"/>
      <c r="H55" s="481"/>
      <c r="I55" s="467"/>
      <c r="J55" s="467"/>
      <c r="K55" s="1672">
        <f>SUM(C55:J55)</f>
        <v>59391</v>
      </c>
      <c r="L55" s="481">
        <v>59550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53841</v>
      </c>
      <c r="D57" s="1674">
        <f t="shared" ref="D57:K57" si="6">SUM(D55:D56)</f>
        <v>5497</v>
      </c>
      <c r="E57" s="1674">
        <f t="shared" si="6"/>
        <v>43</v>
      </c>
      <c r="F57" s="1674">
        <f t="shared" si="6"/>
        <v>10</v>
      </c>
      <c r="G57" s="1674">
        <f t="shared" si="6"/>
        <v>0</v>
      </c>
      <c r="H57" s="1674">
        <f t="shared" si="6"/>
        <v>0</v>
      </c>
      <c r="I57" s="1674">
        <f t="shared" si="6"/>
        <v>0</v>
      </c>
      <c r="J57" s="1674">
        <f t="shared" si="6"/>
        <v>0</v>
      </c>
      <c r="K57" s="1674">
        <f t="shared" si="6"/>
        <v>59391</v>
      </c>
      <c r="L57" s="1670">
        <f>SUM(L55:L56)</f>
        <v>59550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13500</v>
      </c>
      <c r="D60" s="466"/>
      <c r="E60" s="466"/>
      <c r="F60" s="466">
        <v>339</v>
      </c>
      <c r="G60" s="466"/>
      <c r="H60" s="466">
        <v>1027</v>
      </c>
      <c r="I60" s="467"/>
      <c r="J60" s="467"/>
      <c r="K60" s="1672">
        <f t="shared" si="7"/>
        <v>14866</v>
      </c>
      <c r="L60" s="466">
        <v>16850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v>2000</v>
      </c>
      <c r="F62" s="466"/>
      <c r="G62" s="466"/>
      <c r="H62" s="466"/>
      <c r="I62" s="467"/>
      <c r="J62" s="467"/>
      <c r="K62" s="1672">
        <f t="shared" si="7"/>
        <v>2000</v>
      </c>
      <c r="L62" s="466"/>
      <c r="M62" s="609"/>
      <c r="N62" s="609"/>
    </row>
    <row r="63" spans="1:14" s="609" customFormat="1" x14ac:dyDescent="0.2">
      <c r="A63" s="1504" t="s">
        <v>100</v>
      </c>
      <c r="B63" s="614">
        <v>2560</v>
      </c>
      <c r="C63" s="466">
        <v>4967</v>
      </c>
      <c r="D63" s="466"/>
      <c r="E63" s="466">
        <v>161</v>
      </c>
      <c r="F63" s="466">
        <v>27553</v>
      </c>
      <c r="G63" s="466"/>
      <c r="H63" s="466">
        <v>63</v>
      </c>
      <c r="I63" s="467"/>
      <c r="J63" s="467"/>
      <c r="K63" s="1672">
        <f t="shared" si="7"/>
        <v>32744</v>
      </c>
      <c r="L63" s="466">
        <v>37000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18467</v>
      </c>
      <c r="D65" s="1670">
        <f t="shared" ref="D65:L65" si="8">SUM(D59:D64)</f>
        <v>0</v>
      </c>
      <c r="E65" s="1670">
        <f t="shared" si="8"/>
        <v>2161</v>
      </c>
      <c r="F65" s="1670">
        <f t="shared" si="8"/>
        <v>27892</v>
      </c>
      <c r="G65" s="1670">
        <f t="shared" si="8"/>
        <v>0</v>
      </c>
      <c r="H65" s="1670">
        <f t="shared" si="8"/>
        <v>1090</v>
      </c>
      <c r="I65" s="1670">
        <f t="shared" si="8"/>
        <v>0</v>
      </c>
      <c r="J65" s="1670">
        <f t="shared" si="8"/>
        <v>0</v>
      </c>
      <c r="K65" s="1670">
        <f t="shared" si="8"/>
        <v>49610</v>
      </c>
      <c r="L65" s="1670">
        <f t="shared" si="8"/>
        <v>53850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132886</v>
      </c>
      <c r="D74" s="1677">
        <f t="shared" ref="D74:K74" si="10">SUM(D42,D47,D53,D57,D65,D72,D73)</f>
        <v>11604</v>
      </c>
      <c r="E74" s="1677">
        <f t="shared" si="10"/>
        <v>58898</v>
      </c>
      <c r="F74" s="1677">
        <f t="shared" si="10"/>
        <v>47724</v>
      </c>
      <c r="G74" s="1677">
        <f t="shared" si="10"/>
        <v>0</v>
      </c>
      <c r="H74" s="1677">
        <f t="shared" si="10"/>
        <v>3912</v>
      </c>
      <c r="I74" s="1677">
        <f t="shared" si="10"/>
        <v>0</v>
      </c>
      <c r="J74" s="1677">
        <f t="shared" si="10"/>
        <v>0</v>
      </c>
      <c r="K74" s="1677">
        <f t="shared" si="10"/>
        <v>255024</v>
      </c>
      <c r="L74" s="1677">
        <f>SUM(L42,L47,L53,L57,L65,L72,L73)</f>
        <v>261325</v>
      </c>
    </row>
    <row r="75" spans="1:14" s="259" customFormat="1" ht="15.75" customHeight="1" thickTop="1" thickBot="1" x14ac:dyDescent="0.25">
      <c r="A75" s="1610" t="s">
        <v>47</v>
      </c>
      <c r="B75" s="1611" t="s">
        <v>575</v>
      </c>
      <c r="C75" s="573">
        <v>12318</v>
      </c>
      <c r="D75" s="573"/>
      <c r="E75" s="573">
        <v>2767</v>
      </c>
      <c r="F75" s="573">
        <v>5654</v>
      </c>
      <c r="G75" s="573"/>
      <c r="H75" s="573"/>
      <c r="I75" s="531"/>
      <c r="J75" s="531"/>
      <c r="K75" s="1670">
        <f>SUM(C75:J75)</f>
        <v>20739</v>
      </c>
      <c r="L75" s="576">
        <v>23250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21424</v>
      </c>
      <c r="F78" s="616"/>
      <c r="G78" s="616"/>
      <c r="H78" s="634"/>
      <c r="I78" s="477"/>
      <c r="J78" s="477"/>
      <c r="K78" s="1671">
        <f t="shared" ref="K78:K83" si="11">SUM(C78:J78)</f>
        <v>21424</v>
      </c>
      <c r="L78" s="481">
        <v>21500</v>
      </c>
    </row>
    <row r="79" spans="1:14" x14ac:dyDescent="0.2">
      <c r="A79" s="1504" t="s">
        <v>304</v>
      </c>
      <c r="B79" s="614">
        <v>4120</v>
      </c>
      <c r="C79" s="616"/>
      <c r="D79" s="616"/>
      <c r="E79" s="466">
        <v>9124</v>
      </c>
      <c r="F79" s="616"/>
      <c r="G79" s="616"/>
      <c r="H79" s="466"/>
      <c r="I79" s="477"/>
      <c r="J79" s="477"/>
      <c r="K79" s="1671">
        <f t="shared" si="11"/>
        <v>9124</v>
      </c>
      <c r="L79" s="466">
        <v>13624</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v>2000</v>
      </c>
    </row>
    <row r="84" spans="1:12" ht="13.5" thickBot="1" x14ac:dyDescent="0.25">
      <c r="A84" s="1668" t="s">
        <v>1471</v>
      </c>
      <c r="B84" s="1678">
        <v>4100</v>
      </c>
      <c r="C84" s="616"/>
      <c r="D84" s="616"/>
      <c r="E84" s="1670">
        <f>SUM(E78:E83)</f>
        <v>30548</v>
      </c>
      <c r="F84" s="616"/>
      <c r="G84" s="616"/>
      <c r="H84" s="1670">
        <f>SUM(H78:H83)</f>
        <v>0</v>
      </c>
      <c r="I84" s="477"/>
      <c r="J84" s="477"/>
      <c r="K84" s="1670">
        <f>SUM(K78:K83)</f>
        <v>30548</v>
      </c>
      <c r="L84" s="1670">
        <f>SUM(L78:L83)</f>
        <v>37124</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1529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1474</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1472</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1475</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1473</v>
      </c>
      <c r="B102" s="1678">
        <v>4000</v>
      </c>
      <c r="C102" s="616"/>
      <c r="D102" s="616"/>
      <c r="E102" s="1677">
        <f>SUM(E84,E92,E100,E101)</f>
        <v>30548</v>
      </c>
      <c r="F102" s="616"/>
      <c r="G102" s="616"/>
      <c r="H102" s="1677">
        <f>SUM(H84,H92,H100,H101)</f>
        <v>0</v>
      </c>
      <c r="I102" s="477"/>
      <c r="J102" s="477"/>
      <c r="K102" s="1677">
        <f>SUM(K84,K92,K100,K101)</f>
        <v>30548</v>
      </c>
      <c r="L102" s="1677">
        <f>SUM(L84,L92,L100,L101)</f>
        <v>37124</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608695</v>
      </c>
      <c r="D114" s="1670">
        <f t="shared" ref="D114:K114" si="13">SUM(D33,D74,D75,D102,D112,D113)</f>
        <v>55399</v>
      </c>
      <c r="E114" s="1670">
        <f t="shared" si="13"/>
        <v>103563</v>
      </c>
      <c r="F114" s="1670">
        <f t="shared" si="13"/>
        <v>72534</v>
      </c>
      <c r="G114" s="1670">
        <f t="shared" si="13"/>
        <v>0</v>
      </c>
      <c r="H114" s="1670">
        <f>SUM(H33,H74,H75,H102,H112,H113)</f>
        <v>5595</v>
      </c>
      <c r="I114" s="1670">
        <f t="shared" si="13"/>
        <v>0</v>
      </c>
      <c r="J114" s="1670">
        <f t="shared" si="13"/>
        <v>0</v>
      </c>
      <c r="K114" s="1670">
        <f t="shared" si="13"/>
        <v>845786</v>
      </c>
      <c r="L114" s="1670">
        <f>SUM(L33,L74,L75,L102,L112,L113)</f>
        <v>871519</v>
      </c>
    </row>
    <row r="115" spans="1:14" ht="13.5" thickTop="1" x14ac:dyDescent="0.2">
      <c r="A115" s="2140" t="s">
        <v>996</v>
      </c>
      <c r="B115" s="2141"/>
      <c r="C115" s="618"/>
      <c r="D115" s="618"/>
      <c r="E115" s="618"/>
      <c r="F115" s="618"/>
      <c r="G115" s="618"/>
      <c r="H115" s="618"/>
      <c r="I115" s="618"/>
      <c r="J115" s="618"/>
      <c r="K115" s="1684">
        <f>'Revenues 9-14'!C268-'Expenditures 15-22'!K114</f>
        <v>40914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18" t="s">
        <v>296</v>
      </c>
      <c r="B117" s="211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2021</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28598</v>
      </c>
      <c r="D124" s="466"/>
      <c r="E124" s="466">
        <f>31799+1527+2707+1752</f>
        <v>37785</v>
      </c>
      <c r="F124" s="466">
        <f>10010+9420+15554</f>
        <v>34984</v>
      </c>
      <c r="G124" s="466"/>
      <c r="H124" s="466"/>
      <c r="I124" s="467"/>
      <c r="J124" s="467"/>
      <c r="K124" s="1670">
        <f>SUM(C124:J124)</f>
        <v>101367</v>
      </c>
      <c r="L124" s="466">
        <v>91000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28598</v>
      </c>
      <c r="D127" s="1670">
        <f t="shared" ref="D127:L127" si="14">SUM(D122:D126)</f>
        <v>0</v>
      </c>
      <c r="E127" s="1670">
        <f t="shared" si="14"/>
        <v>37785</v>
      </c>
      <c r="F127" s="1670">
        <f t="shared" si="14"/>
        <v>34984</v>
      </c>
      <c r="G127" s="1670">
        <f t="shared" si="14"/>
        <v>0</v>
      </c>
      <c r="H127" s="1670">
        <f t="shared" si="14"/>
        <v>0</v>
      </c>
      <c r="I127" s="1670">
        <f t="shared" si="14"/>
        <v>0</v>
      </c>
      <c r="J127" s="1670">
        <f t="shared" si="14"/>
        <v>0</v>
      </c>
      <c r="K127" s="1670">
        <f t="shared" si="14"/>
        <v>101367</v>
      </c>
      <c r="L127" s="1670">
        <f t="shared" si="14"/>
        <v>91000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28598</v>
      </c>
      <c r="D129" s="1677">
        <f t="shared" ref="D129:L129" si="15">SUM(D120,D127,D128)</f>
        <v>0</v>
      </c>
      <c r="E129" s="1677">
        <f t="shared" si="15"/>
        <v>37785</v>
      </c>
      <c r="F129" s="1677">
        <f t="shared" si="15"/>
        <v>34984</v>
      </c>
      <c r="G129" s="1677">
        <f t="shared" si="15"/>
        <v>0</v>
      </c>
      <c r="H129" s="1677">
        <f t="shared" si="15"/>
        <v>0</v>
      </c>
      <c r="I129" s="1677">
        <f t="shared" si="15"/>
        <v>0</v>
      </c>
      <c r="J129" s="1677">
        <f t="shared" si="15"/>
        <v>0</v>
      </c>
      <c r="K129" s="1677">
        <f t="shared" si="15"/>
        <v>101367</v>
      </c>
      <c r="L129" s="1677">
        <f t="shared" si="15"/>
        <v>91000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1809</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1473</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30" t="s">
        <v>620</v>
      </c>
      <c r="B151" s="2112"/>
      <c r="C151" s="1670">
        <f>SUM(C129,C130,C139,C149,C150)</f>
        <v>28598</v>
      </c>
      <c r="D151" s="1670">
        <f t="shared" ref="D151:K151" si="16">SUM(D129,D130,D139,D149,D150)</f>
        <v>0</v>
      </c>
      <c r="E151" s="1670">
        <f t="shared" si="16"/>
        <v>37785</v>
      </c>
      <c r="F151" s="1670">
        <f t="shared" si="16"/>
        <v>34984</v>
      </c>
      <c r="G151" s="1670">
        <f t="shared" si="16"/>
        <v>0</v>
      </c>
      <c r="H151" s="1670">
        <f t="shared" si="16"/>
        <v>0</v>
      </c>
      <c r="I151" s="1670">
        <f t="shared" si="16"/>
        <v>0</v>
      </c>
      <c r="J151" s="1670">
        <f t="shared" si="16"/>
        <v>0</v>
      </c>
      <c r="K151" s="1670">
        <f t="shared" si="16"/>
        <v>101367</v>
      </c>
      <c r="L151" s="1670">
        <f>SUM(L129,L130,L139,L149,L150)</f>
        <v>91000</v>
      </c>
    </row>
    <row r="152" spans="1:14" ht="12.75" customHeight="1" thickTop="1" x14ac:dyDescent="0.2">
      <c r="A152" s="2133" t="s">
        <v>1178</v>
      </c>
      <c r="B152" s="2134"/>
      <c r="C152" s="618"/>
      <c r="D152" s="618"/>
      <c r="E152" s="618"/>
      <c r="F152" s="618"/>
      <c r="G152" s="618"/>
      <c r="H152" s="618"/>
      <c r="I152" s="618"/>
      <c r="J152" s="616"/>
      <c r="K152" s="1684">
        <f>'Revenues 9-14'!D268-'Expenditures 15-22'!K151</f>
        <v>6200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18" t="s">
        <v>621</v>
      </c>
      <c r="B154" s="212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1810</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1809</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1811</v>
      </c>
      <c r="C158" s="616"/>
      <c r="D158" s="616"/>
      <c r="E158" s="616"/>
      <c r="F158" s="616"/>
      <c r="G158" s="616"/>
      <c r="H158" s="467"/>
      <c r="I158" s="616"/>
      <c r="J158" s="616"/>
      <c r="K158" s="1671">
        <f>H158</f>
        <v>0</v>
      </c>
      <c r="L158" s="467"/>
      <c r="M158" s="619"/>
      <c r="N158" s="619"/>
    </row>
    <row r="159" spans="1:14" s="620" customFormat="1" ht="12" x14ac:dyDescent="0.2">
      <c r="A159" s="1826" t="s">
        <v>1812</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1813</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11313</v>
      </c>
      <c r="I169" s="616"/>
      <c r="J169" s="616"/>
      <c r="K169" s="1671">
        <f>SUM(C169:H169)</f>
        <v>11313</v>
      </c>
      <c r="L169" s="656">
        <v>11612</v>
      </c>
    </row>
    <row r="170" spans="1:14" ht="33.75" customHeight="1" x14ac:dyDescent="0.2">
      <c r="A170" s="669" t="s">
        <v>1639</v>
      </c>
      <c r="B170" s="671" t="s">
        <v>31</v>
      </c>
      <c r="C170" s="616"/>
      <c r="D170" s="616"/>
      <c r="E170" s="616"/>
      <c r="F170" s="616"/>
      <c r="G170" s="616"/>
      <c r="H170" s="569">
        <v>35000</v>
      </c>
      <c r="I170" s="616"/>
      <c r="J170" s="616"/>
      <c r="K170" s="1671">
        <f>SUM(C170:J170)</f>
        <v>35000</v>
      </c>
      <c r="L170" s="569">
        <v>35000</v>
      </c>
    </row>
    <row r="171" spans="1:14" ht="15.75" customHeight="1" x14ac:dyDescent="0.2">
      <c r="A171" s="621" t="s">
        <v>766</v>
      </c>
      <c r="B171" s="672" t="s">
        <v>84</v>
      </c>
      <c r="C171" s="616"/>
      <c r="D171" s="616"/>
      <c r="E171" s="466"/>
      <c r="F171" s="616"/>
      <c r="G171" s="616"/>
      <c r="H171" s="569">
        <v>500</v>
      </c>
      <c r="I171" s="477"/>
      <c r="J171" s="616"/>
      <c r="K171" s="1671">
        <f>SUM(C171:J171)</f>
        <v>500</v>
      </c>
      <c r="L171" s="569">
        <v>500</v>
      </c>
    </row>
    <row r="172" spans="1:14" ht="12.75" customHeight="1" thickBot="1" x14ac:dyDescent="0.25">
      <c r="A172" s="1668" t="s">
        <v>638</v>
      </c>
      <c r="B172" s="1669" t="s">
        <v>492</v>
      </c>
      <c r="C172" s="616"/>
      <c r="D172" s="616"/>
      <c r="E172" s="1677">
        <f>SUM(E168,E169,E170,E171)</f>
        <v>0</v>
      </c>
      <c r="F172" s="616"/>
      <c r="G172" s="616"/>
      <c r="H172" s="1677">
        <f>SUM(H168,H169,H170,H171)</f>
        <v>46813</v>
      </c>
      <c r="I172" s="638"/>
      <c r="J172" s="616"/>
      <c r="K172" s="1677">
        <f>SUM(K168,K169,K170,K171)</f>
        <v>46813</v>
      </c>
      <c r="L172" s="1677">
        <f>SUM(L168,L169,L170,L171)</f>
        <v>47112</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46813</v>
      </c>
      <c r="I174" s="638"/>
      <c r="J174" s="616"/>
      <c r="K174" s="1677">
        <f>SUM(K160,K172,K173)</f>
        <v>46813</v>
      </c>
      <c r="L174" s="1677">
        <f>SUM(L160,L172,L173)</f>
        <v>47112</v>
      </c>
    </row>
    <row r="175" spans="1:14" ht="13.5" thickTop="1" x14ac:dyDescent="0.2">
      <c r="A175" s="2140" t="s">
        <v>996</v>
      </c>
      <c r="B175" s="2141"/>
      <c r="C175" s="616"/>
      <c r="D175" s="616"/>
      <c r="E175" s="616"/>
      <c r="F175" s="616"/>
      <c r="G175" s="616"/>
      <c r="H175" s="618"/>
      <c r="I175" s="616"/>
      <c r="J175" s="616"/>
      <c r="K175" s="1684">
        <f>'Revenues 9-14'!E268-'Expenditures 15-22'!K174</f>
        <v>-631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2021</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17059</v>
      </c>
      <c r="D182" s="466">
        <v>439</v>
      </c>
      <c r="E182" s="466">
        <v>3864</v>
      </c>
      <c r="F182" s="466">
        <v>5307</v>
      </c>
      <c r="G182" s="466"/>
      <c r="H182" s="466"/>
      <c r="I182" s="467"/>
      <c r="J182" s="467"/>
      <c r="K182" s="1671">
        <f>SUM(C182:J182)</f>
        <v>26669</v>
      </c>
      <c r="L182" s="466">
        <v>30900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17059</v>
      </c>
      <c r="D184" s="1677">
        <f t="shared" ref="D184:J184" si="17">SUM(D180,D182,D183)</f>
        <v>439</v>
      </c>
      <c r="E184" s="1677">
        <f t="shared" si="17"/>
        <v>3864</v>
      </c>
      <c r="F184" s="1677">
        <f t="shared" si="17"/>
        <v>5307</v>
      </c>
      <c r="G184" s="1677">
        <f t="shared" si="17"/>
        <v>0</v>
      </c>
      <c r="H184" s="1677">
        <f t="shared" si="17"/>
        <v>0</v>
      </c>
      <c r="I184" s="1677">
        <f t="shared" si="17"/>
        <v>0</v>
      </c>
      <c r="J184" s="1677">
        <f t="shared" si="17"/>
        <v>0</v>
      </c>
      <c r="K184" s="1677">
        <f>SUM(K180,K182,K183)</f>
        <v>26669</v>
      </c>
      <c r="L184" s="1677">
        <f>SUM(L180, L182:L183)</f>
        <v>30900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1473</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914</v>
      </c>
      <c r="I205" s="616"/>
      <c r="J205" s="616"/>
      <c r="K205" s="1685">
        <f>SUM(H205)</f>
        <v>914</v>
      </c>
      <c r="L205" s="535">
        <v>914</v>
      </c>
    </row>
    <row r="206" spans="1:14" ht="30" customHeight="1" x14ac:dyDescent="0.2">
      <c r="A206" s="681" t="s">
        <v>1640</v>
      </c>
      <c r="B206" s="672" t="s">
        <v>31</v>
      </c>
      <c r="C206" s="616"/>
      <c r="D206" s="616"/>
      <c r="E206" s="616"/>
      <c r="F206" s="616"/>
      <c r="G206" s="616"/>
      <c r="H206" s="466">
        <v>10583</v>
      </c>
      <c r="I206" s="616"/>
      <c r="J206" s="616"/>
      <c r="K206" s="1671">
        <f>SUM(H206)</f>
        <v>10583</v>
      </c>
      <c r="L206" s="466">
        <v>10583</v>
      </c>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11497</v>
      </c>
      <c r="I208" s="616"/>
      <c r="J208" s="616"/>
      <c r="K208" s="1677">
        <f>SUM(K204,K205,K206,K207)</f>
        <v>11497</v>
      </c>
      <c r="L208" s="1677">
        <f>SUM(L204,L205,L206,L207)</f>
        <v>11497</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17059</v>
      </c>
      <c r="D210" s="1670">
        <f>SUM(D184,D185)</f>
        <v>439</v>
      </c>
      <c r="E210" s="1670">
        <f>SUM(E184,E185,E196)</f>
        <v>3864</v>
      </c>
      <c r="F210" s="1670">
        <f>SUM(F184,F185)</f>
        <v>5307</v>
      </c>
      <c r="G210" s="1670">
        <f>SUM(G184,G185)</f>
        <v>0</v>
      </c>
      <c r="H210" s="1670">
        <f>SUM(H184,H185,H196,H208,H209)</f>
        <v>11497</v>
      </c>
      <c r="I210" s="1670">
        <f>SUM(I184,I185)</f>
        <v>0</v>
      </c>
      <c r="J210" s="1670">
        <f>SUM(J184,J185)</f>
        <v>0</v>
      </c>
      <c r="K210" s="1671">
        <f>SUM(K184,K185,K196,K208,K209)</f>
        <v>38166</v>
      </c>
      <c r="L210" s="1670">
        <f>SUM(L184,L185,L196,L208,L209)</f>
        <v>42397</v>
      </c>
    </row>
    <row r="211" spans="1:14" ht="13.5" thickTop="1" x14ac:dyDescent="0.2">
      <c r="A211" s="2140" t="s">
        <v>996</v>
      </c>
      <c r="B211" s="2141"/>
      <c r="C211" s="618"/>
      <c r="D211" s="618"/>
      <c r="E211" s="618"/>
      <c r="F211" s="618"/>
      <c r="G211" s="618"/>
      <c r="H211" s="618"/>
      <c r="I211" s="616"/>
      <c r="J211" s="616"/>
      <c r="K211" s="1684">
        <f>'Revenues 9-14'!F268-'Expenditures 15-22'!K210</f>
        <v>18753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35" t="s">
        <v>965</v>
      </c>
      <c r="B213" s="213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4092+12899</f>
        <v>16991</v>
      </c>
      <c r="E215" s="616"/>
      <c r="F215" s="616"/>
      <c r="G215" s="616"/>
      <c r="H215" s="616"/>
      <c r="I215" s="616"/>
      <c r="J215" s="616"/>
      <c r="K215" s="1671">
        <f>D215</f>
        <v>16991</v>
      </c>
      <c r="L215" s="466">
        <v>15200</v>
      </c>
    </row>
    <row r="216" spans="1:14" x14ac:dyDescent="0.2">
      <c r="A216" s="1504" t="s">
        <v>163</v>
      </c>
      <c r="B216" s="614" t="s">
        <v>967</v>
      </c>
      <c r="C216" s="616"/>
      <c r="D216" s="467">
        <f>1326+1833</f>
        <v>3159</v>
      </c>
      <c r="E216" s="616"/>
      <c r="F216" s="616"/>
      <c r="G216" s="616"/>
      <c r="H216" s="616"/>
      <c r="I216" s="616"/>
      <c r="J216" s="616"/>
      <c r="K216" s="1671">
        <f t="shared" ref="K216:K228" si="19">D216</f>
        <v>3159</v>
      </c>
      <c r="L216" s="466">
        <v>2400</v>
      </c>
    </row>
    <row r="217" spans="1:14" x14ac:dyDescent="0.2">
      <c r="A217" s="1504" t="s">
        <v>164</v>
      </c>
      <c r="B217" s="614">
        <v>1200</v>
      </c>
      <c r="C217" s="616"/>
      <c r="D217" s="466">
        <f>1166+1601</f>
        <v>2767</v>
      </c>
      <c r="E217" s="616"/>
      <c r="F217" s="616"/>
      <c r="G217" s="616"/>
      <c r="H217" s="616"/>
      <c r="I217" s="616"/>
      <c r="J217" s="616"/>
      <c r="K217" s="1671">
        <f t="shared" si="19"/>
        <v>2767</v>
      </c>
      <c r="L217" s="466">
        <v>1100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f>363+477</f>
        <v>840</v>
      </c>
      <c r="E223" s="616"/>
      <c r="F223" s="616"/>
      <c r="G223" s="616"/>
      <c r="H223" s="616"/>
      <c r="I223" s="616"/>
      <c r="J223" s="616"/>
      <c r="K223" s="1671">
        <f t="shared" si="19"/>
        <v>840</v>
      </c>
      <c r="L223" s="466">
        <v>850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23757</v>
      </c>
      <c r="E229" s="616"/>
      <c r="F229" s="616"/>
      <c r="G229" s="616"/>
      <c r="H229" s="616"/>
      <c r="I229" s="616"/>
      <c r="J229" s="616"/>
      <c r="K229" s="1670">
        <f>SUM(K215:K228)</f>
        <v>23757</v>
      </c>
      <c r="L229" s="1670">
        <f>SUM(L215:L228)</f>
        <v>19550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f>244+229</f>
        <v>473</v>
      </c>
      <c r="E245" s="616"/>
      <c r="F245" s="616"/>
      <c r="G245" s="616"/>
      <c r="H245" s="616"/>
      <c r="I245" s="616"/>
      <c r="J245" s="616"/>
      <c r="K245" s="1672">
        <f>D245</f>
        <v>473</v>
      </c>
      <c r="L245" s="481">
        <v>600</v>
      </c>
    </row>
    <row r="246" spans="1:12" x14ac:dyDescent="0.2">
      <c r="A246" s="1504" t="s">
        <v>818</v>
      </c>
      <c r="B246" s="614">
        <v>2320</v>
      </c>
      <c r="C246" s="616"/>
      <c r="D246" s="466">
        <f>923+1554</f>
        <v>2477</v>
      </c>
      <c r="E246" s="616"/>
      <c r="F246" s="616"/>
      <c r="G246" s="616"/>
      <c r="H246" s="616"/>
      <c r="I246" s="616"/>
      <c r="J246" s="616"/>
      <c r="K246" s="1672">
        <f t="shared" ref="K246:K256" si="21">D246</f>
        <v>2477</v>
      </c>
      <c r="L246" s="466">
        <v>2100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1770</v>
      </c>
      <c r="B249" s="683" t="s">
        <v>282</v>
      </c>
      <c r="C249" s="616"/>
      <c r="D249" s="474"/>
      <c r="E249" s="616"/>
      <c r="F249" s="616"/>
      <c r="G249" s="616"/>
      <c r="H249" s="616"/>
      <c r="I249" s="616"/>
      <c r="J249" s="616"/>
      <c r="K249" s="1672">
        <f t="shared" si="21"/>
        <v>0</v>
      </c>
      <c r="L249" s="466"/>
    </row>
    <row r="250" spans="1:12" x14ac:dyDescent="0.2">
      <c r="A250" s="1505" t="s">
        <v>1771</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f>813+1129</f>
        <v>1942</v>
      </c>
      <c r="E254" s="616"/>
      <c r="F254" s="616"/>
      <c r="G254" s="616"/>
      <c r="H254" s="616"/>
      <c r="I254" s="616"/>
      <c r="J254" s="616"/>
      <c r="K254" s="1672">
        <f t="shared" si="21"/>
        <v>1942</v>
      </c>
      <c r="L254" s="466">
        <v>3450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4892</v>
      </c>
      <c r="E257" s="616"/>
      <c r="F257" s="616"/>
      <c r="G257" s="616"/>
      <c r="H257" s="616"/>
      <c r="I257" s="616"/>
      <c r="J257" s="616"/>
      <c r="K257" s="1670">
        <f>SUM(K245:K256)</f>
        <v>4892</v>
      </c>
      <c r="L257" s="1670">
        <f>SUM(L245:L256)</f>
        <v>6150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1132+1639</f>
        <v>2771</v>
      </c>
      <c r="E259" s="616"/>
      <c r="F259" s="616"/>
      <c r="G259" s="616"/>
      <c r="H259" s="616"/>
      <c r="I259" s="616"/>
      <c r="J259" s="616"/>
      <c r="K259" s="1672">
        <f>D259</f>
        <v>2771</v>
      </c>
      <c r="L259" s="481">
        <v>2800</v>
      </c>
    </row>
    <row r="260" spans="1:14" s="597" customFormat="1" x14ac:dyDescent="0.2">
      <c r="A260" s="1522" t="s">
        <v>1769</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2771</v>
      </c>
      <c r="E261" s="616"/>
      <c r="F261" s="616"/>
      <c r="G261" s="616"/>
      <c r="H261" s="616"/>
      <c r="I261" s="616"/>
      <c r="J261" s="616"/>
      <c r="K261" s="1670">
        <f>SUM(K259:K260)</f>
        <v>2771</v>
      </c>
      <c r="L261" s="1670">
        <f>SUM(L259:L260)</f>
        <v>2800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1105+1033</f>
        <v>2138</v>
      </c>
      <c r="E264" s="616"/>
      <c r="F264" s="616"/>
      <c r="G264" s="616"/>
      <c r="H264" s="616"/>
      <c r="I264" s="616"/>
      <c r="J264" s="616"/>
      <c r="K264" s="1672">
        <f t="shared" ref="K264:K269" si="22">D264</f>
        <v>2138</v>
      </c>
      <c r="L264" s="466">
        <v>2400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1637+2188</f>
        <v>3825</v>
      </c>
      <c r="E266" s="616"/>
      <c r="F266" s="616"/>
      <c r="G266" s="616"/>
      <c r="H266" s="616"/>
      <c r="I266" s="616"/>
      <c r="J266" s="616"/>
      <c r="K266" s="1672">
        <f t="shared" si="22"/>
        <v>3825</v>
      </c>
      <c r="L266" s="466">
        <v>2950</v>
      </c>
    </row>
    <row r="267" spans="1:14" x14ac:dyDescent="0.2">
      <c r="A267" s="1504" t="s">
        <v>953</v>
      </c>
      <c r="B267" s="614">
        <v>2550</v>
      </c>
      <c r="C267" s="616"/>
      <c r="D267" s="466">
        <f>450+1113</f>
        <v>1563</v>
      </c>
      <c r="E267" s="616"/>
      <c r="F267" s="616"/>
      <c r="G267" s="616"/>
      <c r="H267" s="616"/>
      <c r="I267" s="616"/>
      <c r="J267" s="616"/>
      <c r="K267" s="1672">
        <f t="shared" si="22"/>
        <v>1563</v>
      </c>
      <c r="L267" s="466">
        <v>1850</v>
      </c>
    </row>
    <row r="268" spans="1:14" x14ac:dyDescent="0.2">
      <c r="A268" s="1504" t="s">
        <v>100</v>
      </c>
      <c r="B268" s="614">
        <v>2560</v>
      </c>
      <c r="C268" s="616"/>
      <c r="D268" s="466">
        <v>380</v>
      </c>
      <c r="E268" s="616"/>
      <c r="F268" s="616"/>
      <c r="G268" s="616"/>
      <c r="H268" s="616"/>
      <c r="I268" s="616"/>
      <c r="J268" s="616"/>
      <c r="K268" s="1672">
        <f t="shared" si="22"/>
        <v>380</v>
      </c>
      <c r="L268" s="466">
        <v>500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7906</v>
      </c>
      <c r="E270" s="616"/>
      <c r="F270" s="616"/>
      <c r="G270" s="616"/>
      <c r="H270" s="616"/>
      <c r="I270" s="616"/>
      <c r="J270" s="616"/>
      <c r="K270" s="1670">
        <f>SUM(K263:K269)</f>
        <v>7906</v>
      </c>
      <c r="L270" s="1670">
        <f>SUM(L263:L269)</f>
        <v>7700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15569</v>
      </c>
      <c r="E279" s="616"/>
      <c r="F279" s="616"/>
      <c r="G279" s="616"/>
      <c r="H279" s="616"/>
      <c r="I279" s="616"/>
      <c r="J279" s="616"/>
      <c r="K279" s="1677">
        <f>SUM(K238,K243,K257,K261,K270,K277,K278)</f>
        <v>15569</v>
      </c>
      <c r="L279" s="1677">
        <f>SUM(L238,L243,L257,L261,L270,L277,L278)</f>
        <v>16650</v>
      </c>
    </row>
    <row r="280" spans="1:12" ht="15.75" customHeight="1" thickTop="1" thickBot="1" x14ac:dyDescent="0.25">
      <c r="A280" s="1624" t="s">
        <v>875</v>
      </c>
      <c r="B280" s="1613">
        <v>3000</v>
      </c>
      <c r="C280" s="616"/>
      <c r="D280" s="576">
        <v>942</v>
      </c>
      <c r="E280" s="616"/>
      <c r="F280" s="616"/>
      <c r="G280" s="616"/>
      <c r="H280" s="616"/>
      <c r="I280" s="616"/>
      <c r="J280" s="616"/>
      <c r="K280" s="1679">
        <f>D280</f>
        <v>942</v>
      </c>
      <c r="L280" s="576">
        <v>950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1809</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1473</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31" t="s">
        <v>505</v>
      </c>
      <c r="B295" s="2132"/>
      <c r="C295" s="616"/>
      <c r="D295" s="1670">
        <f>SUM(D229,D279,D280,D285)</f>
        <v>40268</v>
      </c>
      <c r="E295" s="616"/>
      <c r="F295" s="616"/>
      <c r="G295" s="616"/>
      <c r="H295" s="1670">
        <f>H293</f>
        <v>0</v>
      </c>
      <c r="I295" s="616"/>
      <c r="J295" s="616"/>
      <c r="K295" s="1670">
        <f>SUM(K229,K279,K280,K285,K293,K294)</f>
        <v>40268</v>
      </c>
      <c r="L295" s="1670">
        <f>SUM(L229,L279,L280,L285,L293,L294)</f>
        <v>37150</v>
      </c>
    </row>
    <row r="296" spans="1:14" ht="13.5" thickTop="1" x14ac:dyDescent="0.2">
      <c r="A296" s="2140" t="s">
        <v>996</v>
      </c>
      <c r="B296" s="2141"/>
      <c r="C296" s="616"/>
      <c r="D296" s="618"/>
      <c r="E296" s="616"/>
      <c r="F296" s="616"/>
      <c r="G296" s="616"/>
      <c r="H296" s="687"/>
      <c r="I296" s="616"/>
      <c r="J296" s="616"/>
      <c r="K296" s="1684">
        <f>'Revenues 9-14'!G268-'Expenditures 15-22'!K295</f>
        <v>6667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23" t="s">
        <v>143</v>
      </c>
      <c r="B298" s="211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1814</v>
      </c>
      <c r="B306" s="690" t="s">
        <v>1809</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1473</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28" t="s">
        <v>277</v>
      </c>
      <c r="B312" s="212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24" t="s">
        <v>996</v>
      </c>
      <c r="B313" s="212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37" t="s">
        <v>149</v>
      </c>
      <c r="B315" s="213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39" t="s">
        <v>898</v>
      </c>
      <c r="B317" s="213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1770</v>
      </c>
      <c r="B320" s="698" t="s">
        <v>282</v>
      </c>
      <c r="C320" s="467"/>
      <c r="D320" s="467"/>
      <c r="E320" s="467">
        <v>6372</v>
      </c>
      <c r="F320" s="467"/>
      <c r="G320" s="467"/>
      <c r="H320" s="467"/>
      <c r="I320" s="467"/>
      <c r="J320" s="467"/>
      <c r="K320" s="1671">
        <f t="shared" ref="K320:K327" si="24">SUM(C320:J320)</f>
        <v>6372</v>
      </c>
      <c r="L320" s="467">
        <v>5082</v>
      </c>
      <c r="M320" s="665"/>
      <c r="N320" s="665"/>
    </row>
    <row r="321" spans="1:14" s="674" customFormat="1" x14ac:dyDescent="0.2">
      <c r="A321" s="1519" t="s">
        <v>300</v>
      </c>
      <c r="B321" s="697" t="s">
        <v>283</v>
      </c>
      <c r="C321" s="467"/>
      <c r="D321" s="467"/>
      <c r="E321" s="467">
        <v>1496</v>
      </c>
      <c r="F321" s="467"/>
      <c r="G321" s="467"/>
      <c r="H321" s="467"/>
      <c r="I321" s="467"/>
      <c r="J321" s="467"/>
      <c r="K321" s="1671">
        <f t="shared" si="24"/>
        <v>1496</v>
      </c>
      <c r="L321" s="467">
        <v>2000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15496</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28942</v>
      </c>
      <c r="D325" s="467">
        <v>2258</v>
      </c>
      <c r="E325" s="467"/>
      <c r="F325" s="467"/>
      <c r="G325" s="467"/>
      <c r="H325" s="467"/>
      <c r="I325" s="467"/>
      <c r="J325" s="467"/>
      <c r="K325" s="1671">
        <f t="shared" si="24"/>
        <v>31200</v>
      </c>
      <c r="L325" s="467">
        <v>31400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912</v>
      </c>
      <c r="F327" s="467"/>
      <c r="G327" s="467"/>
      <c r="H327" s="467"/>
      <c r="I327" s="467"/>
      <c r="J327" s="467"/>
      <c r="K327" s="1671">
        <f t="shared" si="24"/>
        <v>912</v>
      </c>
      <c r="L327" s="467">
        <v>1000</v>
      </c>
      <c r="M327" s="665"/>
      <c r="N327" s="665"/>
    </row>
    <row r="328" spans="1:14" s="674" customFormat="1" x14ac:dyDescent="0.2">
      <c r="A328" s="1520" t="s">
        <v>472</v>
      </c>
      <c r="B328" s="690" t="s">
        <v>1132</v>
      </c>
      <c r="C328" s="474"/>
      <c r="D328" s="474"/>
      <c r="E328" s="474">
        <v>15160</v>
      </c>
      <c r="F328" s="474"/>
      <c r="G328" s="474"/>
      <c r="H328" s="474"/>
      <c r="I328" s="474"/>
      <c r="J328" s="474"/>
      <c r="K328" s="1699">
        <f>SUM(C328:J328)</f>
        <v>15160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28942</v>
      </c>
      <c r="D330" s="1670">
        <f t="shared" ref="D330:J330" si="25">SUM(D319:D329)</f>
        <v>2258</v>
      </c>
      <c r="E330" s="1670">
        <f t="shared" si="25"/>
        <v>23940</v>
      </c>
      <c r="F330" s="1670">
        <f t="shared" si="25"/>
        <v>0</v>
      </c>
      <c r="G330" s="1670">
        <f t="shared" si="25"/>
        <v>0</v>
      </c>
      <c r="H330" s="1670">
        <f t="shared" si="25"/>
        <v>0</v>
      </c>
      <c r="I330" s="1670">
        <f t="shared" si="25"/>
        <v>0</v>
      </c>
      <c r="J330" s="1670">
        <f t="shared" si="25"/>
        <v>0</v>
      </c>
      <c r="K330" s="1670">
        <f>SUM(K319:K329)</f>
        <v>55140</v>
      </c>
      <c r="L330" s="1670">
        <f>SUM(L319:L329)</f>
        <v>54978</v>
      </c>
      <c r="M330" s="665"/>
      <c r="N330" s="665"/>
    </row>
    <row r="331" spans="1:14" s="674" customFormat="1" ht="12.75" customHeight="1" thickTop="1" x14ac:dyDescent="0.2">
      <c r="A331" s="1831" t="s">
        <v>1815</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1809</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1811</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1816</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28942</v>
      </c>
      <c r="D342" s="1670">
        <f>SUM(D330)</f>
        <v>2258</v>
      </c>
      <c r="E342" s="1670">
        <f>SUM(E330)</f>
        <v>23940</v>
      </c>
      <c r="F342" s="1670">
        <f>SUM(F330)</f>
        <v>0</v>
      </c>
      <c r="G342" s="1670">
        <f>SUM(G330)</f>
        <v>0</v>
      </c>
      <c r="H342" s="1670">
        <f>SUM(H330,H334,H340)</f>
        <v>0</v>
      </c>
      <c r="I342" s="1670">
        <f>SUM(I330)</f>
        <v>0</v>
      </c>
      <c r="J342" s="1670">
        <f>SUM(J330)</f>
        <v>0</v>
      </c>
      <c r="K342" s="1670">
        <f>SUM(K330,K334,K340)</f>
        <v>55140</v>
      </c>
      <c r="L342" s="1677">
        <f>SUM(L330,L340,L341)</f>
        <v>54978</v>
      </c>
    </row>
    <row r="343" spans="1:14" ht="12.75" customHeight="1" thickTop="1" x14ac:dyDescent="0.2">
      <c r="A343" s="2126" t="s">
        <v>996</v>
      </c>
      <c r="B343" s="2127"/>
      <c r="C343" s="616"/>
      <c r="D343" s="616"/>
      <c r="E343" s="616"/>
      <c r="F343" s="616"/>
      <c r="G343" s="616"/>
      <c r="H343" s="616"/>
      <c r="I343" s="616"/>
      <c r="J343" s="616"/>
      <c r="K343" s="1684">
        <f>'Revenues 9-14'!J268-'Expenditures 15-22'!K342</f>
        <v>7697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16" t="s">
        <v>966</v>
      </c>
      <c r="B345" s="211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v>15000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15000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15000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1817</v>
      </c>
      <c r="B354" s="683" t="s">
        <v>1809</v>
      </c>
      <c r="C354" s="616"/>
      <c r="D354" s="616"/>
      <c r="E354" s="616"/>
      <c r="F354" s="616"/>
      <c r="G354" s="616"/>
      <c r="H354" s="474"/>
      <c r="I354" s="701"/>
      <c r="J354" s="616"/>
      <c r="K354" s="1699">
        <f>H354</f>
        <v>0</v>
      </c>
      <c r="L354" s="471"/>
    </row>
    <row r="355" spans="1:14" ht="12.75" customHeight="1" x14ac:dyDescent="0.2">
      <c r="A355" s="1513" t="s">
        <v>1818</v>
      </c>
      <c r="B355" s="690" t="s">
        <v>1811</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1473</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1641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15000</v>
      </c>
    </row>
    <row r="368" spans="1:14" ht="13.5" thickTop="1" x14ac:dyDescent="0.2">
      <c r="A368" s="2140" t="s">
        <v>996</v>
      </c>
      <c r="B368" s="2141"/>
      <c r="C368" s="654"/>
      <c r="D368" s="654"/>
      <c r="E368" s="626"/>
      <c r="F368" s="626"/>
      <c r="G368" s="626"/>
      <c r="H368" s="626"/>
      <c r="I368" s="626"/>
      <c r="J368" s="623"/>
      <c r="K368" s="1671">
        <f>'Revenues 9-14'!K268-'Expenditures 15-22'!K367</f>
        <v>9321</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4d435f69-8686-490b-bd6d-b153bf22ab50"/>
    <ds:schemaRef ds:uri="http://purl.org/dc/dcmitype/"/>
    <ds:schemaRef ds:uri="http://schemas.microsoft.com/sharepoint/v3"/>
    <ds:schemaRef ds:uri="http://purl.org/dc/terms/"/>
    <ds:schemaRef ds:uri="http://schemas.microsoft.com/office/2006/documentManagement/types"/>
    <ds:schemaRef ds:uri="6ce3111e-7420-4802-b50a-75d4e9a0b980"/>
    <ds:schemaRef ds:uri="http://purl.org/dc/elements/1.1/"/>
    <ds:schemaRef ds:uri="http://schemas.microsoft.com/office/infopath/2007/PartnerControls"/>
    <ds:schemaRef ds:uri="http://schemas.openxmlformats.org/package/2006/metadata/core-properties"/>
    <ds:schemaRef ds:uri="d21dc803-237d-4c68-8692-8d731fd29118"/>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15</vt:i4>
      </vt:variant>
    </vt:vector>
  </HeadingPairs>
  <TitlesOfParts>
    <vt:vector size="4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2019-08-12T21:25:30Z</cp:lastPrinted>
  <dcterms:created xsi:type="dcterms:W3CDTF">2003-10-29T19:06:34Z</dcterms:created>
  <dcterms:modified xsi:type="dcterms:W3CDTF">2019-09-16T17:25:30Z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