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CE9FB396-B33D-45F4-B03E-50BA5D2751DC}" xr6:coauthVersionLast="36" xr6:coauthVersionMax="36" xr10:uidLastSave="{00000000-0000-0000-0000-000000000000}"/>
  <bookViews>
    <workbookView xWindow="0" yWindow="0" windowWidth="23040" windowHeight="93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16">'Shared Outsourced Services 31'!$A$1:$F$54</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B5286" i="106" s="1"/>
  <c r="D5286" i="106" s="1"/>
  <c r="C221" i="5"/>
  <c r="C252" i="5"/>
  <c r="B6833" i="106" s="1"/>
  <c r="D6833" i="106" s="1"/>
  <c r="B7761" i="106"/>
  <c r="D7761" i="106" s="1"/>
  <c r="L127" i="29"/>
  <c r="L129" i="29" s="1"/>
  <c r="L139" i="29"/>
  <c r="L149" i="29"/>
  <c r="I7" i="145"/>
  <c r="I6" i="145"/>
  <c r="D78" i="36"/>
  <c r="K75" i="29"/>
  <c r="F52" i="34" s="1"/>
  <c r="K130" i="29"/>
  <c r="F56" i="34" s="1"/>
  <c r="K185" i="29"/>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B6999" i="106" s="1"/>
  <c r="D6999" i="106" s="1"/>
  <c r="K95" i="29"/>
  <c r="K96" i="29"/>
  <c r="B7003" i="106" s="1"/>
  <c r="D7003" i="106" s="1"/>
  <c r="K97" i="29"/>
  <c r="K98" i="29"/>
  <c r="B7007" i="106" s="1"/>
  <c r="D7007" i="106" s="1"/>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1" i="127"/>
  <c r="B62" i="127"/>
  <c r="D26" i="108"/>
  <c r="E26" i="108"/>
  <c r="F26" i="108"/>
  <c r="G26" i="108"/>
  <c r="D27" i="108"/>
  <c r="E27" i="108"/>
  <c r="F27" i="108"/>
  <c r="G27" i="108"/>
  <c r="F36" i="108"/>
  <c r="G28" i="108"/>
  <c r="G30" i="108"/>
  <c r="D36" i="108"/>
  <c r="E31" i="108"/>
  <c r="G31" i="108"/>
  <c r="E33" i="108"/>
  <c r="G33" i="108"/>
  <c r="E34"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C57" i="34"/>
  <c r="D57" i="34"/>
  <c r="C61" i="34"/>
  <c r="C62" i="34"/>
  <c r="F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F14" i="4"/>
  <c r="B2597" i="106" s="1"/>
  <c r="D2597" i="106" s="1"/>
  <c r="B2633" i="106"/>
  <c r="D2633" i="106" s="1"/>
  <c r="N22" i="3"/>
  <c r="B283" i="106" s="1"/>
  <c r="D283" i="106" s="1"/>
  <c r="D7" i="118"/>
  <c r="D8" i="118"/>
  <c r="D9" i="118"/>
  <c r="H14" i="118"/>
  <c r="H19" i="118"/>
  <c r="H24" i="118"/>
  <c r="H29" i="118"/>
  <c r="D11" i="37"/>
  <c r="J22" i="37"/>
  <c r="L22" i="37"/>
  <c r="D24" i="37"/>
  <c r="B4270" i="106" s="1"/>
  <c r="D4270" i="106" s="1"/>
  <c r="D9" i="7"/>
  <c r="B1767" i="106" s="1"/>
  <c r="D1767" i="106" s="1"/>
  <c r="D17" i="7"/>
  <c r="B4104" i="106" s="1"/>
  <c r="D4104" i="106" s="1"/>
  <c r="H28" i="118" l="1"/>
  <c r="G210" i="29"/>
  <c r="B1365" i="106" s="1"/>
  <c r="D1365" i="106" s="1"/>
  <c r="B279" i="106"/>
  <c r="D279" i="106" s="1"/>
  <c r="M40" i="3"/>
  <c r="L13" i="11"/>
  <c r="B2060" i="106" s="1"/>
  <c r="D2060" i="106" s="1"/>
  <c r="K28" i="118"/>
  <c r="O27" i="118" s="1"/>
  <c r="O29" i="118" s="1"/>
  <c r="L5" i="11"/>
  <c r="B2056" i="106" s="1"/>
  <c r="D2056" i="106" s="1"/>
  <c r="D22" i="37"/>
  <c r="H33" i="118"/>
  <c r="D14" i="4"/>
  <c r="B2570" i="106" s="1"/>
  <c r="D2570" i="106" s="1"/>
  <c r="L367" i="29"/>
  <c r="F19" i="7"/>
  <c r="B1807" i="106" s="1"/>
  <c r="D1807" i="106" s="1"/>
  <c r="F70" i="34"/>
  <c r="F65" i="34"/>
  <c r="F49" i="34"/>
  <c r="F44" i="34"/>
  <c r="G38" i="108"/>
  <c r="D37" i="108"/>
  <c r="D31" i="108"/>
  <c r="E30" i="108"/>
  <c r="F37" i="108"/>
  <c r="D69" i="36"/>
  <c r="D7245" i="106"/>
  <c r="B6995" i="106"/>
  <c r="D6995" i="106" s="1"/>
  <c r="D6103" i="106"/>
  <c r="L15" i="11"/>
  <c r="B3459" i="106" s="1"/>
  <c r="D3459" i="106" s="1"/>
  <c r="B3254" i="106"/>
  <c r="D3254" i="106" s="1"/>
  <c r="I24" i="12"/>
  <c r="B1308" i="106"/>
  <c r="D1308" i="106" s="1"/>
  <c r="E174" i="29"/>
  <c r="B1309" i="106" s="1"/>
  <c r="D1309" i="106" s="1"/>
  <c r="B1124" i="106"/>
  <c r="D1124" i="106" s="1"/>
  <c r="G15" i="145"/>
  <c r="B3647" i="106"/>
  <c r="D3647" i="106" s="1"/>
  <c r="C342" i="29"/>
  <c r="B7216" i="106" s="1"/>
  <c r="D7216" i="106" s="1"/>
  <c r="G29" i="108"/>
  <c r="E29" i="108"/>
  <c r="K184" i="29"/>
  <c r="F13" i="4" s="1"/>
  <c r="B2596" i="106" s="1"/>
  <c r="D2596" i="106" s="1"/>
  <c r="F28" i="108"/>
  <c r="E28" i="108"/>
  <c r="C129" i="29"/>
  <c r="B1225" i="106" s="1"/>
  <c r="D1225" i="106" s="1"/>
  <c r="C14" i="4"/>
  <c r="B2558" i="106" s="1"/>
  <c r="D2558" i="106" s="1"/>
  <c r="G39" i="108"/>
  <c r="E35" i="108"/>
  <c r="G35" i="108"/>
  <c r="B2724" i="106"/>
  <c r="D2724" i="106" s="1"/>
  <c r="F34" i="34"/>
  <c r="L342" i="29"/>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3447" i="106"/>
  <c r="D3447" i="106" s="1"/>
  <c r="B7270" i="106"/>
  <c r="M41" i="3" l="1"/>
  <c r="B280" i="106"/>
  <c r="D280" i="106" s="1"/>
  <c r="D41" i="108"/>
  <c r="E43" i="108" s="1"/>
  <c r="L16" i="11"/>
  <c r="B2061" i="106" s="1"/>
  <c r="D2061" i="106" s="1"/>
  <c r="B5778" i="106"/>
  <c r="D5778" i="106" s="1"/>
  <c r="G6" i="4"/>
  <c r="B2604" i="106" s="1"/>
  <c r="D2604" i="106" s="1"/>
  <c r="B1317" i="106"/>
  <c r="D1317" i="106" s="1"/>
  <c r="B5527" i="106"/>
  <c r="D5527" i="106" s="1"/>
  <c r="F41" i="108"/>
  <c r="G43" i="108" s="1"/>
  <c r="B1996" i="106"/>
  <c r="D1996" i="106" s="1"/>
  <c r="I26" i="12"/>
  <c r="B7741" i="106" s="1"/>
  <c r="D7741" i="106" s="1"/>
  <c r="K342" i="29"/>
  <c r="F13" i="34" s="1"/>
  <c r="B1381" i="106"/>
  <c r="D1381" i="106" s="1"/>
  <c r="C151" i="29"/>
  <c r="B1226" i="106" s="1"/>
  <c r="D1226" i="106" s="1"/>
  <c r="C114" i="29"/>
  <c r="B757" i="106" s="1"/>
  <c r="D757" i="106" s="1"/>
  <c r="F174" i="34"/>
  <c r="L114" i="29"/>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81" i="106" l="1"/>
  <c r="D281" i="106" s="1"/>
  <c r="D54" i="36"/>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J20" i="4"/>
  <c r="J78" i="4" s="1"/>
  <c r="B6223" i="106"/>
  <c r="D6223" i="106" s="1"/>
  <c r="J10" i="4"/>
  <c r="B6225" i="106" s="1"/>
  <c r="D6225" i="106" s="1"/>
  <c r="F8" i="4"/>
  <c r="B2595" i="106" s="1"/>
  <c r="D259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B6230" i="106"/>
  <c r="D6230" i="106" s="1"/>
  <c r="F10" i="4"/>
  <c r="B4125" i="106" s="1"/>
  <c r="D412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9" i="3" s="1"/>
  <c r="B6263" i="106"/>
  <c r="D6263" i="106" s="1"/>
  <c r="D78" i="4"/>
  <c r="F175" i="34" l="1"/>
  <c r="F79" i="34"/>
  <c r="B3576" i="106"/>
  <c r="D3576" i="106" s="1"/>
  <c r="B6215" i="106"/>
  <c r="D6215" i="106" s="1"/>
  <c r="J41" i="3"/>
  <c r="D10" i="146"/>
  <c r="B3588" i="106"/>
  <c r="D3588" i="106" s="1"/>
  <c r="K81" i="4"/>
  <c r="K39" i="3" s="1"/>
  <c r="F78" i="4"/>
  <c r="B2601" i="106"/>
  <c r="D2601" i="106" s="1"/>
  <c r="B3320" i="106"/>
  <c r="D3320" i="106" s="1"/>
  <c r="I81" i="4"/>
  <c r="I39" i="3" s="1"/>
  <c r="K17" i="118"/>
  <c r="B3300" i="106"/>
  <c r="D3300" i="106" s="1"/>
  <c r="H81" i="4"/>
  <c r="H39" i="3"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3567" i="106" l="1"/>
  <c r="D3567" i="106" s="1"/>
  <c r="K41" i="3"/>
  <c r="B6216" i="106"/>
  <c r="D6216" i="106" s="1"/>
  <c r="D51" i="36"/>
  <c r="B2912" i="106"/>
  <c r="D2912" i="106" s="1"/>
  <c r="I41" i="3"/>
  <c r="B212" i="106"/>
  <c r="D212" i="106" s="1"/>
  <c r="H41" i="3"/>
  <c r="B123" i="106"/>
  <c r="D123" i="106" s="1"/>
  <c r="D41" i="3"/>
  <c r="B3278" i="106"/>
  <c r="D3278" i="106" s="1"/>
  <c r="E81" i="4"/>
  <c r="E39" i="3" s="1"/>
  <c r="B3233" i="106"/>
  <c r="D3233" i="106" s="1"/>
  <c r="C81" i="4"/>
  <c r="C39" i="3" s="1"/>
  <c r="A7263" i="106"/>
  <c r="D7262" i="106"/>
  <c r="B1700" i="106"/>
  <c r="D1700" i="106" s="1"/>
  <c r="H82" i="4"/>
  <c r="D62" i="36"/>
  <c r="J20" i="118"/>
  <c r="O16" i="118"/>
  <c r="K20" i="118"/>
  <c r="F81" i="4"/>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40" i="106" l="1"/>
  <c r="D140" i="106" s="1"/>
  <c r="E41" i="3"/>
  <c r="B92" i="106"/>
  <c r="D92" i="106" s="1"/>
  <c r="C41" i="3"/>
  <c r="B3568" i="106"/>
  <c r="D3568" i="106" s="1"/>
  <c r="D52" i="36"/>
  <c r="D50" i="36"/>
  <c r="B2913" i="106"/>
  <c r="D2913" i="106" s="1"/>
  <c r="B213" i="106"/>
  <c r="D213" i="106" s="1"/>
  <c r="D49" i="36"/>
  <c r="B189" i="106"/>
  <c r="D189" i="106" s="1"/>
  <c r="G41" i="3"/>
  <c r="J16" i="37"/>
  <c r="B4269" i="106" s="1"/>
  <c r="D4269" i="106" s="1"/>
  <c r="F39" i="3"/>
  <c r="B124" i="106"/>
  <c r="D124" i="106" s="1"/>
  <c r="D45" i="36"/>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41" i="106" l="1"/>
  <c r="D141" i="106" s="1"/>
  <c r="D46" i="36"/>
  <c r="B93" i="106"/>
  <c r="D93" i="106" s="1"/>
  <c r="D44" i="36"/>
  <c r="D48" i="36"/>
  <c r="B190" i="106"/>
  <c r="D190" i="106" s="1"/>
  <c r="B170" i="106"/>
  <c r="D170" i="106" s="1"/>
  <c r="F41" i="3"/>
  <c r="D76"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171" i="106" l="1"/>
  <c r="D171" i="106" s="1"/>
  <c r="D47"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<sst xmlns="http://schemas.openxmlformats.org/spreadsheetml/2006/main" count="5123" uniqueCount="2115">
  <si>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</si>
  <si>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</si>
  <si>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</si>
  <si>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</si>
  <si>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</si>
  <si>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</si>
  <si>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</si>
  <si>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</si>
  <si>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</si>
  <si>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</si>
  <si>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</si>
  <si>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</si>
  <si>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</si>
  <si>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</si>
  <si>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</si>
  <si>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</si>
  <si>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</si>
  <si>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</si>
  <si>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</si>
  <si>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</si>
  <si>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</si>
  <si>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</si>
  <si>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</si>
  <si>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</si>
  <si>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</si>
  <si>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</si>
  <si>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</si>
  <si>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</si>
  <si>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</si>
  <si>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</si>
  <si>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</si>
  <si>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</si>
  <si>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</si>
  <si>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</si>
  <si>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</si>
  <si>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</si>
  <si>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</si>
  <si>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</si>
  <si>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</si>
  <si>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</si>
  <si>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</si>
  <si>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</si>
  <si>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</si>
  <si>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</si>
  <si>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</si>
  <si>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</si>
  <si>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</si>
  <si>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</si>
  <si>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</si>
  <si>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</si>
  <si>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</si>
  <si>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</si>
  <si>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</si>
  <si>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</si>
  <si>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</si>
  <si>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</si>
  <si>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</si>
  <si>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</si>
  <si>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</si>
  <si>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</si>
  <si>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</si>
  <si>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</si>
  <si>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</si>
  <si>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</si>
  <si>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</si>
  <si>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</si>
  <si>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</si>
  <si>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</si>
  <si>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</si>
  <si>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</si>
  <si>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</si>
  <si>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</si>
  <si>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</si>
  <si>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</si>
  <si>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</si>
  <si>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</si>
  <si>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</si>
  <si>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</si>
  <si>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</si>
  <si>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</si>
  <si>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</si>
  <si>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</si>
  <si>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</si>
  <si>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</si>
  <si>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</si>
  <si>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</si>
  <si>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</si>
  <si>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</si>
  <si>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</si>
  <si>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</si>
  <si>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</si>
  <si>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</si>
  <si>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</si>
  <si>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</si>
  <si>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</si>
  <si>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</si>
  <si>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</si>
  <si>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</si>
  <si>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</si>
  <si>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</si>
  <si>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</si>
  <si>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</si>
  <si>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</si>
  <si>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</si>
  <si>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</si>
  <si>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</si>
  <si>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</si>
  <si>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</si>
  <si>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</si>
  <si>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</si>
  <si>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</si>
  <si>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</si>
  <si>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</si>
  <si>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</si>
  <si>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</si>
  <si>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</si>
  <si>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</si>
  <si>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</si>
  <si>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</si>
  <si>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</si>
  <si>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</si>
  <si>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</si>
  <si>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</si>
  <si>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</si>
  <si>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</si>
  <si>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</si>
  <si>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</si>
  <si>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</si>
  <si>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</si>
  <si>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</si>
  <si>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</si>
  <si>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</si>
  <si>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</si>
  <si>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</si>
  <si>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</si>
  <si>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</si>
  <si>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</si>
  <si>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</si>
  <si>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</si>
  <si>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</si>
  <si>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</si>
  <si>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</si>
  <si>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</si>
  <si>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</si>
  <si>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</si>
  <si>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</si>
  <si>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</si>
  <si>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</si>
  <si>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</si>
  <si>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</si>
  <si>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</si>
  <si>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</si>
  <si>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</si>
  <si>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</si>
  <si>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</si>
  <si>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</si>
  <si>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</si>
  <si>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</si>
  <si>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</si>
  <si>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</si>
  <si>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</si>
  <si>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</si>
  <si>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</si>
  <si>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</si>
  <si>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</si>
  <si>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</si>
  <si>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</si>
  <si>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</si>
  <si>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</si>
  <si>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</si>
  <si>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</si>
  <si>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</si>
  <si>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</si>
  <si>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</si>
  <si>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</si>
  <si>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</si>
  <si>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</si>
  <si>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</si>
  <si>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</si>
  <si>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</si>
  <si>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</si>
  <si>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</si>
  <si>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</si>
  <si>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</si>
  <si>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</si>
  <si>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</si>
  <si>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</si>
  <si>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</si>
  <si>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</si>
  <si>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</si>
  <si>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</si>
  <si>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</si>
  <si>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</si>
  <si>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</si>
  <si>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</si>
  <si>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</si>
  <si>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</si>
  <si>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</si>
  <si>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</si>
  <si>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</si>
  <si>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</si>
  <si>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</si>
  <si>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</si>
  <si>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</si>
  <si>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</si>
  <si>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</si>
  <si>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</si>
  <si>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</si>
  <si>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</si>
  <si>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</si>
  <si>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</si>
  <si>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</si>
  <si>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</si>
  <si>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</si>
  <si>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</si>
  <si>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</si>
  <si>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</si>
  <si>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</si>
  <si>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</si>
  <si>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</si>
  <si>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</si>
  <si>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</si>
  <si>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</si>
  <si>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</si>
  <si>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</si>
  <si>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</si>
  <si>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</si>
  <si>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</si>
  <si>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</si>
  <si>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</si>
  <si>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</si>
  <si>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</si>
  <si>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</si>
  <si>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</si>
  <si>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</si>
  <si>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</si>
  <si>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</si>
  <si>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</si>
  <si>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</si>
  <si>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</si>
  <si>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</si>
  <si>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</si>
  <si>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</si>
  <si>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</si>
  <si>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</si>
  <si>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</si>
  <si>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</si>
  <si>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</si>
  <si>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</si>
  <si>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</si>
  <si>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</si>
  <si>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</si>
  <si>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</si>
  <si>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</si>
  <si>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</si>
  <si>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</si>
  <si>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</si>
  <si>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</si>
  <si>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</si>
  <si>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</si>
  <si>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</si>
  <si>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</si>
  <si>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</si>
  <si>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</si>
  <si>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</si>
  <si>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</si>
  <si>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</si>
  <si>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</si>
  <si>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</si>
  <si>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</si>
  <si>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</si>
  <si>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</si>
  <si>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</si>
  <si>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</si>
  <si>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</si>
  <si>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</si>
  <si>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</si>
  <si>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</si>
  <si>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</si>
  <si>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</si>
  <si>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</si>
  <si>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</si>
  <si>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</si>
  <si>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</si>
  <si>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</si>
  <si>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</si>
  <si>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</si>
  <si>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</si>
  <si>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</si>
  <si>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</si>
  <si>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</si>
  <si>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</si>
  <si>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</si>
  <si>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</si>
  <si>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</si>
  <si>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</si>
  <si>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</si>
  <si>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</si>
  <si>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</si>
  <si>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</si>
  <si>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</si>
  <si>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</si>
  <si>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</si>
  <si>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</si>
  <si>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</si>
  <si>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</si>
  <si>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</si>
  <si>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</si>
  <si>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</si>
  <si>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</si>
  <si>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</si>
  <si>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</si>
  <si>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</si>
  <si>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</si>
  <si>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</si>
  <si>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</si>
  <si>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</si>
  <si>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</si>
  <si>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</si>
  <si>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</si>
  <si>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</si>
  <si>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</si>
  <si>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</si>
  <si>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</si>
  <si>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</si>
  <si>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</si>
  <si>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</si>
  <si>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</si>
  <si>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</si>
  <si>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</si>
  <si>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</si>
  <si>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</si>
  <si>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</si>
  <si>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</si>
  <si>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</si>
  <si>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</si>
  <si>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</si>
  <si>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</si>
  <si>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</si>
  <si>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</si>
  <si>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</si>
  <si>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</si>
  <si>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</si>
  <si>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</si>
  <si>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</si>
  <si>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</si>
  <si>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</si>
  <si>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</si>
  <si>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</si>
  <si>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</si>
  <si>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</si>
  <si>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</si>
  <si>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</si>
  <si>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</si>
  <si>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</si>
  <si>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</si>
  <si>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</si>
  <si>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</si>
  <si>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</si>
  <si>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</si>
  <si>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</si>
  <si>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</si>
  <si>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</si>
  <si>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</si>
  <si>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</si>
  <si>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</si>
  <si>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</si>
  <si>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</si>
  <si>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</si>
  <si>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</si>
  <si>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</si>
  <si>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</si>
  <si>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</si>
  <si>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</si>
  <si>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</si>
  <si>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</si>
  <si>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</si>
  <si>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</si>
  <si>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</si>
  <si>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</si>
  <si>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</si>
  <si>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</si>
  <si>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</si>
  <si>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</si>
  <si>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</si>
  <si>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</si>
  <si>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</si>
  <si>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</si>
  <si>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</si>
  <si>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</si>
  <si>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</si>
  <si>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</si>
  <si>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</si>
  <si>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</si>
  <si>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</si>
  <si>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</si>
  <si>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</si>
  <si>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</si>
  <si>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</si>
  <si>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</si>
  <si>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</si>
  <si>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</si>
  <si>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</si>
  <si>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</si>
  <si>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</si>
  <si>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</si>
  <si>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</si>
  <si>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</si>
  <si>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</si>
  <si>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</si>
  <si>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</si>
  <si>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</si>
  <si>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</si>
  <si>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</si>
  <si>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</si>
  <si>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</si>
  <si>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</si>
  <si>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</si>
  <si>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</si>
  <si>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</si>
  <si>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</si>
  <si>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</si>
  <si>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</si>
  <si>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</si>
  <si>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</si>
  <si>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</si>
  <si>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</si>
  <si>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</si>
  <si>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</si>
  <si>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</si>
  <si>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</si>
  <si>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</si>
  <si>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</si>
  <si>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</si>
  <si>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</si>
  <si>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</si>
  <si>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</si>
  <si>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</si>
  <si>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</si>
  <si>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</si>
  <si>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</si>
  <si>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</si>
  <si>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</si>
  <si>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</si>
  <si>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</si>
  <si>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</si>
  <si>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</si>
  <si>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</si>
  <si>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</si>
  <si>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</si>
  <si>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</si>
  <si>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</si>
  <si>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</si>
  <si>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</si>
  <si>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</si>
  <si>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</si>
  <si>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</si>
  <si>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</si>
  <si>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</si>
  <si>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</si>
  <si>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</si>
  <si>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</si>
  <si>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</si>
  <si>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</si>
  <si>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</si>
  <si>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</si>
  <si>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</si>
  <si>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</si>
  <si>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</si>
  <si>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</si>
  <si>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</si>
  <si>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</si>
  <si>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</si>
  <si>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</si>
  <si>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</si>
  <si>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</si>
  <si>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</si>
  <si>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</si>
  <si>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</si>
  <si>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</si>
  <si>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</si>
  <si>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</si>
  <si>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</si>
  <si>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</si>
  <si>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</si>
  <si>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</si>
  <si>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</si>
  <si>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</si>
  <si>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</si>
  <si>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</si>
  <si>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</si>
  <si>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</si>
  <si>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</si>
  <si>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</si>
  <si>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</si>
  <si>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</si>
  <si>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</si>
  <si>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</si>
  <si>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</si>
  <si>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</si>
  <si>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</si>
  <si>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</si>
  <si>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</si>
  <si>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</si>
  <si>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</si>
  <si>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</si>
  <si>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</si>
  <si>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</si>
  <si>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</si>
  <si>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</si>
  <si>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</si>
  <si>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</si>
  <si>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</si>
  <si>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</si>
  <si>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</si>
  <si>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</si>
  <si>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</si>
  <si>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</si>
  <si>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</si>
  <si>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</si>
  <si>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</si>
  <si>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</si>
  <si>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</si>
  <si>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</si>
  <si>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</si>
  <si>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</si>
  <si>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</si>
  <si>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</si>
  <si>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</si>
  <si>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</si>
  <si>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</si>
  <si>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</si>
  <si>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</si>
  <si>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</si>
  <si>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</si>
  <si>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</si>
  <si>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</si>
  <si>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</si>
  <si>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</si>
  <si>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</si>
  <si>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</si>
  <si>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</si>
  <si>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</si>
  <si>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</si>
  <si>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</si>
  <si>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</si>
  <si>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</si>
  <si>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</si>
  <si>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</si>
  <si>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</si>
  <si>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</si>
  <si>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</si>
  <si>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</si>
  <si>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</si>
  <si>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</si>
  <si>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</si>
  <si>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</si>
  <si>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</si>
  <si>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</si>
  <si>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</si>
  <si>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</si>
  <si>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</si>
  <si>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</si>
  <si>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</si>
  <si>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</si>
  <si>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</si>
  <si>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</si>
  <si>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</si>
  <si>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</si>
  <si>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</si>
  <si>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</si>
  <si>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</si>
  <si>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</si>
  <si>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</si>
  <si>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</si>
  <si>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</si>
  <si>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</si>
  <si>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</si>
  <si>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</si>
  <si>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</si>
  <si>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</si>
  <si>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</si>
  <si>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</si>
  <si>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</si>
  <si>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</si>
  <si>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</si>
  <si>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</si>
  <si>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</si>
  <si>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</si>
  <si>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</si>
  <si>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</si>
  <si>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</si>
  <si>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</si>
  <si>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</si>
  <si>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</si>
  <si>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</si>
  <si>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</si>
  <si>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</si>
  <si>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</si>
  <si>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</si>
  <si>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</si>
  <si>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</si>
  <si>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</si>
  <si>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</si>
  <si>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</si>
  <si>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</si>
  <si>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</si>
  <si>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</si>
  <si>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</si>
  <si>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</si>
  <si>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</si>
  <si>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</si>
  <si>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</si>
  <si>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</si>
  <si>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</si>
  <si>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</si>
  <si>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</si>
  <si>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</si>
  <si>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</si>
  <si>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</si>
  <si>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</si>
  <si>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</si>
  <si>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</si>
  <si>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</si>
  <si>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</si>
  <si>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</si>
  <si>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</si>
  <si>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</si>
  <si>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</si>
  <si>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</si>
  <si>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</si>
  <si>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</si>
  <si>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</si>
  <si>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</si>
  <si>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</si>
  <si>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</si>
  <si>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</si>
  <si>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</si>
  <si>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</si>
  <si>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</si>
  <si>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</si>
  <si>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</si>
  <si>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</si>
  <si>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</si>
  <si>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</si>
  <si>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</si>
  <si>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</si>
  <si>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</si>
  <si>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</si>
  <si>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</si>
  <si>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</si>
  <si>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</si>
  <si>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</si>
  <si>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</si>
  <si>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</si>
  <si>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</si>
  <si>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</si>
  <si>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</si>
  <si>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</si>
  <si>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</si>
  <si>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</si>
  <si>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</si>
  <si>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</si>
  <si>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</si>
  <si>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</si>
  <si>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</si>
  <si>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</si>
  <si>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</si>
  <si>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</si>
  <si>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</si>
  <si>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</si>
  <si>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</si>
  <si>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</si>
  <si>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</si>
  <si>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</si>
  <si>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</si>
  <si>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</si>
  <si>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</si>
  <si>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</si>
  <si>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</si>
  <si>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</si>
  <si>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</si>
  <si>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</si>
  <si>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</si>
  <si>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</si>
  <si>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</si>
  <si>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</si>
  <si>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</si>
  <si>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</si>
  <si>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</si>
  <si>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</si>
  <si>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</si>
  <si>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</si>
  <si>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</si>
  <si>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</si>
  <si>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</si>
  <si>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</si>
  <si>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</si>
  <si>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</si>
  <si>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</si>
  <si>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</si>
  <si>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</si>
  <si>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</si>
  <si>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</si>
  <si>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</si>
  <si>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</si>
  <si>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</si>
  <si>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</si>
  <si>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</si>
  <si>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</si>
  <si>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</si>
  <si>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</si>
  <si>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</si>
  <si>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</si>
  <si>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</si>
  <si>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</si>
  <si>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</si>
  <si>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</si>
  <si>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</si>
  <si>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</si>
  <si>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</si>
  <si>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</si>
  <si>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</si>
  <si>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</si>
  <si>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</si>
  <si>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</si>
  <si>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</si>
  <si>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</si>
  <si>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</si>
  <si>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</si>
  <si>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</si>
  <si>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</si>
  <si>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</si>
  <si>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</si>
  <si>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</si>
  <si>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</si>
  <si>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</si>
  <si>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</si>
  <si>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</si>
  <si>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</si>
  <si>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</si>
  <si>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</si>
  <si>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</si>
  <si>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</si>
  <si>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</si>
  <si>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</si>
  <si>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</si>
  <si>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</si>
  <si>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</si>
  <si>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</si>
  <si>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</si>
  <si>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</si>
  <si>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</si>
  <si>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</si>
  <si>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</si>
  <si>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</si>
  <si>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</si>
  <si>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</si>
  <si>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</si>
  <si>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</si>
  <si>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</si>
  <si>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</si>
  <si>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</si>
  <si>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</si>
  <si>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</si>
  <si>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</si>
  <si>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</si>
  <si>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</si>
  <si>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</si>
  <si>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</si>
  <si>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</si>
  <si>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</si>
  <si>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</si>
  <si>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</si>
  <si>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</si>
  <si>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</si>
  <si>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</si>
  <si>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</si>
  <si>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</si>
  <si>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</si>
  <si>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</si>
  <si>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</si>
  <si>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</si>
  <si>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</si>
  <si>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</si>
  <si>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</si>
  <si>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</si>
  <si>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</si>
  <si>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</si>
  <si>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</si>
  <si>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</si>
  <si>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</si>
  <si>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</si>
  <si>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</si>
  <si>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</si>
  <si>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</si>
  <si>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</si>
  <si>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</si>
  <si>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</si>
  <si>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</si>
  <si>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</si>
  <si>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</si>
  <si>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</si>
  <si>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</si>
  <si>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</si>
  <si>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</si>
  <si>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</si>
  <si>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</si>
  <si>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</si>
  <si>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</si>
  <si>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</si>
  <si>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</si>
  <si>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</si>
  <si>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</si>
  <si>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</si>
  <si>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</si>
  <si>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</si>
  <si>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</si>
  <si>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</si>
  <si>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</si>
  <si>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</si>
  <si>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</si>
  <si>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</si>
  <si>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</si>
  <si>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</si>
  <si>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</si>
  <si>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</si>
  <si>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</si>
  <si>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</si>
  <si>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</si>
  <si>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</si>
  <si>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</si>
  <si>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</si>
  <si>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</si>
  <si>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</si>
  <si>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</si>
  <si>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</si>
  <si>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</si>
  <si>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</si>
  <si>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</si>
  <si>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</si>
  <si>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</si>
  <si>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</si>
  <si>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</si>
  <si>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</si>
  <si>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</si>
  <si>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</si>
  <si>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</si>
  <si>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</si>
  <si>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</si>
  <si>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</si>
  <si>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</si>
  <si>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</si>
  <si>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</si>
  <si>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</si>
  <si>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</si>
  <si>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</si>
  <si>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</si>
  <si>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</si>
  <si>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</si>
  <si>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</si>
  <si>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</si>
  <si>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</si>
  <si>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</si>
  <si>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</si>
  <si>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</si>
  <si>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</si>
  <si>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</si>
  <si>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</si>
  <si>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</si>
  <si>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</si>
  <si>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</si>
  <si>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</si>
  <si>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</si>
  <si>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</si>
  <si>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</si>
  <si>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</si>
  <si>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</si>
  <si>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</si>
  <si>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</si>
  <si>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</si>
  <si>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</si>
  <si>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</si>
  <si>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</si>
  <si>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</si>
  <si>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</si>
  <si>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</si>
  <si>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</si>
  <si>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</si>
  <si>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</si>
  <si>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</si>
  <si>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</si>
  <si>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</si>
  <si>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</si>
  <si>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</si>
  <si>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</si>
  <si>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</si>
  <si>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</si>
  <si>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</si>
  <si>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</si>
  <si>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</si>
  <si>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</si>
  <si>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</si>
  <si>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</si>
  <si>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</si>
  <si>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</si>
  <si>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</si>
  <si>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</si>
  <si>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</si>
  <si>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</si>
  <si>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</si>
  <si>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</si>
  <si>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</si>
  <si>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</si>
  <si>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</si>
  <si>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</si>
  <si>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</si>
  <si>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</si>
  <si>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</si>
  <si>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</si>
  <si>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</si>
  <si>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</si>
  <si>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</si>
  <si>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</si>
  <si>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</si>
  <si>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</si>
  <si>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</si>
  <si>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</si>
  <si>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</si>
  <si>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</si>
  <si>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</si>
  <si>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</si>
  <si>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</si>
  <si>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</si>
  <si>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</si>
  <si>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</si>
  <si>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</si>
  <si>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</si>
  <si>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</si>
  <si>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</si>
  <si>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</si>
  <si>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</si>
  <si>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</si>
  <si>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</si>
  <si>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</si>
  <si>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</si>
  <si>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</si>
  <si>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</si>
  <si>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</si>
  <si>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</si>
  <si>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</si>
  <si>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</si>
  <si>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</si>
  <si>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</si>
  <si>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</si>
  <si>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</si>
  <si>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</si>
  <si>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</si>
  <si>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</si>
  <si>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</si>
  <si>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</si>
  <si>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</si>
  <si>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</si>
  <si>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</si>
  <si>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</si>
  <si>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</si>
  <si>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</si>
  <si>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</si>
  <si>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</si>
  <si>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</si>
  <si>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</si>
  <si>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</si>
  <si>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</si>
  <si>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</si>
  <si>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</si>
  <si>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</si>
  <si>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</si>
  <si>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</si>
  <si>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</si>
  <si>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</si>
  <si>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</si>
  <si>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</si>
  <si>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</si>
  <si>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</si>
  <si>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</si>
  <si>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</si>
  <si>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</si>
  <si>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</si>
  <si>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</si>
  <si>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</si>
  <si>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</si>
  <si>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</si>
  <si>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</si>
  <si>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</si>
  <si>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</si>
  <si>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</si>
  <si>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</si>
  <si>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</si>
  <si>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</si>
  <si>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</si>
  <si>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</si>
  <si>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</si>
  <si>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</si>
  <si>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</si>
  <si>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</si>
  <si>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</si>
  <si>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</si>
  <si>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</si>
  <si>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</si>
  <si>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</si>
  <si>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</si>
  <si>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</si>
  <si>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</si>
  <si>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</si>
  <si>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</si>
  <si>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</si>
  <si>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</si>
  <si>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</si>
  <si>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</si>
  <si>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</si>
  <si>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</si>
  <si>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</si>
  <si>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</si>
  <si>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</si>
  <si>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</si>
  <si>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</si>
  <si>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</si>
  <si>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</si>
  <si>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</si>
  <si>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</si>
  <si>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</si>
  <si>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</si>
  <si>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</si>
  <si>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</si>
  <si>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</si>
  <si>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</si>
  <si>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</si>
  <si>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</si>
  <si>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</si>
  <si>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</si>
  <si>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</si>
  <si>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</si>
  <si>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</si>
  <si>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</si>
  <si>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</si>
  <si>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</si>
  <si>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</si>
  <si>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</si>
  <si>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</si>
  <si>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</si>
  <si>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</si>
  <si>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</si>
  <si>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</si>
  <si>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</si>
  <si>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</si>
  <si>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</si>
  <si>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</si>
  <si>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</si>
  <si>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</si>
  <si>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</si>
  <si>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</si>
  <si>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</si>
  <si>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</si>
  <si>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</si>
  <si>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</si>
  <si>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</si>
  <si>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</si>
  <si>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</si>
  <si>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</si>
  <si>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</si>
  <si>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</si>
  <si>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</si>
  <si>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</si>
  <si>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</si>
  <si>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</si>
  <si>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</si>
  <si>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</si>
  <si>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</si>
  <si>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</si>
  <si>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</si>
  <si>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</si>
  <si>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</si>
  <si>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</si>
  <si>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</si>
  <si>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</si>
  <si>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</si>
  <si>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</si>
  <si>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</si>
  <si>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</si>
  <si>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</si>
  <si>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</si>
  <si>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</si>
  <si>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</si>
  <si>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</si>
  <si>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</si>
  <si>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</si>
  <si>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</si>
  <si>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</si>
  <si>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</si>
  <si>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</si>
  <si>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</si>
  <si>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</si>
  <si>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</si>
  <si>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</si>
  <si>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</si>
  <si>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</si>
  <si>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</si>
  <si>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</si>
  <si>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</si>
  <si>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</si>
  <si>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</si>
  <si>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</si>
  <si>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</si>
  <si>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</si>
  <si>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</si>
  <si>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</si>
  <si>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</si>
  <si>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</si>
  <si>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</si>
  <si>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</si>
  <si>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</si>
  <si>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</si>
  <si>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</si>
  <si>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</si>
  <si>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</si>
  <si>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</si>
  <si>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</si>
  <si>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</si>
  <si>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</si>
  <si>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</si>
  <si>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</si>
  <si>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</si>
  <si>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</si>
  <si>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</si>
  <si>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</si>
  <si>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</si>
  <si>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</si>
  <si>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</si>
  <si>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</si>
  <si>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</si>
  <si>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</si>
  <si>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</si>
  <si>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</si>
  <si>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</si>
  <si>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</si>
  <si>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</si>
  <si>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</si>
  <si>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</si>
  <si>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</si>
  <si>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</si>
  <si>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</si>
  <si>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</si>
  <si>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</si>
  <si>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</si>
  <si>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</si>
  <si>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</si>
  <si>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</si>
  <si>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</si>
  <si>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</si>
  <si>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</si>
  <si>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</si>
  <si>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</si>
  <si>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</si>
  <si>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</si>
  <si>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</si>
  <si>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</si>
  <si>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</si>
  <si>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</si>
  <si>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</si>
  <si>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</si>
  <si>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</si>
  <si>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</si>
  <si>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</si>
  <si>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</si>
  <si>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</si>
  <si>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</si>
  <si>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</si>
  <si>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</si>
  <si>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</si>
  <si>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</si>
  <si>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</si>
  <si>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</si>
  <si>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</si>
  <si>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</si>
  <si>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</si>
  <si>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</si>
  <si>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</si>
  <si>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</si>
  <si>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</si>
  <si>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</si>
  <si>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</si>
  <si>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</si>
  <si>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</si>
  <si>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</si>
  <si>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</si>
  <si>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</si>
  <si>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</si>
  <si>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</si>
  <si>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</si>
  <si>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</si>
  <si>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</si>
  <si>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</si>
  <si>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</si>
  <si>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</si>
  <si>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</si>
  <si>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</si>
  <si>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</si>
  <si>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</si>
  <si>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</si>
  <si>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</si>
  <si>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</si>
  <si>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</si>
  <si>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</si>
  <si>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</si>
  <si>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</si>
  <si>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</si>
  <si>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</si>
  <si>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</si>
  <si>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</si>
  <si>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</si>
  <si>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</si>
  <si>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</si>
  <si>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</si>
  <si>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</si>
  <si>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</si>
  <si>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</si>
  <si>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</si>
  <si>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</si>
  <si>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</si>
  <si>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</si>
  <si>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</si>
  <si>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</si>
  <si>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</si>
  <si>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</si>
  <si>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</si>
  <si>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</si>
  <si>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</si>
  <si>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</si>
  <si>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</si>
  <si>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</si>
  <si>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</si>
  <si>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</si>
  <si>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</si>
  <si>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</si>
  <si>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</si>
  <si>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</si>
  <si>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</si>
  <si>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</si>
  <si>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</si>
  <si>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</si>
  <si>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</si>
  <si>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</si>
  <si>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</si>
  <si>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</si>
  <si>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</si>
  <si>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</si>
  <si>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</si>
  <si>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</si>
  <si>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</si>
  <si>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</si>
  <si>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</si>
  <si>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</si>
  <si>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</si>
  <si>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</si>
  <si>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</si>
  <si>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</si>
  <si>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</si>
  <si>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</si>
  <si>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</si>
  <si>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</si>
  <si>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</si>
  <si>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</si>
  <si>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</si>
  <si>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</si>
  <si>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</si>
  <si>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</si>
  <si>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</si>
  <si>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</si>
  <si>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</si>
  <si>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</si>
  <si>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</si>
  <si>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</si>
  <si>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</si>
  <si>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</si>
  <si>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</si>
  <si>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</si>
  <si>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</si>
  <si>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</si>
  <si>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</si>
  <si>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</si>
  <si>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</si>
  <si>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</si>
  <si>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</si>
  <si>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</si>
  <si>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</si>
  <si>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</si>
  <si>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</si>
  <si>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</si>
  <si>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</si>
  <si>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</si>
  <si>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</si>
  <si>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</si>
  <si>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</si>
  <si>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</si>
  <si>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</si>
  <si>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</si>
  <si>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</si>
  <si>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</si>
  <si>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</si>
  <si>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</si>
  <si>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</si>
  <si>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</si>
  <si>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</si>
  <si>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</si>
  <si>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</si>
  <si>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</si>
  <si>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</si>
  <si>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</si>
  <si>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</si>
  <si>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</si>
  <si>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</si>
  <si>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</si>
  <si>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</si>
  <si>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</si>
  <si>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</si>
  <si>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</si>
  <si>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</si>
  <si>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</si>
  <si>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</si>
  <si>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</si>
  <si>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</si>
  <si>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</si>
  <si>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</si>
  <si>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</si>
  <si>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</si>
  <si>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</si>
  <si>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</si>
  <si>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</si>
  <si>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</si>
  <si>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</si>
  <si>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</si>
  <si>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</si>
  <si>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</si>
  <si>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</si>
  <si>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</si>
  <si>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</si>
  <si>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</si>
  <si>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</si>
  <si>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</si>
  <si>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</si>
  <si>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</si>
  <si>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</si>
  <si>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</si>
  <si>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</si>
  <si>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</si>
  <si>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</si>
  <si>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</si>
  <si>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</si>
  <si>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</si>
  <si>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</si>
  <si>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</si>
  <si>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</si>
  <si>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</si>
  <si>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</si>
  <si>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</si>
  <si>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</si>
  <si>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</si>
  <si>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</si>
  <si>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</si>
  <si>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</si>
  <si>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</si>
  <si>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</si>
  <si>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</si>
  <si>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</si>
  <si>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</si>
  <si>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</si>
  <si>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</si>
  <si>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</si>
  <si>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</si>
  <si>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</si>
  <si>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</si>
  <si>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</si>
  <si>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</si>
  <si>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</si>
  <si>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</si>
  <si>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</si>
  <si>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</si>
  <si>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</si>
  <si>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</si>
  <si>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</si>
  <si>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</si>
  <si>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</si>
  <si>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</si>
  <si>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</si>
  <si>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</si>
  <si>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</si>
  <si>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</si>
  <si>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</si>
  <si>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</si>
  <si>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</si>
  <si>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</si>
  <si>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</si>
  <si>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</si>
  <si>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</si>
  <si>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</si>
  <si>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</si>
  <si>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</si>
  <si>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</si>
  <si>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</si>
  <si>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</si>
  <si>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</si>
  <si>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</si>
  <si>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</si>
  <si>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</si>
  <si>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</si>
  <si>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</si>
  <si>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</si>
  <si>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</si>
  <si>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</si>
  <si>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</si>
  <si>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</si>
  <si>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</si>
  <si>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</si>
  <si>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</si>
  <si>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</si>
  <si>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</si>
  <si>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</si>
  <si>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</si>
  <si>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</si>
  <si>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</si>
  <si>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</si>
  <si>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</si>
  <si>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</si>
  <si>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</si>
  <si>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</si>
  <si>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</si>
  <si>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</si>
  <si>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</si>
  <si>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</si>
  <si>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</si>
  <si>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</si>
  <si>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</si>
  <si>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</si>
  <si>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</si>
  <si>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</si>
  <si>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</si>
  <si>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</si>
  <si>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</si>
  <si>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</si>
  <si>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</si>
  <si>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</si>
  <si>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</si>
  <si>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</si>
  <si>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</si>
  <si>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</si>
  <si>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</si>
  <si>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</si>
  <si>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</si>
  <si>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</si>
  <si>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</si>
  <si>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</si>
  <si>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</si>
  <si>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</si>
  <si>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</si>
  <si>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</si>
  <si>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</si>
  <si>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</si>
  <si>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</si>
  <si>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</si>
  <si>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</si>
  <si>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</si>
  <si>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</si>
  <si>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</si>
  <si>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</si>
  <si>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</si>
  <si>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</si>
  <si>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</si>
  <si>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</si>
  <si>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</si>
  <si>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</si>
  <si>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</si>
  <si>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</si>
  <si>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</si>
  <si>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</si>
  <si>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</si>
  <si>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</si>
  <si>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</si>
  <si>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</si>
  <si>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</si>
  <si>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</si>
  <si>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</si>
  <si>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</si>
  <si>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</si>
  <si>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</si>
  <si>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</si>
  <si>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</si>
  <si>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</si>
  <si>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</si>
  <si>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</si>
  <si>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</si>
  <si>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</si>
  <si>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</si>
  <si>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</si>
  <si>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</si>
  <si>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</si>
  <si>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</si>
  <si>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</si>
  <si>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</si>
  <si>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</si>
  <si>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</si>
  <si>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</si>
  <si>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</si>
  <si>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</si>
  <si>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</si>
  <si>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</si>
  <si>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</si>
  <si>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</si>
  <si>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</si>
  <si>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</si>
  <si>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</si>
  <si>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</si>
  <si>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</si>
  <si>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</si>
  <si>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</si>
  <si>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</si>
  <si>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</si>
  <si>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</si>
  <si>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</si>
  <si>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</si>
  <si>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</si>
  <si>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</si>
  <si>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</si>
  <si>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</si>
  <si>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</si>
  <si>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</si>
  <si>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</si>
  <si>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</si>
  <si>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</si>
  <si>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</si>
  <si>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</si>
  <si>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</si>
  <si>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</si>
  <si>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</si>
  <si>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</si>
  <si>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</si>
  <si>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</si>
  <si>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</si>
  <si>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</si>
  <si>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</si>
  <si>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</si>
  <si>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</si>
  <si>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</si>
  <si>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</si>
  <si>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</si>
  <si>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</si>
  <si>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</si>
  <si>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</si>
  <si>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</si>
  <si>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</si>
  <si>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</si>
  <si>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</si>
  <si>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</si>
  <si>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</si>
  <si>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</si>
  <si>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</si>
  <si>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</si>
  <si>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</si>
  <si>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</si>
  <si>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</si>
  <si>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</si>
  <si>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</si>
  <si>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</si>
  <si>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</si>
  <si>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</si>
  <si>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</si>
  <si>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</si>
  <si>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</si>
  <si>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</si>
  <si>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</si>
  <si>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</si>
  <si>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</si>
  <si>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</si>
  <si>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</si>
  <si>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</si>
  <si>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</si>
  <si>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</si>
  <si>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</si>
  <si>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</si>
  <si>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</si>
  <si>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</si>
  <si>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</si>
  <si>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</si>
  <si>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</si>
  <si>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</si>
  <si>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</si>
  <si>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</si>
  <si>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</si>
  <si>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</si>
  <si>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</si>
  <si>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</si>
  <si>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</si>
  <si>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</si>
  <si>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</si>
  <si>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</si>
  <si>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</si>
  <si>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</si>
  <si>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</si>
  <si>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</si>
  <si>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</si>
  <si>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</si>
  <si>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</si>
  <si>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</si>
  <si>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</si>
  <si>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</si>
  <si>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</si>
  <si>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</si>
  <si>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</si>
  <si>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</si>
  <si>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</si>
  <si>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</si>
  <si>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</si>
  <si>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</si>
  <si>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</si>
  <si>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</si>
  <si>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</si>
  <si>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</si>
  <si>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</si>
  <si>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</si>
  <si>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</si>
  <si>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</si>
  <si>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</si>
  <si>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</si>
  <si>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</si>
  <si>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</si>
  <si>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</si>
  <si>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</si>
  <si>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</si>
  <si>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</si>
  <si>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</si>
  <si>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</si>
  <si>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</si>
  <si>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</si>
  <si>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</si>
  <si>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</si>
  <si>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</si>
  <si>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</si>
  <si>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</si>
  <si>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</si>
  <si>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</si>
  <si>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</si>
  <si>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</si>
  <si>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</si>
  <si>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</si>
  <si>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</si>
  <si>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</si>
  <si>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</si>
  <si>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</si>
  <si>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</si>
  <si>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</si>
  <si>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</si>
  <si>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</si>
  <si>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</si>
  <si>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</si>
  <si>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</si>
  <si>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</si>
  <si>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</si>
  <si>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</si>
  <si>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</si>
  <si>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</si>
  <si>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</si>
  <si>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</si>
  <si>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</si>
  <si>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</si>
  <si>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</si>
  <si>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</si>
  <si>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</si>
  <si>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</si>
  <si>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</si>
  <si>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</si>
  <si>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</si>
  <si>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</si>
  <si>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</si>
  <si>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</si>
  <si>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</si>
  <si>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</si>
  <si>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</si>
  <si>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</si>
  <si>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</si>
  <si>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</si>
  <si>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</si>
  <si>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</si>
  <si>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</si>
  <si>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</si>
  <si>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</si>
  <si>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</si>
  <si>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</si>
  <si>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</si>
  <si>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</si>
  <si>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</si>
  <si>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</si>
  <si>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</si>
  <si>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</si>
  <si>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</si>
  <si>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</si>
  <si>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</si>
  <si>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</si>
  <si>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</si>
  <si>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</si>
  <si>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</si>
  <si>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</si>
  <si>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</si>
  <si>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</si>
  <si>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</si>
  <si>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</si>
  <si>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</si>
  <si>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</si>
  <si>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</si>
  <si>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</si>
  <si>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</si>
  <si>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</si>
  <si>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</si>
  <si>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</si>
  <si>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</si>
  <si>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</si>
  <si>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</si>
  <si>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</si>
  <si>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</si>
  <si>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</si>
  <si>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</si>
  <si>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</si>
  <si>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</si>
  <si>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</si>
  <si>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</si>
  <si>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</si>
  <si>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</si>
  <si>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</si>
  <si>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</si>
  <si>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</si>
  <si>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</si>
  <si>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</si>
  <si>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</si>
  <si>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</si>
  <si>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</si>
  <si>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</si>
  <si>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</si>
  <si>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</si>
  <si>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</si>
  <si>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</si>
  <si>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</si>
  <si>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</si>
  <si>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</si>
  <si>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</si>
  <si>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</si>
  <si>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</si>
  <si>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</si>
  <si>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</si>
  <si>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</si>
  <si>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</si>
  <si>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</si>
  <si>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</si>
  <si>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</si>
  <si>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</si>
  <si>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</si>
  <si>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</si>
  <si>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</si>
  <si>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</si>
  <si>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</si>
  <si>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</si>
  <si>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</si>
  <si>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</si>
  <si>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</si>
  <si>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</si>
  <si>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</si>
  <si>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</si>
  <si>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</si>
  <si>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</si>
  <si>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</si>
  <si>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</si>
  <si>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</si>
  <si>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</si>
  <si>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</si>
  <si>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</si>
  <si>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</si>
  <si>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</si>
  <si>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</si>
  <si>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</si>
  <si>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</si>
  <si>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</si>
  <si>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</si>
  <si>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</si>
  <si>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</si>
  <si>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</si>
  <si>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</si>
  <si>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</si>
  <si>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</si>
  <si>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</si>
  <si>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</si>
  <si>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</si>
  <si>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</si>
  <si>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</si>
  <si>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</si>
  <si>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</si>
  <si>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</si>
  <si>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</si>
  <si>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</si>
  <si>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</si>
  <si>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</si>
  <si>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</si>
  <si>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</si>
  <si>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</si>
  <si>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</si>
  <si>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</si>
  <si>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</si>
  <si>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</si>
  <si>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</si>
  <si>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</si>
  <si>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</si>
  <si>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</si>
  <si>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</si>
  <si>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</si>
  <si>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</si>
  <si>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</si>
  <si>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</si>
  <si>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</si>
  <si>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</si>
  <si>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</si>
  <si>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</si>
  <si>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</si>
  <si>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</si>
  <si>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</si>
  <si>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</si>
  <si>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</si>
  <si>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</si>
  <si>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</si>
  <si>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</si>
  <si>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</si>
  <si>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</si>
  <si>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</si>
  <si>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</si>
  <si>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</si>
  <si>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</si>
  <si>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</si>
  <si>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</si>
  <si>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</si>
  <si>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</si>
  <si>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</si>
  <si>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</si>
  <si>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</si>
  <si>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</si>
  <si>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</si>
  <si>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</si>
  <si>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</si>
  <si>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</si>
  <si>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</si>
  <si>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</si>
  <si>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</si>
  <si>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</si>
  <si>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</si>
  <si>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</si>
  <si>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</si>
  <si>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</si>
  <si>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</si>
  <si>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</si>
  <si>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</si>
  <si>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</si>
  <si>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</si>
  <si>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</si>
  <si>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</si>
  <si>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</si>
  <si>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</si>
  <si>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</si>
  <si>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</si>
  <si>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</si>
  <si>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</si>
  <si>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</si>
  <si>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</si>
  <si>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</si>
  <si>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</si>
  <si>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</si>
  <si>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</si>
  <si>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</si>
  <si>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</si>
  <si>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</si>
  <si>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</si>
  <si>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</si>
  <si>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</si>
  <si>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</si>
  <si>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</si>
  <si>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</si>
  <si>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</si>
  <si>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</si>
  <si>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</si>
  <si>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</si>
  <si>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</si>
  <si>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</si>
  <si>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</si>
  <si>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</si>
  <si>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</si>
  <si>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</si>
  <si>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</si>
  <si>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</si>
  <si>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</si>
  <si>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</si>
  <si>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</si>
  <si>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</si>
  <si>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</si>
  <si>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</si>
  <si>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</si>
  <si>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</si>
  <si>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</si>
  <si>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</si>
  <si>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</si>
  <si>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</si>
  <si>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</si>
  <si>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</si>
  <si>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</si>
  <si>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</si>
  <si>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</si>
  <si>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</si>
  <si>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</si>
  <si>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</si>
  <si>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</si>
  <si>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</si>
  <si>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</si>
  <si>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</si>
  <si>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</si>
  <si>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</si>
  <si>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</si>
  <si>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</si>
  <si>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</si>
  <si>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</si>
  <si>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</si>
  <si>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</si>
  <si>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</si>
  <si>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</si>
  <si>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</si>
  <si>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</si>
  <si>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</si>
  <si>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</si>
  <si>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</si>
  <si>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</si>
  <si>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</si>
  <si>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</si>
  <si>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</si>
  <si>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</si>
  <si>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</si>
  <si>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</si>
  <si>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</si>
  <si>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</si>
  <si>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</si>
  <si>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</si>
  <si>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</si>
  <si>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</si>
  <si>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</si>
  <si>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</si>
  <si>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</si>
  <si>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</si>
  <si>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</si>
  <si>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</si>
  <si>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</si>
  <si>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</si>
  <si>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</si>
  <si>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</si>
  <si>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</si>
  <si>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</si>
  <si>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</si>
  <si>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</si>
  <si>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</si>
  <si>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</si>
  <si>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</si>
  <si>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</si>
  <si>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</si>
  <si>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</si>
  <si>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</si>
  <si>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</si>
  <si>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</si>
  <si>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</si>
  <si>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</si>
  <si>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</si>
  <si>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</si>
  <si>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</si>
  <si>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</si>
  <si>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</si>
  <si>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</si>
  <si>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</si>
  <si>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</si>
  <si>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</si>
  <si>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</si>
  <si>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</si>
  <si>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</si>
  <si>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</si>
  <si>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</si>
  <si>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</si>
  <si>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</si>
  <si>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</si>
  <si>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</si>
  <si>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</si>
  <si>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</si>
  <si>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</si>
  <si>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</si>
  <si>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</si>
  <si>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</si>
  <si>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</si>
  <si>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</si>
  <si>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</si>
  <si>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</si>
  <si>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</si>
  <si>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</si>
  <si>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</si>
  <si>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</si>
  <si>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</si>
  <si>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</si>
  <si>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</si>
  <si>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</si>
  <si>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</si>
  <si>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</si>
  <si>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</si>
  <si>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</si>
  <si>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</si>
  <si>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</si>
  <si>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</si>
  <si>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</si>
  <si>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</si>
  <si>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</si>
  <si>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</si>
  <si>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</si>
  <si>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</si>
  <si>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</si>
  <si>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</si>
  <si>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</si>
  <si>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</si>
  <si>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</si>
  <si>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</si>
  <si>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</si>
  <si>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</si>
  <si>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</si>
  <si>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</si>
  <si>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</si>
  <si>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</si>
  <si>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</si>
  <si>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</si>
  <si>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</si>
  <si>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</si>
  <si>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</si>
  <si>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</si>
  <si>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</si>
  <si>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</si>
  <si>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</si>
  <si>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</si>
  <si>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</si>
  <si>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</si>
  <si>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</si>
  <si>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</si>
  <si>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</si>
  <si>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</si>
  <si>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</si>
  <si>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</si>
  <si>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</si>
  <si>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</si>
  <si>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</si>
  <si>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</si>
  <si>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</si>
  <si>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</si>
  <si>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</si>
  <si>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Meister, Hilton, Chitwood &amp; Associates, Inc.</t>
  </si>
  <si>
    <t>Ron Hilton</t>
  </si>
  <si>
    <t>809 W. Detweiller Drive, Suite 806</t>
  </si>
  <si>
    <t>Peoria</t>
  </si>
  <si>
    <t>IL</t>
  </si>
  <si>
    <t>(309) 692-0492</t>
  </si>
  <si>
    <t>066-004769</t>
  </si>
  <si>
    <t>ron.hilton!@comcast.net</t>
  </si>
  <si>
    <t>Hancock</t>
  </si>
  <si>
    <t>90 W. Green Street, P.O. Box 155</t>
  </si>
  <si>
    <t>Augusta</t>
  </si>
  <si>
    <t>shsprin@southeastern337.com</t>
  </si>
  <si>
    <t>D. Todd Fox</t>
  </si>
  <si>
    <t>(217) 392-2172</t>
  </si>
  <si>
    <t>(217) 392-2174</t>
  </si>
  <si>
    <t>Total Federal Expenditures for 7/1/18-6/30/19</t>
  </si>
  <si>
    <t>(309) 683-0441</t>
  </si>
  <si>
    <t>23. The District has prepared these financial statements using accounting practices prescribed by the Illinois State Board of Education, which differ from accounting principles generally accepted in the United States of America.</t>
  </si>
  <si>
    <t>Western Area Schools</t>
  </si>
  <si>
    <t>WCISEC</t>
  </si>
  <si>
    <t>Purchasing Cooperative</t>
  </si>
  <si>
    <t>Quincy Area Vocational (Vo-Tech)</t>
  </si>
  <si>
    <t>Sports Co-op (Central)</t>
  </si>
  <si>
    <t>Page 10, Line 1690 Other Food Service: Educational Fund: miscellaneous reimbursment $36</t>
  </si>
  <si>
    <t xml:space="preserve">                                  Operations &amp; Maintenance Fund: reimbursements $38, Transportation Fund: reimbursements $814</t>
  </si>
  <si>
    <t xml:space="preserve">                                   State Programs (3999) $28,475</t>
  </si>
  <si>
    <t>Page 12, Line 3999 Other Restricted Revenue from State Sources:  Educational Fund; Library Per Capita Grant $750, Other</t>
  </si>
  <si>
    <t>Page 16, Line 4190 Other Payments to In-State Govt Units: Alternative education and safe school tuition $6,440</t>
  </si>
  <si>
    <t>Effective internal controls should be implemented to ensure that an adequate segregation of duties over the accounting function exists.  Responsibilities for authorizing, approving, executing and recording transactions in the general ledger should be segregated between two or more individuals.</t>
  </si>
  <si>
    <t>One employee is responsible for most aspects of the cash receipts, cash disbursements and payroll functions.  This individual is also responsible for recording these transactions in the general ledger and signing checks.</t>
  </si>
  <si>
    <t>This condition increases the possibility that errors or fraud may occur and not be detected on a timely basis.</t>
  </si>
  <si>
    <t>Due to the small size of the District and economic constraints, it is not practical to hire additional personnel to further segregate duties over the accounting functions. Duties have been assigned based on the experience and schedules of office personnel.</t>
  </si>
  <si>
    <t>When this condition exists, the Superintendent’s and Board of Education's close oversight and review of accounting information on a regular basis is the best means of preventing or detecting errors or fraud.  We also recommend that all checks be reviewed and signed by the Superintendent rather than the bookkeeper.</t>
  </si>
  <si>
    <t>Due to the small size of the District, it is not practical to hire additional personnel solely for the purpose of achieving an ideal segregation of duties over the accounting function.  Some segregation of duties has occurred as an outside individual has been contracted to perform the monthly bank reconciliations.  In addition, the Superintendent will review and sign all checks.</t>
  </si>
  <si>
    <t>In an ideal control setting, the District would have personnel possessing a thorough understanding of applicable generally accepted accounting principles and staying abreast of recent accounting developments.  Such personnel would perform a comprehensive review procedure to ensure that in the preparation of its annual financial statements that such statements, including disclosures, are complete and accurate.</t>
  </si>
  <si>
    <t>The Board of Education and management share the ultimate responsibility for the District's internal control system.  While it is acceptable to outsource various accounting functions, the responsibility for internal control cannot be outsourced to the external auditors and still be considered part of the on-going internal control of the organization.  The District engages the external auditors to assist in preparing its financial statements and accompanying disclosures.  However, as independent auditors, external auditors cannot be considered part of the District's internal control system.</t>
  </si>
  <si>
    <t>The District prepares accurate non-full disclosure financial reports (i.e. without note disclosure) on a monthly basis.  These reports are reviewed by the Superintendent and the Board of Education on a monthly basis.  However, changes in accounting standards may not be identified and implemented by the District.</t>
  </si>
  <si>
    <t>It is possible that a misstatement of the District's financial statements could occur due to incorrect application of accounting standards or ISBE requirements and not be prevented or detected by the District's internal control over financial reporting.</t>
  </si>
  <si>
    <t>Due to the small size of the District, the District has not made it a practice to send District officials or other personnel to training classes to update them on the on-going changes and complexities of generally accepted accounting principles.</t>
  </si>
  <si>
    <t>We make no recommendation as to whether management should or should not invest in additional personnel or additional training for existing personnel to acquire the capacity to maintain the level of expertise necessary to prepare financial statements in accordance with generally accepted accounting principles including all disclosures.</t>
  </si>
  <si>
    <t>The District does not currently have qualified personnel to perform a complete review of the District's drafted financial statements.  In addition, it is not economically practical to hire an outside consultant to conduct this review.  The District believes that management's and the Board of Education's review of the balances and amounts are adequate in the circumstances and no additional procedures are considered necessary.</t>
  </si>
  <si>
    <t>Page 10, Line 1999 Other Local Revenues:  Educational Fund: Insurance refund $4,013, miscellaneous reimbursements $1,876,</t>
  </si>
  <si>
    <t>Ed-Instruction-Purchased Services</t>
  </si>
  <si>
    <t>10-1000-300</t>
  </si>
  <si>
    <t>Quality Network Solutions</t>
  </si>
  <si>
    <t>Transportation-Pupil Transportation-Purchased Services</t>
  </si>
  <si>
    <t>40-2550-300</t>
  </si>
  <si>
    <t>Rose Carle</t>
  </si>
  <si>
    <t>Commerce Bank</t>
  </si>
  <si>
    <t>Kansas State Bank</t>
  </si>
  <si>
    <t>Southeastern CUSD 337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</si>
</sst>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5</xdr:row>
          <xdr:rowOff>12989</xdr:rowOff>
        </xdr:from>
        <xdr:to>
          <xdr:col>1</xdr:col>
          <xdr:colOff>911802</xdr:colOff>
          <xdr:row>9</xdr:row>
          <xdr:rowOff>61480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7"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83" t="s">
        <v>405</v>
      </c>
      <c r="J1" s="1984"/>
      <c r="K1" s="1984"/>
      <c r="L1" s="1984"/>
      <c r="M1" s="1984"/>
      <c r="N1" s="1984"/>
      <c r="O1" s="1984"/>
      <c r="P1" s="1984"/>
      <c r="Q1" s="1984"/>
      <c r="R1" s="1984"/>
      <c r="S1" s="1984"/>
    </row>
    <row r="2" spans="1:28" ht="12" customHeight="1" x14ac:dyDescent="0.2">
      <c r="A2" s="47" t="s">
        <v>1992</v>
      </c>
      <c r="D2" s="48"/>
      <c r="I2" s="1985" t="s">
        <v>979</v>
      </c>
      <c r="J2" s="1984"/>
      <c r="K2" s="1984"/>
      <c r="L2" s="1984"/>
      <c r="M2" s="1984"/>
      <c r="N2" s="1984"/>
      <c r="O2" s="1984"/>
      <c r="P2" s="1984"/>
      <c r="Q2" s="1984"/>
      <c r="R2" s="1984"/>
      <c r="S2" s="1984"/>
    </row>
    <row r="3" spans="1:28" ht="12" customHeight="1" x14ac:dyDescent="0.2">
      <c r="A3" s="155" t="s">
        <v>1944</v>
      </c>
      <c r="B3" s="156"/>
      <c r="C3" s="156"/>
      <c r="D3" s="157"/>
      <c r="I3" s="1985" t="s">
        <v>52</v>
      </c>
      <c r="J3" s="1984"/>
      <c r="K3" s="1984"/>
      <c r="L3" s="1984"/>
      <c r="M3" s="1984"/>
      <c r="N3" s="1984"/>
      <c r="O3" s="1984"/>
      <c r="P3" s="1984"/>
      <c r="Q3" s="1984"/>
      <c r="R3" s="1984"/>
      <c r="S3" s="1984"/>
    </row>
    <row r="4" spans="1:28" ht="12" customHeight="1" x14ac:dyDescent="0.2">
      <c r="A4" s="37"/>
      <c r="I4" s="1985" t="s">
        <v>524</v>
      </c>
      <c r="J4" s="1984"/>
      <c r="K4" s="1984"/>
      <c r="L4" s="1984"/>
      <c r="M4" s="1984"/>
      <c r="N4" s="1984"/>
      <c r="O4" s="1984"/>
      <c r="P4" s="1984"/>
      <c r="Q4" s="1984"/>
      <c r="R4" s="1984"/>
      <c r="S4" s="1984"/>
    </row>
    <row r="5" spans="1:28" ht="14.1" customHeight="1" x14ac:dyDescent="0.2">
      <c r="B5" s="104" t="s">
        <v>2063</v>
      </c>
      <c r="C5" s="26" t="s">
        <v>910</v>
      </c>
      <c r="D5" s="84"/>
      <c r="E5" s="84"/>
      <c r="H5" s="38"/>
      <c r="I5" s="1993" t="s">
        <v>680</v>
      </c>
      <c r="J5" s="1992"/>
      <c r="K5" s="1992"/>
      <c r="L5" s="1992"/>
      <c r="M5" s="1992"/>
      <c r="N5" s="1992"/>
      <c r="O5" s="1992"/>
      <c r="P5" s="1992"/>
      <c r="Q5" s="1992"/>
      <c r="R5" s="1992"/>
      <c r="S5" s="1992"/>
    </row>
    <row r="6" spans="1:28" ht="14.1" customHeight="1" x14ac:dyDescent="0.2">
      <c r="B6" s="104"/>
      <c r="C6" s="26" t="s">
        <v>911</v>
      </c>
      <c r="D6" s="84"/>
      <c r="E6" s="84"/>
      <c r="I6" s="1991" t="s">
        <v>883</v>
      </c>
      <c r="J6" s="1992"/>
      <c r="K6" s="1992"/>
      <c r="L6" s="1992"/>
      <c r="M6" s="1992"/>
      <c r="N6" s="1992"/>
      <c r="O6" s="1992"/>
      <c r="P6" s="1992"/>
      <c r="Q6" s="1992"/>
      <c r="R6" s="1992"/>
      <c r="S6" s="1992"/>
    </row>
    <row r="7" spans="1:28" ht="12.2" customHeight="1" x14ac:dyDescent="0.2">
      <c r="I7" s="1986">
        <v>43646</v>
      </c>
      <c r="J7" s="1987"/>
      <c r="K7" s="1987"/>
      <c r="L7" s="1987"/>
      <c r="M7" s="1987"/>
      <c r="N7" s="1987"/>
      <c r="O7" s="1987"/>
      <c r="P7" s="1987"/>
      <c r="Q7" s="1987"/>
      <c r="R7" s="1987"/>
      <c r="S7" s="198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8" t="s">
        <v>674</v>
      </c>
      <c r="J9" s="1989"/>
      <c r="K9" s="1989"/>
      <c r="L9" s="1989"/>
      <c r="M9" s="1989"/>
      <c r="N9" s="1989"/>
      <c r="O9" s="1989"/>
      <c r="P9" s="1989"/>
      <c r="Q9" s="1989"/>
      <c r="R9" s="1989"/>
      <c r="S9" s="1990"/>
      <c r="T9" s="2004" t="s">
        <v>533</v>
      </c>
      <c r="U9" s="2005"/>
      <c r="V9" s="2005"/>
      <c r="W9" s="2005"/>
      <c r="X9" s="2005"/>
      <c r="Y9" s="2005"/>
      <c r="Z9" s="2005"/>
      <c r="AA9" s="2006"/>
    </row>
    <row r="10" spans="1:28" ht="13.5" customHeight="1" x14ac:dyDescent="0.2">
      <c r="A10" s="2011" t="s">
        <v>675</v>
      </c>
      <c r="B10" s="2012"/>
      <c r="C10" s="2012"/>
      <c r="D10" s="2012"/>
      <c r="E10" s="2012"/>
      <c r="F10" s="2012"/>
      <c r="G10" s="2012"/>
      <c r="H10" s="2013"/>
      <c r="I10" s="29"/>
      <c r="J10" s="30"/>
      <c r="K10" s="28"/>
      <c r="R10" s="30"/>
      <c r="S10" s="30"/>
      <c r="T10" s="2007"/>
      <c r="U10" s="1992"/>
      <c r="V10" s="1992"/>
      <c r="W10" s="1992"/>
      <c r="X10" s="1992"/>
      <c r="Y10" s="1992"/>
      <c r="Z10" s="1992"/>
      <c r="AA10" s="1998"/>
    </row>
    <row r="11" spans="1:28" ht="14.25" customHeight="1" x14ac:dyDescent="0.2">
      <c r="A11" s="2014" t="s">
        <v>955</v>
      </c>
      <c r="B11" s="2015"/>
      <c r="C11" s="2015"/>
      <c r="D11" s="2015"/>
      <c r="E11" s="2015"/>
      <c r="F11" s="2015"/>
      <c r="G11" s="2015"/>
      <c r="H11" s="2016"/>
      <c r="I11" s="27"/>
      <c r="J11" s="74"/>
      <c r="K11" s="27"/>
      <c r="O11" s="148" t="s">
        <v>2063</v>
      </c>
      <c r="P11" s="100" t="s">
        <v>201</v>
      </c>
      <c r="Q11" s="30"/>
      <c r="R11" s="28"/>
      <c r="S11" s="27"/>
      <c r="T11" s="2008"/>
      <c r="U11" s="2009"/>
      <c r="V11" s="2009"/>
      <c r="W11" s="2009"/>
      <c r="X11" s="2009"/>
      <c r="Y11" s="2009"/>
      <c r="Z11" s="2009"/>
      <c r="AA11" s="201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8">
        <v>26034337026</v>
      </c>
      <c r="B13" s="2019"/>
      <c r="C13" s="2019"/>
      <c r="D13" s="2019"/>
      <c r="E13" s="2019"/>
      <c r="F13" s="2019"/>
      <c r="G13" s="2019"/>
      <c r="H13" s="2020"/>
      <c r="I13" s="31"/>
      <c r="J13" s="30"/>
      <c r="K13" s="28"/>
      <c r="L13" s="30"/>
      <c r="M13" s="30"/>
      <c r="N13" s="30"/>
      <c r="O13" s="30"/>
      <c r="P13" s="30"/>
      <c r="Q13" s="30"/>
      <c r="R13" s="30"/>
      <c r="S13" s="30"/>
      <c r="T13" s="2023" t="s">
        <v>2064</v>
      </c>
      <c r="U13" s="2024"/>
      <c r="V13" s="2024"/>
      <c r="W13" s="2024"/>
      <c r="X13" s="2024"/>
      <c r="Y13" s="2025"/>
      <c r="Z13" s="2025"/>
      <c r="AA13" s="202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7" t="s">
        <v>2072</v>
      </c>
      <c r="B15" s="2021"/>
      <c r="C15" s="2021"/>
      <c r="D15" s="2021"/>
      <c r="E15" s="2021"/>
      <c r="F15" s="2021"/>
      <c r="G15" s="2021"/>
      <c r="H15" s="2022"/>
      <c r="T15" s="2027" t="s">
        <v>2065</v>
      </c>
      <c r="U15" s="1971"/>
      <c r="V15" s="1971"/>
      <c r="W15" s="1971"/>
      <c r="X15" s="1971"/>
      <c r="Y15" s="2028"/>
      <c r="Z15" s="2028"/>
      <c r="AA15" s="202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7" t="s">
        <v>2114</v>
      </c>
      <c r="B17" s="1978"/>
      <c r="C17" s="1978"/>
      <c r="D17" s="1978"/>
      <c r="E17" s="1978"/>
      <c r="F17" s="1978"/>
      <c r="G17" s="1978"/>
      <c r="H17" s="2003"/>
      <c r="T17" s="2034" t="s">
        <v>2066</v>
      </c>
      <c r="U17" s="2035"/>
      <c r="V17" s="2035"/>
      <c r="W17" s="2035"/>
      <c r="X17" s="2035"/>
      <c r="Y17" s="2035"/>
      <c r="Z17" s="2035"/>
      <c r="AA17" s="2036"/>
    </row>
    <row r="18" spans="1:27" ht="13.5" customHeight="1" x14ac:dyDescent="0.2">
      <c r="A18" s="85" t="s">
        <v>530</v>
      </c>
      <c r="B18" s="76"/>
      <c r="C18" s="72"/>
      <c r="D18" s="76"/>
      <c r="E18" s="76"/>
      <c r="F18" s="76"/>
      <c r="G18" s="76"/>
      <c r="H18" s="56"/>
      <c r="I18" s="2002" t="s">
        <v>676</v>
      </c>
      <c r="J18" s="1953"/>
      <c r="K18" s="1953"/>
      <c r="L18" s="1953"/>
      <c r="M18" s="1953"/>
      <c r="N18" s="1953"/>
      <c r="O18" s="1953"/>
      <c r="P18" s="1953"/>
      <c r="Q18" s="1953"/>
      <c r="R18" s="1953"/>
      <c r="S18" s="1954"/>
      <c r="T18" s="85" t="s">
        <v>711</v>
      </c>
      <c r="U18" s="51"/>
      <c r="V18" s="72"/>
      <c r="W18" s="50"/>
      <c r="X18" s="85" t="s">
        <v>266</v>
      </c>
      <c r="Y18" s="81"/>
      <c r="Z18" s="159" t="s">
        <v>677</v>
      </c>
      <c r="AA18" s="46"/>
    </row>
    <row r="19" spans="1:27" ht="13.5" customHeight="1" x14ac:dyDescent="0.2">
      <c r="A19" s="2017" t="s">
        <v>2073</v>
      </c>
      <c r="B19" s="1963"/>
      <c r="C19" s="1963"/>
      <c r="D19" s="1963"/>
      <c r="E19" s="1963"/>
      <c r="F19" s="1963"/>
      <c r="G19" s="1963"/>
      <c r="H19" s="1943"/>
      <c r="I19" s="30"/>
      <c r="J19" s="99"/>
      <c r="K19" s="40"/>
      <c r="L19" s="38"/>
      <c r="M19" s="112" t="s">
        <v>315</v>
      </c>
      <c r="P19" s="27"/>
      <c r="Q19" s="27"/>
      <c r="R19" s="27"/>
      <c r="S19" s="31"/>
      <c r="T19" s="2017" t="s">
        <v>2067</v>
      </c>
      <c r="U19" s="1942"/>
      <c r="V19" s="1942"/>
      <c r="W19" s="1943"/>
      <c r="X19" s="2032" t="s">
        <v>2068</v>
      </c>
      <c r="Y19" s="2033"/>
      <c r="Z19" s="2030">
        <v>61615</v>
      </c>
      <c r="AA19" s="203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1" t="s">
        <v>2074</v>
      </c>
      <c r="B21" s="1942"/>
      <c r="C21" s="1942"/>
      <c r="D21" s="1942"/>
      <c r="E21" s="1942"/>
      <c r="F21" s="1942"/>
      <c r="G21" s="1942"/>
      <c r="H21" s="1943"/>
      <c r="I21" s="1997" t="s">
        <v>678</v>
      </c>
      <c r="J21" s="1992"/>
      <c r="K21" s="1992"/>
      <c r="L21" s="1992"/>
      <c r="M21" s="1992"/>
      <c r="N21" s="1992"/>
      <c r="O21" s="1992"/>
      <c r="P21" s="1992"/>
      <c r="Q21" s="1992"/>
      <c r="R21" s="1992"/>
      <c r="S21" s="1998"/>
      <c r="T21" s="2041" t="s">
        <v>2080</v>
      </c>
      <c r="U21" s="2042"/>
      <c r="V21" s="2042"/>
      <c r="W21" s="2042"/>
      <c r="X21" s="2047" t="s">
        <v>2069</v>
      </c>
      <c r="Y21" s="2048"/>
      <c r="Z21" s="2048"/>
      <c r="AA21" s="2049"/>
    </row>
    <row r="22" spans="1:27" ht="13.5" customHeight="1" x14ac:dyDescent="0.2">
      <c r="A22" s="87" t="s">
        <v>531</v>
      </c>
      <c r="B22" s="59"/>
      <c r="C22" s="59"/>
      <c r="D22" s="59"/>
      <c r="E22" s="59"/>
      <c r="F22" s="59"/>
      <c r="G22" s="59"/>
      <c r="H22" s="60"/>
      <c r="I22" s="1999" t="s">
        <v>1429</v>
      </c>
      <c r="J22" s="2000"/>
      <c r="K22" s="2000"/>
      <c r="L22" s="2000"/>
      <c r="M22" s="2000"/>
      <c r="N22" s="2000"/>
      <c r="O22" s="2000"/>
      <c r="P22" s="2000"/>
      <c r="Q22" s="2000"/>
      <c r="R22" s="2000"/>
      <c r="S22" s="2001"/>
      <c r="T22" s="85" t="s">
        <v>1516</v>
      </c>
      <c r="U22" s="51"/>
      <c r="V22" s="72"/>
      <c r="W22" s="51"/>
      <c r="X22" s="160" t="s">
        <v>1318</v>
      </c>
      <c r="Z22" s="45"/>
      <c r="AA22" s="46"/>
    </row>
    <row r="23" spans="1:27" ht="13.5" customHeight="1" x14ac:dyDescent="0.2">
      <c r="A23" s="1994" t="s">
        <v>2075</v>
      </c>
      <c r="B23" s="1995"/>
      <c r="C23" s="1995"/>
      <c r="D23" s="1995"/>
      <c r="E23" s="1995"/>
      <c r="F23" s="1995"/>
      <c r="G23" s="1995"/>
      <c r="H23" s="1996"/>
      <c r="T23" s="1977" t="s">
        <v>2070</v>
      </c>
      <c r="U23" s="2040"/>
      <c r="V23" s="2040"/>
      <c r="W23" s="2040"/>
      <c r="X23" s="2044">
        <v>44530</v>
      </c>
      <c r="Y23" s="2045"/>
      <c r="Z23" s="2045"/>
      <c r="AA23" s="2046"/>
    </row>
    <row r="24" spans="1:27" ht="14.1" customHeight="1" x14ac:dyDescent="0.2">
      <c r="A24" s="88" t="s">
        <v>677</v>
      </c>
      <c r="B24" s="49"/>
      <c r="C24" s="49"/>
      <c r="D24" s="49"/>
      <c r="E24" s="49"/>
      <c r="F24" s="49"/>
      <c r="G24" s="49"/>
      <c r="H24" s="61"/>
      <c r="J24" s="1964">
        <f>IF(B5="x",IF(AUDITCHECK!D29="AFR form Incomplete.","",IF(AUDITCHECK!D29="Deficit reduction plan is required.","School District must complete a deficit reduction plan in the 2019-2020 Budget",)),"")</f>
        <v>0</v>
      </c>
      <c r="K24" s="1964"/>
      <c r="L24" s="1964"/>
      <c r="M24" s="1964"/>
      <c r="N24" s="1964"/>
      <c r="O24" s="1964"/>
      <c r="P24" s="1964"/>
      <c r="Q24" s="1964"/>
      <c r="R24" s="1964"/>
      <c r="S24" s="1965"/>
      <c r="T24" s="105" t="s">
        <v>531</v>
      </c>
      <c r="U24" s="106"/>
      <c r="V24" s="106"/>
      <c r="W24" s="106"/>
      <c r="X24" s="107"/>
      <c r="Y24" s="107"/>
      <c r="Z24" s="107"/>
      <c r="AA24" s="108"/>
    </row>
    <row r="25" spans="1:27" ht="14.1" customHeight="1" x14ac:dyDescent="0.2">
      <c r="A25" s="1941">
        <v>62311</v>
      </c>
      <c r="B25" s="1942"/>
      <c r="C25" s="1942"/>
      <c r="D25" s="1942"/>
      <c r="E25" s="1942"/>
      <c r="F25" s="1942"/>
      <c r="G25" s="1942"/>
      <c r="H25" s="1943"/>
      <c r="I25" s="113"/>
      <c r="J25" s="1966"/>
      <c r="K25" s="1966"/>
      <c r="L25" s="1966"/>
      <c r="M25" s="1966"/>
      <c r="N25" s="1966"/>
      <c r="O25" s="1966"/>
      <c r="P25" s="1966"/>
      <c r="Q25" s="1966"/>
      <c r="R25" s="1966"/>
      <c r="S25" s="1967"/>
      <c r="T25" s="2037" t="s">
        <v>2071</v>
      </c>
      <c r="U25" s="2038"/>
      <c r="V25" s="2038"/>
      <c r="W25" s="2038"/>
      <c r="X25" s="2038"/>
      <c r="Y25" s="2038"/>
      <c r="Z25" s="2038"/>
      <c r="AA25" s="20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2" t="s">
        <v>1511</v>
      </c>
      <c r="J27" s="1953"/>
      <c r="K27" s="1953"/>
      <c r="L27" s="1953"/>
      <c r="M27" s="1953"/>
      <c r="N27" s="1953"/>
      <c r="O27" s="1953"/>
      <c r="P27" s="1953"/>
      <c r="Q27" s="1953"/>
      <c r="R27" s="1953"/>
      <c r="S27" s="195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2063</v>
      </c>
      <c r="M29" s="40" t="s">
        <v>99</v>
      </c>
      <c r="N29" s="32" t="s">
        <v>1523</v>
      </c>
      <c r="O29" s="32"/>
      <c r="P29" s="32"/>
      <c r="Q29" s="32"/>
      <c r="R29" s="32"/>
      <c r="S29" s="123"/>
      <c r="T29" s="6"/>
      <c r="U29" s="6"/>
      <c r="V29" s="6"/>
      <c r="W29" s="6"/>
      <c r="X29" s="6"/>
      <c r="Y29" s="6"/>
      <c r="Z29" s="6"/>
      <c r="AA29" s="132"/>
    </row>
    <row r="30" spans="1:27" ht="13.5" customHeight="1" x14ac:dyDescent="0.2">
      <c r="A30" s="153"/>
      <c r="B30" s="136" t="s">
        <v>2063</v>
      </c>
      <c r="C30" s="124" t="s">
        <v>1164</v>
      </c>
      <c r="D30" s="28"/>
      <c r="E30" s="28"/>
      <c r="F30" s="140"/>
      <c r="G30" s="114"/>
      <c r="H30" s="114"/>
      <c r="I30" s="54"/>
      <c r="J30" s="102"/>
      <c r="K30" s="28" t="s">
        <v>576</v>
      </c>
      <c r="L30" s="148" t="s">
        <v>2063</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2063</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2063</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3"/>
      <c r="Q35" s="1942"/>
      <c r="R35" s="194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7" t="s">
        <v>2076</v>
      </c>
      <c r="B38" s="1978"/>
      <c r="C38" s="1978"/>
      <c r="D38" s="1978"/>
      <c r="E38" s="1978"/>
      <c r="F38" s="1942"/>
      <c r="G38" s="1942"/>
      <c r="H38" s="1943"/>
      <c r="I38" s="1970"/>
      <c r="J38" s="1971"/>
      <c r="K38" s="1971"/>
      <c r="L38" s="1971"/>
      <c r="M38" s="1971"/>
      <c r="N38" s="1971"/>
      <c r="O38" s="1971"/>
      <c r="P38" s="1972"/>
      <c r="Q38" s="1972"/>
      <c r="R38" s="1972"/>
      <c r="S38" s="1973"/>
      <c r="T38" s="2027"/>
      <c r="U38" s="1971"/>
      <c r="V38" s="1971"/>
      <c r="W38" s="1971"/>
      <c r="X38" s="1972"/>
      <c r="Y38" s="1972"/>
      <c r="Z38" s="1972"/>
      <c r="AA38" s="1973"/>
    </row>
    <row r="39" spans="1:27" ht="12" customHeight="1" x14ac:dyDescent="0.2">
      <c r="A39" s="1947" t="s">
        <v>531</v>
      </c>
      <c r="B39" s="1948"/>
      <c r="C39" s="72"/>
      <c r="D39" s="69"/>
      <c r="E39" s="69"/>
      <c r="F39" s="79"/>
      <c r="G39" s="69"/>
      <c r="H39" s="56"/>
      <c r="I39" s="1947" t="s">
        <v>531</v>
      </c>
      <c r="J39" s="1948"/>
      <c r="K39" s="1948"/>
      <c r="L39" s="1948"/>
      <c r="M39" s="1948"/>
      <c r="N39" s="67"/>
      <c r="O39" s="72"/>
      <c r="P39" s="72"/>
      <c r="Q39" s="78"/>
      <c r="R39" s="72"/>
      <c r="S39" s="56"/>
      <c r="T39" s="72" t="s">
        <v>531</v>
      </c>
      <c r="U39" s="51"/>
      <c r="V39" s="72"/>
      <c r="W39" s="50"/>
      <c r="X39" s="78"/>
      <c r="Y39" s="45"/>
      <c r="Z39" s="45"/>
      <c r="AA39" s="46"/>
    </row>
    <row r="40" spans="1:27" ht="13.5" customHeight="1" x14ac:dyDescent="0.2">
      <c r="A40" s="1955" t="s">
        <v>2075</v>
      </c>
      <c r="B40" s="1956"/>
      <c r="C40" s="1957"/>
      <c r="D40" s="1957"/>
      <c r="E40" s="1957"/>
      <c r="F40" s="1958"/>
      <c r="G40" s="1958"/>
      <c r="H40" s="1959"/>
      <c r="I40" s="1980"/>
      <c r="J40" s="1981"/>
      <c r="K40" s="1981"/>
      <c r="L40" s="1981"/>
      <c r="M40" s="1981"/>
      <c r="N40" s="1981"/>
      <c r="O40" s="1981"/>
      <c r="P40" s="1981"/>
      <c r="Q40" s="1981"/>
      <c r="R40" s="1981"/>
      <c r="S40" s="1982"/>
      <c r="T40" s="1980"/>
      <c r="U40" s="2043"/>
      <c r="V40" s="1981"/>
      <c r="W40" s="1981"/>
      <c r="X40" s="1981"/>
      <c r="Y40" s="1981"/>
      <c r="Z40" s="1981"/>
      <c r="AA40" s="198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9" t="s">
        <v>2077</v>
      </c>
      <c r="B42" s="1961"/>
      <c r="C42" s="1962"/>
      <c r="D42" s="1960" t="s">
        <v>2078</v>
      </c>
      <c r="E42" s="1961"/>
      <c r="F42" s="1961"/>
      <c r="G42" s="1961"/>
      <c r="H42" s="1962"/>
      <c r="I42" s="1944"/>
      <c r="J42" s="1945"/>
      <c r="K42" s="1945"/>
      <c r="L42" s="1945"/>
      <c r="M42" s="1945"/>
      <c r="N42" s="1945"/>
      <c r="O42" s="1946"/>
      <c r="P42" s="1979"/>
      <c r="Q42" s="1945"/>
      <c r="R42" s="1945"/>
      <c r="S42" s="1946"/>
      <c r="T42" s="1944"/>
      <c r="U42" s="1945"/>
      <c r="V42" s="1945"/>
      <c r="W42" s="1946"/>
      <c r="X42" s="1979"/>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4"/>
      <c r="B44" s="1975"/>
      <c r="C44" s="1975"/>
      <c r="D44" s="1975"/>
      <c r="E44" s="1975"/>
      <c r="F44" s="1975"/>
      <c r="G44" s="1975"/>
      <c r="H44" s="1976"/>
      <c r="I44" s="1949"/>
      <c r="J44" s="1950"/>
      <c r="K44" s="1950"/>
      <c r="L44" s="1950"/>
      <c r="M44" s="1950"/>
      <c r="N44" s="1950"/>
      <c r="O44" s="1950"/>
      <c r="P44" s="1950"/>
      <c r="Q44" s="1950"/>
      <c r="R44" s="1950"/>
      <c r="S44" s="1951"/>
      <c r="T44" s="1949"/>
      <c r="U44" s="1968"/>
      <c r="V44" s="1968"/>
      <c r="W44" s="1968"/>
      <c r="X44" s="1968"/>
      <c r="Y44" s="1968"/>
      <c r="Z44" s="1950"/>
      <c r="AA44" s="195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4" sqref="E14"/>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1802</v>
      </c>
      <c r="B2" s="1528" t="s">
        <v>1950</v>
      </c>
      <c r="C2" s="714" t="s">
        <v>1951</v>
      </c>
      <c r="D2" s="714" t="s">
        <v>1952</v>
      </c>
      <c r="E2" s="714" t="s">
        <v>1953</v>
      </c>
      <c r="F2" s="714" t="s">
        <v>1954</v>
      </c>
    </row>
    <row r="3" spans="1:6" ht="12" customHeight="1" x14ac:dyDescent="0.2">
      <c r="A3" s="2184"/>
      <c r="B3" s="1525"/>
      <c r="C3" s="1526"/>
      <c r="D3" s="1527" t="s">
        <v>256</v>
      </c>
      <c r="E3" s="1526"/>
      <c r="F3" s="1527" t="s">
        <v>257</v>
      </c>
    </row>
    <row r="4" spans="1:6" ht="13.7" customHeight="1" x14ac:dyDescent="0.2">
      <c r="A4" s="715" t="s">
        <v>1155</v>
      </c>
      <c r="B4" s="1749">
        <f>'Revenues 9-14'!C5</f>
        <v>1518534</v>
      </c>
      <c r="C4" s="1524">
        <v>0</v>
      </c>
      <c r="D4" s="1752">
        <f>B4-C4</f>
        <v>1518534</v>
      </c>
      <c r="E4" s="1524">
        <v>1596036</v>
      </c>
      <c r="F4" s="1752">
        <f>E4-C4</f>
        <v>1596036</v>
      </c>
    </row>
    <row r="5" spans="1:6" ht="13.7" customHeight="1" x14ac:dyDescent="0.2">
      <c r="A5" s="715" t="s">
        <v>870</v>
      </c>
      <c r="B5" s="1750">
        <f>'Revenues 9-14'!D5</f>
        <v>330115</v>
      </c>
      <c r="C5" s="585">
        <v>0</v>
      </c>
      <c r="D5" s="1753">
        <f t="shared" ref="D5:D18" si="0">B5-C5</f>
        <v>330115</v>
      </c>
      <c r="E5" s="585">
        <v>346964</v>
      </c>
      <c r="F5" s="1753">
        <f>E5-C5</f>
        <v>346964</v>
      </c>
    </row>
    <row r="6" spans="1:6" ht="13.7" customHeight="1" x14ac:dyDescent="0.2">
      <c r="A6" s="715" t="s">
        <v>411</v>
      </c>
      <c r="B6" s="1750">
        <f>'Revenues 9-14'!E5</f>
        <v>0</v>
      </c>
      <c r="C6" s="585">
        <v>0</v>
      </c>
      <c r="D6" s="1753">
        <f t="shared" si="0"/>
        <v>0</v>
      </c>
      <c r="E6" s="585">
        <v>0</v>
      </c>
      <c r="F6" s="1753">
        <f t="shared" ref="F6:F18" si="1">E6-C6</f>
        <v>0</v>
      </c>
    </row>
    <row r="7" spans="1:6" ht="13.7" customHeight="1" x14ac:dyDescent="0.2">
      <c r="A7" s="715" t="s">
        <v>155</v>
      </c>
      <c r="B7" s="1750">
        <f>'Revenues 9-14'!F5</f>
        <v>132047</v>
      </c>
      <c r="C7" s="585">
        <v>0</v>
      </c>
      <c r="D7" s="1753">
        <f t="shared" si="0"/>
        <v>132047</v>
      </c>
      <c r="E7" s="585">
        <v>138786</v>
      </c>
      <c r="F7" s="1753">
        <f t="shared" si="1"/>
        <v>138786</v>
      </c>
    </row>
    <row r="8" spans="1:6" ht="13.7" customHeight="1" x14ac:dyDescent="0.2">
      <c r="A8" s="715" t="s">
        <v>1179</v>
      </c>
      <c r="B8" s="1750">
        <f>'Revenues 9-14'!G5</f>
        <v>84803</v>
      </c>
      <c r="C8" s="585">
        <v>0</v>
      </c>
      <c r="D8" s="1753">
        <f t="shared" si="0"/>
        <v>84803</v>
      </c>
      <c r="E8" s="585">
        <v>75000</v>
      </c>
      <c r="F8" s="1753">
        <f t="shared" si="1"/>
        <v>75000</v>
      </c>
    </row>
    <row r="9" spans="1:6" ht="13.7" customHeight="1" x14ac:dyDescent="0.2">
      <c r="A9" s="715" t="s">
        <v>408</v>
      </c>
      <c r="B9" s="1750">
        <f>'Revenues 9-14'!H5</f>
        <v>0</v>
      </c>
      <c r="C9" s="585">
        <v>0</v>
      </c>
      <c r="D9" s="1753">
        <f t="shared" si="0"/>
        <v>0</v>
      </c>
      <c r="E9" s="585">
        <v>0</v>
      </c>
      <c r="F9" s="1753">
        <f t="shared" si="1"/>
        <v>0</v>
      </c>
    </row>
    <row r="10" spans="1:6" ht="13.7" customHeight="1" x14ac:dyDescent="0.2">
      <c r="A10" s="715" t="s">
        <v>407</v>
      </c>
      <c r="B10" s="1750">
        <f>'Revenues 9-14'!I5</f>
        <v>33010</v>
      </c>
      <c r="C10" s="585">
        <v>0</v>
      </c>
      <c r="D10" s="1753">
        <f t="shared" si="0"/>
        <v>33010</v>
      </c>
      <c r="E10" s="585">
        <v>34696</v>
      </c>
      <c r="F10" s="1753">
        <f t="shared" si="1"/>
        <v>34696</v>
      </c>
    </row>
    <row r="11" spans="1:6" x14ac:dyDescent="0.2">
      <c r="A11" s="715" t="s">
        <v>409</v>
      </c>
      <c r="B11" s="1750">
        <f>'Revenues 9-14'!J5</f>
        <v>452263</v>
      </c>
      <c r="C11" s="585">
        <v>0</v>
      </c>
      <c r="D11" s="1753">
        <f t="shared" si="0"/>
        <v>452263</v>
      </c>
      <c r="E11" s="585">
        <v>400001</v>
      </c>
      <c r="F11" s="1753">
        <f t="shared" si="1"/>
        <v>400001</v>
      </c>
    </row>
    <row r="12" spans="1:6" ht="13.7" customHeight="1" x14ac:dyDescent="0.2">
      <c r="A12" s="715" t="s">
        <v>157</v>
      </c>
      <c r="B12" s="1750">
        <f>'Revenues 9-14'!K5</f>
        <v>33010</v>
      </c>
      <c r="C12" s="585">
        <v>0</v>
      </c>
      <c r="D12" s="1753">
        <f t="shared" si="0"/>
        <v>33010</v>
      </c>
      <c r="E12" s="585">
        <v>34696</v>
      </c>
      <c r="F12" s="1753">
        <f t="shared" si="1"/>
        <v>34696</v>
      </c>
    </row>
    <row r="13" spans="1:6" ht="13.7" customHeight="1" x14ac:dyDescent="0.2">
      <c r="A13" s="715" t="s">
        <v>936</v>
      </c>
      <c r="B13" s="1750">
        <f>SUM('Revenues 9-14'!C6:D6)</f>
        <v>33011</v>
      </c>
      <c r="C13" s="585">
        <v>0</v>
      </c>
      <c r="D13" s="1753">
        <f t="shared" si="0"/>
        <v>33011</v>
      </c>
      <c r="E13" s="585">
        <v>34697</v>
      </c>
      <c r="F13" s="1753">
        <f t="shared" si="1"/>
        <v>34697</v>
      </c>
    </row>
    <row r="14" spans="1:6" ht="13.7" customHeight="1" x14ac:dyDescent="0.2">
      <c r="A14" s="715" t="s">
        <v>410</v>
      </c>
      <c r="B14" s="1750">
        <f>SUM('Revenues 9-14'!C7:D7,'Revenues 9-14'!F7:H7)</f>
        <v>26410</v>
      </c>
      <c r="C14" s="585">
        <v>0</v>
      </c>
      <c r="D14" s="1753">
        <f t="shared" si="0"/>
        <v>26410</v>
      </c>
      <c r="E14" s="585">
        <v>27757</v>
      </c>
      <c r="F14" s="1753">
        <f t="shared" si="1"/>
        <v>27757</v>
      </c>
    </row>
    <row r="15" spans="1:6" ht="13.7" customHeight="1" x14ac:dyDescent="0.2">
      <c r="A15" s="715" t="s">
        <v>1158</v>
      </c>
      <c r="B15" s="1750">
        <f>SUM('Revenues 9-14'!D9:E9,'Revenues 9-14'!H9)</f>
        <v>0</v>
      </c>
      <c r="C15" s="585">
        <v>0</v>
      </c>
      <c r="D15" s="1753">
        <f t="shared" si="0"/>
        <v>0</v>
      </c>
      <c r="E15" s="585">
        <v>0</v>
      </c>
      <c r="F15" s="1753">
        <f t="shared" si="1"/>
        <v>0</v>
      </c>
    </row>
    <row r="16" spans="1:6" ht="13.7" customHeight="1" x14ac:dyDescent="0.2">
      <c r="A16" s="715" t="s">
        <v>1159</v>
      </c>
      <c r="B16" s="1750">
        <f>'Revenues 9-14'!G8</f>
        <v>84803</v>
      </c>
      <c r="C16" s="585">
        <v>0</v>
      </c>
      <c r="D16" s="1753">
        <f t="shared" si="0"/>
        <v>84803</v>
      </c>
      <c r="E16" s="585">
        <v>75000</v>
      </c>
      <c r="F16" s="1753">
        <f t="shared" si="1"/>
        <v>75000</v>
      </c>
    </row>
    <row r="17" spans="1:6" ht="13.7" customHeight="1" x14ac:dyDescent="0.2">
      <c r="A17" s="715" t="s">
        <v>1160</v>
      </c>
      <c r="B17" s="1750">
        <f>'Revenues 9-14'!C10</f>
        <v>0</v>
      </c>
      <c r="C17" s="585">
        <v>0</v>
      </c>
      <c r="D17" s="1753">
        <f t="shared" si="0"/>
        <v>0</v>
      </c>
      <c r="E17" s="585">
        <v>0</v>
      </c>
      <c r="F17" s="1753">
        <f t="shared" si="1"/>
        <v>0</v>
      </c>
    </row>
    <row r="18" spans="1:6" ht="13.7" customHeight="1" x14ac:dyDescent="0.2">
      <c r="A18" s="715" t="s">
        <v>762</v>
      </c>
      <c r="B18" s="1750">
        <f>SUM('Revenues 9-14'!C11:K11)</f>
        <v>0</v>
      </c>
      <c r="C18" s="585">
        <v>0</v>
      </c>
      <c r="D18" s="1753">
        <f t="shared" si="0"/>
        <v>0</v>
      </c>
      <c r="E18" s="585">
        <v>0</v>
      </c>
      <c r="F18" s="1753">
        <f t="shared" si="1"/>
        <v>0</v>
      </c>
    </row>
    <row r="19" spans="1:6" ht="13.7" customHeight="1" thickBot="1" x14ac:dyDescent="0.25">
      <c r="A19" s="1754" t="s">
        <v>1161</v>
      </c>
      <c r="B19" s="1751">
        <f>SUM(B4:B18)</f>
        <v>2728006</v>
      </c>
      <c r="C19" s="1751">
        <f>SUM(C4:C18)</f>
        <v>0</v>
      </c>
      <c r="D19" s="1751">
        <f>SUM(D4:D18)</f>
        <v>2728006</v>
      </c>
      <c r="E19" s="1751">
        <f>SUM(E4:E18)</f>
        <v>2763633</v>
      </c>
      <c r="F19" s="1751">
        <f>SUM(F4:F18)</f>
        <v>2763633</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G2" sqref="G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629</v>
      </c>
      <c r="B1" s="2203"/>
      <c r="C1" s="721"/>
    </row>
    <row r="2" spans="1:7" ht="33.75" x14ac:dyDescent="0.2">
      <c r="A2" s="2210" t="s">
        <v>1802</v>
      </c>
      <c r="B2" s="2211"/>
      <c r="C2" s="1884" t="s">
        <v>1955</v>
      </c>
      <c r="D2" s="723" t="s">
        <v>1956</v>
      </c>
      <c r="E2" s="723" t="s">
        <v>1957</v>
      </c>
      <c r="F2" s="1884" t="s">
        <v>1958</v>
      </c>
    </row>
    <row r="3" spans="1:7" ht="15.75" customHeight="1" x14ac:dyDescent="0.2">
      <c r="A3" s="2212" t="s">
        <v>1114</v>
      </c>
      <c r="B3" s="2213"/>
      <c r="C3" s="2206"/>
      <c r="D3" s="2207"/>
      <c r="E3" s="2207"/>
      <c r="F3" s="2208"/>
    </row>
    <row r="4" spans="1:7" ht="12.75" customHeight="1" thickBot="1" x14ac:dyDescent="0.25">
      <c r="A4" s="2200" t="s">
        <v>630</v>
      </c>
      <c r="B4" s="2201"/>
      <c r="C4" s="581"/>
      <c r="D4" s="581"/>
      <c r="E4" s="581"/>
      <c r="F4" s="1755">
        <f>SUM(C4+D4)-E4</f>
        <v>0</v>
      </c>
    </row>
    <row r="5" spans="1:7" ht="15.75" customHeight="1" thickTop="1" x14ac:dyDescent="0.2">
      <c r="A5" s="2204" t="s">
        <v>1110</v>
      </c>
      <c r="B5" s="2199"/>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6" t="s">
        <v>631</v>
      </c>
      <c r="B15" s="2197"/>
      <c r="C15" s="1755">
        <f>SUM(C6:C14)</f>
        <v>0</v>
      </c>
      <c r="D15" s="1755">
        <f>SUM(D6:D14)</f>
        <v>0</v>
      </c>
      <c r="E15" s="1755">
        <f>SUM(E6:E14)</f>
        <v>0</v>
      </c>
      <c r="F15" s="1755">
        <f>SUM(F6:F14)</f>
        <v>0</v>
      </c>
      <c r="G15" s="552"/>
    </row>
    <row r="16" spans="1:7" s="202" customFormat="1" ht="15.75" customHeight="1" thickTop="1" x14ac:dyDescent="0.2">
      <c r="A16" s="2209" t="s">
        <v>1111</v>
      </c>
      <c r="B16" s="2199"/>
      <c r="C16" s="2193"/>
      <c r="D16" s="2194"/>
      <c r="E16" s="2194"/>
      <c r="F16" s="2195"/>
    </row>
    <row r="17" spans="1:11" ht="12.75" customHeight="1" thickBot="1" x14ac:dyDescent="0.25">
      <c r="A17" s="2191" t="s">
        <v>64</v>
      </c>
      <c r="B17" s="2192"/>
      <c r="C17" s="726"/>
      <c r="D17" s="585"/>
      <c r="E17" s="726"/>
      <c r="F17" s="1755">
        <f>SUM(C17+D17)-E17</f>
        <v>0</v>
      </c>
    </row>
    <row r="18" spans="1:11" ht="12.75" customHeight="1" thickTop="1" thickBot="1" x14ac:dyDescent="0.25">
      <c r="A18" s="2191" t="s">
        <v>6</v>
      </c>
      <c r="B18" s="2192"/>
      <c r="C18" s="726"/>
      <c r="D18" s="585"/>
      <c r="E18" s="726"/>
      <c r="F18" s="1755">
        <f>SUM(C18+D18)-E18</f>
        <v>0</v>
      </c>
    </row>
    <row r="19" spans="1:11" ht="12.75" customHeight="1" thickTop="1" thickBot="1" x14ac:dyDescent="0.25">
      <c r="A19" s="2191" t="s">
        <v>388</v>
      </c>
      <c r="B19" s="2192"/>
      <c r="C19" s="726"/>
      <c r="D19" s="585"/>
      <c r="E19" s="726"/>
      <c r="F19" s="1755">
        <f>SUM(C19+D19)-E19</f>
        <v>0</v>
      </c>
    </row>
    <row r="20" spans="1:11" ht="12.75" customHeight="1" thickTop="1" thickBot="1" x14ac:dyDescent="0.25">
      <c r="A20" s="2191" t="s">
        <v>448</v>
      </c>
      <c r="B20" s="2192"/>
      <c r="C20" s="726"/>
      <c r="D20" s="585"/>
      <c r="E20" s="726"/>
      <c r="F20" s="1755">
        <f>SUM(C20+D20)-E20</f>
        <v>0</v>
      </c>
    </row>
    <row r="21" spans="1:11" ht="14.25" thickTop="1" thickBot="1" x14ac:dyDescent="0.25">
      <c r="A21" s="2196" t="s">
        <v>632</v>
      </c>
      <c r="B21" s="2197"/>
      <c r="C21" s="1755">
        <f>SUM(C17:C20)</f>
        <v>0</v>
      </c>
      <c r="D21" s="1755">
        <f>SUM(D17:D20)</f>
        <v>0</v>
      </c>
      <c r="E21" s="1755">
        <f>SUM(E17:E20)</f>
        <v>0</v>
      </c>
      <c r="F21" s="1755">
        <f>SUM(F17:F20)</f>
        <v>0</v>
      </c>
      <c r="G21" s="552"/>
    </row>
    <row r="22" spans="1:11" ht="15.75" customHeight="1" thickTop="1" x14ac:dyDescent="0.2">
      <c r="A22" s="2198" t="s">
        <v>1112</v>
      </c>
      <c r="B22" s="2199"/>
      <c r="C22" s="2193"/>
      <c r="D22" s="2194"/>
      <c r="E22" s="2194"/>
      <c r="F22" s="2195"/>
    </row>
    <row r="23" spans="1:11" ht="13.5" thickBot="1" x14ac:dyDescent="0.25">
      <c r="A23" s="2200" t="s">
        <v>633</v>
      </c>
      <c r="B23" s="2201"/>
      <c r="C23" s="581"/>
      <c r="D23" s="581"/>
      <c r="E23" s="581"/>
      <c r="F23" s="1755">
        <f>SUM(C23+D23)-E23</f>
        <v>0</v>
      </c>
      <c r="G23" s="552"/>
    </row>
    <row r="24" spans="1:11" ht="15.75" customHeight="1" thickTop="1" x14ac:dyDescent="0.2">
      <c r="A24" s="2198" t="s">
        <v>1113</v>
      </c>
      <c r="B24" s="2199"/>
      <c r="C24" s="2193"/>
      <c r="D24" s="2194"/>
      <c r="E24" s="2194"/>
      <c r="F24" s="2195"/>
    </row>
    <row r="25" spans="1:11" ht="13.5" thickBot="1" x14ac:dyDescent="0.25">
      <c r="A25" s="2200" t="s">
        <v>634</v>
      </c>
      <c r="B25" s="2201"/>
      <c r="C25" s="581"/>
      <c r="D25" s="581"/>
      <c r="E25" s="581"/>
      <c r="F25" s="1755">
        <f>SUM(C25+D25)-E25</f>
        <v>0</v>
      </c>
      <c r="G25" s="552"/>
    </row>
    <row r="26" spans="1:11" ht="15.75" customHeight="1" thickTop="1" x14ac:dyDescent="0.2">
      <c r="A26" s="2204" t="s">
        <v>657</v>
      </c>
      <c r="B26" s="2199"/>
      <c r="C26" s="727"/>
      <c r="D26" s="727"/>
      <c r="E26" s="727"/>
      <c r="F26" s="728"/>
    </row>
    <row r="27" spans="1:11" ht="13.5" thickBot="1" x14ac:dyDescent="0.25">
      <c r="A27" s="2196" t="s">
        <v>1070</v>
      </c>
      <c r="B27" s="2197"/>
      <c r="C27" s="585"/>
      <c r="D27" s="585"/>
      <c r="E27" s="585"/>
      <c r="F27" s="1755">
        <f>SUM(C27+D27)-E27</f>
        <v>0</v>
      </c>
      <c r="G27" s="552"/>
    </row>
    <row r="28" spans="1:11" ht="7.5" customHeight="1" thickTop="1" x14ac:dyDescent="0.2">
      <c r="A28" s="593"/>
    </row>
    <row r="29" spans="1:11" ht="23.25" customHeight="1" x14ac:dyDescent="0.2">
      <c r="A29" s="2202" t="s">
        <v>582</v>
      </c>
      <c r="B29" s="2203"/>
      <c r="C29" s="729"/>
      <c r="D29" s="729"/>
      <c r="E29" s="729"/>
      <c r="F29" s="729"/>
      <c r="G29" s="729"/>
      <c r="H29" s="729"/>
      <c r="I29" s="729"/>
      <c r="J29" s="729"/>
    </row>
    <row r="30" spans="1:11" ht="33.75" x14ac:dyDescent="0.2">
      <c r="A30" s="1529" t="s">
        <v>1071</v>
      </c>
      <c r="B30" s="730" t="s">
        <v>1124</v>
      </c>
      <c r="C30" s="1885" t="s">
        <v>583</v>
      </c>
      <c r="D30" s="1885" t="s">
        <v>1673</v>
      </c>
      <c r="E30" s="1885" t="s">
        <v>1959</v>
      </c>
      <c r="F30" s="1885" t="s">
        <v>1960</v>
      </c>
      <c r="G30" s="1885" t="s">
        <v>1910</v>
      </c>
      <c r="H30" s="1885" t="s">
        <v>1961</v>
      </c>
      <c r="I30" s="1885" t="s">
        <v>1962</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5" t="s">
        <v>584</v>
      </c>
      <c r="C52" s="2186"/>
      <c r="D52" s="2186"/>
      <c r="E52" s="749" t="s">
        <v>845</v>
      </c>
      <c r="F52" s="2187"/>
      <c r="G52" s="2188"/>
      <c r="H52" s="736"/>
      <c r="I52" s="736"/>
      <c r="J52" s="746"/>
    </row>
    <row r="53" spans="1:11" ht="11.25" customHeight="1" x14ac:dyDescent="0.2">
      <c r="A53" s="750" t="s">
        <v>913</v>
      </c>
      <c r="B53" s="751" t="s">
        <v>951</v>
      </c>
      <c r="C53" s="746"/>
      <c r="D53" s="737"/>
      <c r="E53" s="749" t="s">
        <v>497</v>
      </c>
      <c r="F53" s="2189"/>
      <c r="G53" s="2190"/>
      <c r="H53" s="736"/>
      <c r="I53" s="736"/>
      <c r="J53" s="746"/>
    </row>
    <row r="54" spans="1:11" ht="11.25" customHeight="1" x14ac:dyDescent="0.2">
      <c r="A54" s="752" t="s">
        <v>914</v>
      </c>
      <c r="B54" s="747" t="s">
        <v>952</v>
      </c>
      <c r="C54" s="746"/>
      <c r="D54" s="737"/>
      <c r="E54" s="749" t="s">
        <v>498</v>
      </c>
      <c r="F54" s="2189"/>
      <c r="G54" s="219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E31" sqref="E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4" t="s">
        <v>856</v>
      </c>
      <c r="B1" s="2215"/>
      <c r="C1" s="2215"/>
      <c r="D1" s="2215"/>
      <c r="E1" s="2215"/>
      <c r="F1" s="2215"/>
      <c r="G1" s="2216"/>
      <c r="H1" s="1530"/>
      <c r="I1" s="760"/>
      <c r="J1" s="433"/>
    </row>
    <row r="2" spans="1:11" ht="26.25" x14ac:dyDescent="0.2">
      <c r="A2" s="2233" t="s">
        <v>1677</v>
      </c>
      <c r="B2" s="2234"/>
      <c r="C2" s="2234"/>
      <c r="D2" s="2234"/>
      <c r="E2" s="2235"/>
      <c r="F2" s="761" t="s">
        <v>904</v>
      </c>
      <c r="G2" s="762" t="s">
        <v>1674</v>
      </c>
      <c r="H2" s="762" t="s">
        <v>410</v>
      </c>
      <c r="I2" s="762" t="s">
        <v>1158</v>
      </c>
      <c r="J2" s="762" t="s">
        <v>1812</v>
      </c>
      <c r="K2" s="762" t="s">
        <v>138</v>
      </c>
    </row>
    <row r="3" spans="1:11" x14ac:dyDescent="0.2">
      <c r="A3" s="2236" t="s">
        <v>1963</v>
      </c>
      <c r="B3" s="2237"/>
      <c r="C3" s="2237"/>
      <c r="D3" s="2237"/>
      <c r="E3" s="2238"/>
      <c r="F3" s="763"/>
      <c r="G3" s="764"/>
      <c r="H3" s="764">
        <v>0</v>
      </c>
      <c r="I3" s="764"/>
      <c r="J3" s="765">
        <v>42762</v>
      </c>
      <c r="K3" s="765">
        <v>0</v>
      </c>
    </row>
    <row r="4" spans="1:11" x14ac:dyDescent="0.2">
      <c r="A4" s="2239" t="s">
        <v>369</v>
      </c>
      <c r="B4" s="2240"/>
      <c r="C4" s="2240"/>
      <c r="D4" s="2240"/>
      <c r="E4" s="2186"/>
      <c r="F4" s="766"/>
      <c r="G4" s="767"/>
      <c r="H4" s="768"/>
      <c r="I4" s="767"/>
      <c r="J4" s="769"/>
      <c r="K4" s="769"/>
    </row>
    <row r="5" spans="1:11" x14ac:dyDescent="0.2">
      <c r="A5" s="2217" t="s">
        <v>1069</v>
      </c>
      <c r="B5" s="2218"/>
      <c r="C5" s="2218"/>
      <c r="D5" s="2218"/>
      <c r="E5" s="2219"/>
      <c r="F5" s="770" t="s">
        <v>848</v>
      </c>
      <c r="G5" s="771"/>
      <c r="H5" s="764">
        <v>26410</v>
      </c>
      <c r="I5" s="772"/>
      <c r="J5" s="773"/>
      <c r="K5" s="773"/>
    </row>
    <row r="6" spans="1:11" x14ac:dyDescent="0.2">
      <c r="A6" s="774" t="s">
        <v>720</v>
      </c>
      <c r="B6" s="775"/>
      <c r="C6" s="775"/>
      <c r="D6" s="775"/>
      <c r="E6" s="776"/>
      <c r="F6" s="777" t="s">
        <v>849</v>
      </c>
      <c r="G6" s="764"/>
      <c r="H6" s="764">
        <v>5</v>
      </c>
      <c r="I6" s="764"/>
      <c r="J6" s="765"/>
      <c r="K6" s="765"/>
    </row>
    <row r="7" spans="1:11" x14ac:dyDescent="0.2">
      <c r="A7" s="778" t="s">
        <v>246</v>
      </c>
      <c r="B7" s="779"/>
      <c r="C7" s="779"/>
      <c r="D7" s="779"/>
      <c r="E7" s="780"/>
      <c r="F7" s="770" t="s">
        <v>850</v>
      </c>
      <c r="G7" s="767"/>
      <c r="H7" s="767"/>
      <c r="I7" s="767"/>
      <c r="J7" s="781"/>
      <c r="K7" s="765">
        <v>1025</v>
      </c>
    </row>
    <row r="8" spans="1:11" x14ac:dyDescent="0.2">
      <c r="A8" s="778" t="s">
        <v>345</v>
      </c>
      <c r="B8" s="779"/>
      <c r="C8" s="779"/>
      <c r="D8" s="779"/>
      <c r="E8" s="780"/>
      <c r="F8" s="770" t="s">
        <v>851</v>
      </c>
      <c r="G8" s="782"/>
      <c r="H8" s="782"/>
      <c r="I8" s="782"/>
      <c r="J8" s="765">
        <v>19086</v>
      </c>
      <c r="K8" s="769"/>
    </row>
    <row r="9" spans="1:11" x14ac:dyDescent="0.2">
      <c r="A9" s="778" t="s">
        <v>138</v>
      </c>
      <c r="B9" s="779"/>
      <c r="C9" s="779"/>
      <c r="D9" s="779"/>
      <c r="E9" s="780"/>
      <c r="F9" s="777" t="s">
        <v>853</v>
      </c>
      <c r="G9" s="782"/>
      <c r="H9" s="771"/>
      <c r="I9" s="771"/>
      <c r="J9" s="781"/>
      <c r="K9" s="765">
        <v>7838</v>
      </c>
    </row>
    <row r="10" spans="1:11" x14ac:dyDescent="0.2">
      <c r="A10" s="2217" t="s">
        <v>1813</v>
      </c>
      <c r="B10" s="2218"/>
      <c r="C10" s="2218"/>
      <c r="D10" s="2218"/>
      <c r="E10" s="2220"/>
      <c r="F10" s="783" t="s">
        <v>862</v>
      </c>
      <c r="G10" s="782"/>
      <c r="H10" s="784"/>
      <c r="I10" s="764"/>
      <c r="J10" s="765"/>
      <c r="K10" s="765"/>
    </row>
    <row r="11" spans="1:11" x14ac:dyDescent="0.2">
      <c r="A11" s="2217" t="s">
        <v>160</v>
      </c>
      <c r="B11" s="2218"/>
      <c r="C11" s="2218"/>
      <c r="D11" s="2218"/>
      <c r="E11" s="2219"/>
      <c r="F11" s="770" t="s">
        <v>852</v>
      </c>
      <c r="G11" s="771"/>
      <c r="H11" s="764"/>
      <c r="I11" s="764"/>
      <c r="J11" s="765"/>
      <c r="K11" s="773"/>
    </row>
    <row r="12" spans="1:11" ht="13.5" thickBot="1" x14ac:dyDescent="0.25">
      <c r="A12" s="2244" t="s">
        <v>905</v>
      </c>
      <c r="B12" s="2245"/>
      <c r="C12" s="2245"/>
      <c r="D12" s="2245"/>
      <c r="E12" s="2246"/>
      <c r="F12" s="1757"/>
      <c r="G12" s="1758">
        <f>SUM(G5:G11)</f>
        <v>0</v>
      </c>
      <c r="H12" s="1758">
        <f>SUM(H5:H11)</f>
        <v>26415</v>
      </c>
      <c r="I12" s="1758">
        <f>SUM(I5:I11)</f>
        <v>0</v>
      </c>
      <c r="J12" s="1758">
        <f>SUM(J5:J11)</f>
        <v>19086</v>
      </c>
      <c r="K12" s="1758">
        <f>SUM(K5:K11)</f>
        <v>8863</v>
      </c>
    </row>
    <row r="13" spans="1:11" ht="13.5" thickTop="1" x14ac:dyDescent="0.2">
      <c r="A13" s="2241" t="s">
        <v>370</v>
      </c>
      <c r="B13" s="2242"/>
      <c r="C13" s="2242"/>
      <c r="D13" s="2242"/>
      <c r="E13" s="2243"/>
      <c r="F13" s="785"/>
      <c r="G13" s="786"/>
      <c r="H13" s="787"/>
      <c r="I13" s="788"/>
      <c r="J13" s="788"/>
      <c r="K13" s="788"/>
    </row>
    <row r="14" spans="1:11" x14ac:dyDescent="0.2">
      <c r="A14" s="2224" t="s">
        <v>456</v>
      </c>
      <c r="B14" s="2224"/>
      <c r="C14" s="2224"/>
      <c r="D14" s="2224"/>
      <c r="E14" s="2225"/>
      <c r="F14" s="789" t="s">
        <v>854</v>
      </c>
      <c r="G14" s="782"/>
      <c r="H14" s="764">
        <v>26415</v>
      </c>
      <c r="I14" s="771"/>
      <c r="J14" s="773"/>
      <c r="K14" s="765">
        <v>8863</v>
      </c>
    </row>
    <row r="15" spans="1:11" x14ac:dyDescent="0.2">
      <c r="A15" s="2218" t="s">
        <v>4</v>
      </c>
      <c r="B15" s="2218"/>
      <c r="C15" s="2218"/>
      <c r="D15" s="2218"/>
      <c r="E15" s="2219"/>
      <c r="F15" s="789" t="s">
        <v>855</v>
      </c>
      <c r="G15" s="771"/>
      <c r="H15" s="764"/>
      <c r="I15" s="764"/>
      <c r="J15" s="765"/>
      <c r="K15" s="765"/>
    </row>
    <row r="16" spans="1:11" x14ac:dyDescent="0.2">
      <c r="A16" s="2218" t="s">
        <v>298</v>
      </c>
      <c r="B16" s="2218"/>
      <c r="C16" s="2218"/>
      <c r="D16" s="2218"/>
      <c r="E16" s="2219"/>
      <c r="F16" s="789" t="s">
        <v>923</v>
      </c>
      <c r="G16" s="772"/>
      <c r="H16" s="767"/>
      <c r="I16" s="767"/>
      <c r="J16" s="769"/>
      <c r="K16" s="769"/>
    </row>
    <row r="17" spans="1:11" x14ac:dyDescent="0.2">
      <c r="A17" s="2249" t="s">
        <v>935</v>
      </c>
      <c r="B17" s="2249"/>
      <c r="C17" s="2249"/>
      <c r="D17" s="2249"/>
      <c r="E17" s="2250"/>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26" t="s">
        <v>1809</v>
      </c>
      <c r="B19" s="2226"/>
      <c r="C19" s="2226"/>
      <c r="D19" s="2226"/>
      <c r="E19" s="2227"/>
      <c r="F19" s="789" t="s">
        <v>933</v>
      </c>
      <c r="G19" s="782"/>
      <c r="H19" s="782"/>
      <c r="I19" s="782"/>
      <c r="J19" s="765"/>
      <c r="K19" s="795"/>
    </row>
    <row r="20" spans="1:11" x14ac:dyDescent="0.2">
      <c r="A20" s="2228" t="s">
        <v>1814</v>
      </c>
      <c r="B20" s="2229"/>
      <c r="C20" s="2229"/>
      <c r="D20" s="2229"/>
      <c r="E20" s="2230"/>
      <c r="F20" s="789" t="s">
        <v>934</v>
      </c>
      <c r="G20" s="782"/>
      <c r="H20" s="782"/>
      <c r="I20" s="782"/>
      <c r="J20" s="765"/>
      <c r="K20" s="795"/>
    </row>
    <row r="21" spans="1:11" ht="13.5" thickBot="1" x14ac:dyDescent="0.25">
      <c r="A21" s="2247" t="s">
        <v>638</v>
      </c>
      <c r="B21" s="2247"/>
      <c r="C21" s="2247"/>
      <c r="D21" s="2247"/>
      <c r="E21" s="2247"/>
      <c r="F21" s="1759"/>
      <c r="G21" s="792"/>
      <c r="H21" s="796"/>
      <c r="I21" s="796"/>
      <c r="J21" s="1760">
        <f>SUM(J18:J20)</f>
        <v>0</v>
      </c>
      <c r="K21" s="793"/>
    </row>
    <row r="22" spans="1:11" ht="13.5" thickTop="1" x14ac:dyDescent="0.2">
      <c r="A22" s="2218" t="s">
        <v>1815</v>
      </c>
      <c r="B22" s="2218"/>
      <c r="C22" s="2218"/>
      <c r="D22" s="2218"/>
      <c r="E22" s="2219"/>
      <c r="F22" s="789" t="s">
        <v>862</v>
      </c>
      <c r="G22" s="782"/>
      <c r="H22" s="764"/>
      <c r="I22" s="764"/>
      <c r="J22" s="797"/>
      <c r="K22" s="765"/>
    </row>
    <row r="23" spans="1:11" ht="13.5" thickBot="1" x14ac:dyDescent="0.25">
      <c r="A23" s="2248" t="s">
        <v>906</v>
      </c>
      <c r="B23" s="2247"/>
      <c r="C23" s="2247"/>
      <c r="D23" s="2247"/>
      <c r="E23" s="2247"/>
      <c r="F23" s="1761"/>
      <c r="G23" s="1758">
        <f>SUM(G14:G16,G21,G22)</f>
        <v>0</v>
      </c>
      <c r="H23" s="1758">
        <f>SUM(H14:H16,H21,H22)</f>
        <v>26415</v>
      </c>
      <c r="I23" s="1758">
        <f>SUM(I14:I16,I21,I22)</f>
        <v>0</v>
      </c>
      <c r="J23" s="1758">
        <f>SUM(J14:J16,J21,J22)</f>
        <v>0</v>
      </c>
      <c r="K23" s="1758">
        <f>SUM(K14:K16,K21,K22)</f>
        <v>8863</v>
      </c>
    </row>
    <row r="24" spans="1:11" ht="14.25" thickTop="1" thickBot="1" x14ac:dyDescent="0.25">
      <c r="A24" s="2248" t="s">
        <v>1964</v>
      </c>
      <c r="B24" s="2247"/>
      <c r="C24" s="2247"/>
      <c r="D24" s="2247"/>
      <c r="E24" s="2247"/>
      <c r="F24" s="1762"/>
      <c r="G24" s="1763">
        <f>SUM(G3,G12)-G23</f>
        <v>0</v>
      </c>
      <c r="H24" s="1763">
        <f>SUM(H3,H12)-H23</f>
        <v>0</v>
      </c>
      <c r="I24" s="1763">
        <f>SUM(I3,I12)-I23</f>
        <v>0</v>
      </c>
      <c r="J24" s="1763">
        <f>SUM(J3,J12)-J23</f>
        <v>61848</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61848</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2063</v>
      </c>
      <c r="E30" s="808" t="s">
        <v>768</v>
      </c>
      <c r="F30" s="202"/>
      <c r="G30" s="805"/>
    </row>
    <row r="31" spans="1:11" x14ac:dyDescent="0.2">
      <c r="A31" s="809"/>
      <c r="D31" s="237"/>
      <c r="E31" s="810" t="s">
        <v>769</v>
      </c>
      <c r="F31" s="811" t="s">
        <v>539</v>
      </c>
      <c r="G31" s="764"/>
      <c r="H31" s="2221"/>
      <c r="I31" s="2222"/>
      <c r="J31" s="2222"/>
      <c r="K31" s="2222"/>
    </row>
    <row r="32" spans="1:11" x14ac:dyDescent="0.2">
      <c r="A32" s="809"/>
      <c r="B32" s="237"/>
      <c r="C32" s="237"/>
      <c r="D32" s="237"/>
      <c r="E32" s="805"/>
      <c r="F32" s="811" t="s">
        <v>540</v>
      </c>
      <c r="G32" s="764"/>
      <c r="H32" s="2223"/>
      <c r="I32" s="2222"/>
      <c r="J32" s="2222"/>
      <c r="K32" s="2222"/>
    </row>
    <row r="33" spans="1:11" ht="1.5" customHeight="1" x14ac:dyDescent="0.2">
      <c r="A33" s="812" t="s">
        <v>1169</v>
      </c>
      <c r="B33" s="364"/>
      <c r="C33" s="364"/>
      <c r="D33" s="364"/>
      <c r="E33" s="364"/>
      <c r="F33" s="364"/>
      <c r="G33" s="813"/>
      <c r="H33" s="2223"/>
      <c r="I33" s="2222"/>
      <c r="J33" s="2222"/>
      <c r="K33" s="2222"/>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8" t="s">
        <v>541</v>
      </c>
      <c r="B41" s="2231"/>
      <c r="C41" s="2231"/>
      <c r="D41" s="2231"/>
      <c r="E41" s="2231"/>
      <c r="F41" s="223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1" sqref="I1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1908</v>
      </c>
      <c r="B1" s="2254"/>
      <c r="C1" s="2255"/>
      <c r="D1" s="826"/>
      <c r="E1" s="827"/>
      <c r="F1" s="827"/>
      <c r="G1" s="828"/>
      <c r="H1" s="829"/>
      <c r="I1" s="830"/>
      <c r="J1" s="2251"/>
      <c r="K1" s="2252"/>
      <c r="L1" s="2252"/>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21576</v>
      </c>
      <c r="D5" s="841"/>
      <c r="E5" s="841"/>
      <c r="F5" s="1760">
        <f>(C5+D5)-E5</f>
        <v>21576</v>
      </c>
      <c r="G5" s="837"/>
      <c r="H5" s="842"/>
      <c r="I5" s="842"/>
      <c r="J5" s="842"/>
      <c r="K5" s="793"/>
      <c r="L5" s="1769">
        <f>F5-K5</f>
        <v>21576</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2943396</v>
      </c>
      <c r="D8" s="844"/>
      <c r="E8" s="844">
        <v>807386</v>
      </c>
      <c r="F8" s="1760">
        <f>(C8+D8)-E8</f>
        <v>2136010</v>
      </c>
      <c r="G8" s="843">
        <v>50</v>
      </c>
      <c r="H8" s="765">
        <v>2721171</v>
      </c>
      <c r="I8" s="765">
        <v>6467</v>
      </c>
      <c r="J8" s="765">
        <v>807145</v>
      </c>
      <c r="K8" s="1769">
        <f>(H8+I8)-J8</f>
        <v>1920493</v>
      </c>
      <c r="L8" s="1769">
        <f>F8-K8</f>
        <v>215517</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267350</v>
      </c>
      <c r="D10" s="846">
        <v>350326</v>
      </c>
      <c r="E10" s="846">
        <v>33346</v>
      </c>
      <c r="F10" s="1764">
        <f>(C10+D10)-E10</f>
        <v>584330</v>
      </c>
      <c r="G10" s="843">
        <v>20</v>
      </c>
      <c r="H10" s="847">
        <v>100141</v>
      </c>
      <c r="I10" s="847">
        <v>20975</v>
      </c>
      <c r="J10" s="847">
        <v>33346</v>
      </c>
      <c r="K10" s="1769">
        <f>(H10+I10)-J10</f>
        <v>87770</v>
      </c>
      <c r="L10" s="1769">
        <f>F10-K10</f>
        <v>496560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145484</v>
      </c>
      <c r="D12" s="844">
        <v>38611</v>
      </c>
      <c r="E12" s="844">
        <v>6219</v>
      </c>
      <c r="F12" s="1760">
        <f>(C12+D12)-E12</f>
        <v>177876</v>
      </c>
      <c r="G12" s="843">
        <v>10</v>
      </c>
      <c r="H12" s="765">
        <v>105524</v>
      </c>
      <c r="I12" s="765">
        <v>11489</v>
      </c>
      <c r="J12" s="765">
        <v>6219</v>
      </c>
      <c r="K12" s="1769">
        <f>(H12+I12)-J12</f>
        <v>110794</v>
      </c>
      <c r="L12" s="1769">
        <f>F12-K12</f>
        <v>67082</v>
      </c>
    </row>
    <row r="13" spans="1:14" ht="14.25" thickTop="1" thickBot="1" x14ac:dyDescent="0.25">
      <c r="A13" s="848" t="s">
        <v>1122</v>
      </c>
      <c r="B13" s="840">
        <v>252</v>
      </c>
      <c r="C13" s="844">
        <v>697813</v>
      </c>
      <c r="D13" s="844"/>
      <c r="E13" s="844">
        <v>135003</v>
      </c>
      <c r="F13" s="1760">
        <f>(C13+D13)-E13</f>
        <v>562810</v>
      </c>
      <c r="G13" s="843">
        <v>5</v>
      </c>
      <c r="H13" s="765">
        <v>664356</v>
      </c>
      <c r="I13" s="765">
        <v>14871</v>
      </c>
      <c r="J13" s="765">
        <v>135003</v>
      </c>
      <c r="K13" s="1769">
        <f>(H13+I13)-J13</f>
        <v>544224</v>
      </c>
      <c r="L13" s="1769">
        <f>F13-K13</f>
        <v>18586</v>
      </c>
    </row>
    <row r="14" spans="1:14" ht="14.25" thickTop="1" thickBot="1" x14ac:dyDescent="0.25">
      <c r="A14" s="848" t="s">
        <v>1123</v>
      </c>
      <c r="B14" s="840">
        <v>253</v>
      </c>
      <c r="C14" s="765">
        <v>216525</v>
      </c>
      <c r="D14" s="765">
        <v>7722</v>
      </c>
      <c r="E14" s="765"/>
      <c r="F14" s="1760">
        <f>(C14+D14)-E14</f>
        <v>224247</v>
      </c>
      <c r="G14" s="843">
        <v>3</v>
      </c>
      <c r="H14" s="765">
        <v>185691</v>
      </c>
      <c r="I14" s="765">
        <v>18613</v>
      </c>
      <c r="J14" s="765"/>
      <c r="K14" s="1769">
        <f>(H14+I14)-J14</f>
        <v>204304</v>
      </c>
      <c r="L14" s="1769">
        <f>F14-K14</f>
        <v>19943</v>
      </c>
    </row>
    <row r="15" spans="1:14" ht="15" customHeight="1" thickTop="1" thickBot="1" x14ac:dyDescent="0.25">
      <c r="A15" s="1631" t="s">
        <v>528</v>
      </c>
      <c r="B15" s="1630">
        <v>260</v>
      </c>
      <c r="C15" s="844">
        <v>103445</v>
      </c>
      <c r="D15" s="844">
        <v>231863</v>
      </c>
      <c r="E15" s="844">
        <v>326763</v>
      </c>
      <c r="F15" s="1760">
        <f>(C15+D15)-E15</f>
        <v>8545</v>
      </c>
      <c r="G15" s="849" t="s">
        <v>862</v>
      </c>
      <c r="H15" s="781"/>
      <c r="I15" s="781"/>
      <c r="J15" s="781"/>
      <c r="K15" s="781"/>
      <c r="L15" s="1769">
        <f>F15-K15</f>
        <v>8545</v>
      </c>
    </row>
    <row r="16" spans="1:14" ht="15" customHeight="1" thickTop="1" thickBot="1" x14ac:dyDescent="0.25">
      <c r="A16" s="1765" t="s">
        <v>643</v>
      </c>
      <c r="B16" s="1766">
        <v>200</v>
      </c>
      <c r="C16" s="1760">
        <f>SUM(C3,C5:C6,C8:C10,C12:C15)</f>
        <v>4395589</v>
      </c>
      <c r="D16" s="1760">
        <f>SUM(D3,D5:D6,D8:D10,D12:D15)</f>
        <v>628522</v>
      </c>
      <c r="E16" s="1760">
        <f>SUM(E3,E5:E6,E8:E10,E12:E15)</f>
        <v>1308717</v>
      </c>
      <c r="F16" s="1760">
        <f>SUM(F3,F5:F6,F8:F10,F12:F15)</f>
        <v>3715394</v>
      </c>
      <c r="G16" s="843"/>
      <c r="H16" s="1760">
        <f>SUM(H3,H6,H8:H10,H12:H14,)</f>
        <v>3776883</v>
      </c>
      <c r="I16" s="1760">
        <f>SUM(I3,I6,I8:I10,I12:I14,)</f>
        <v>72415</v>
      </c>
      <c r="J16" s="1760">
        <f>SUM(J3,J6,J8:J10,J12:J14,)</f>
        <v>981713</v>
      </c>
      <c r="K16" s="1760">
        <f>(H16+I16)-J16</f>
        <v>2867585</v>
      </c>
      <c r="L16" s="1760">
        <f>F16-K16</f>
        <v>847809</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4637</v>
      </c>
      <c r="G17" s="837">
        <v>10</v>
      </c>
      <c r="H17" s="769"/>
      <c r="I17" s="1769">
        <f>F17/G17</f>
        <v>463.7</v>
      </c>
      <c r="J17" s="769"/>
      <c r="K17" s="795"/>
      <c r="L17" s="795"/>
    </row>
    <row r="18" spans="1:12" ht="14.25" thickTop="1" thickBot="1" x14ac:dyDescent="0.25">
      <c r="A18" s="1767" t="s">
        <v>685</v>
      </c>
      <c r="B18" s="1768"/>
      <c r="C18" s="771"/>
      <c r="D18" s="771"/>
      <c r="E18" s="771"/>
      <c r="F18" s="850"/>
      <c r="G18" s="851"/>
      <c r="H18" s="773"/>
      <c r="I18" s="1760">
        <f>SUM(I16,I17)</f>
        <v>72878.7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11" activePane="bottomLeft" state="frozen"/>
      <selection activeCell="A47" sqref="A47"/>
      <selection pane="bottomLeft" activeCell="F173" sqref="F17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1974</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4389242</v>
      </c>
      <c r="G8" s="865"/>
    </row>
    <row r="9" spans="1:7" x14ac:dyDescent="0.2">
      <c r="A9" s="869" t="s">
        <v>460</v>
      </c>
      <c r="B9" s="870" t="s">
        <v>1876</v>
      </c>
      <c r="C9" s="871"/>
      <c r="D9" s="869" t="s">
        <v>501</v>
      </c>
      <c r="E9" s="868"/>
      <c r="F9" s="1909">
        <f>'Expenditures 15-22'!K151</f>
        <v>360846</v>
      </c>
      <c r="G9" s="872"/>
    </row>
    <row r="10" spans="1:7" x14ac:dyDescent="0.2">
      <c r="A10" s="869" t="s">
        <v>499</v>
      </c>
      <c r="B10" s="870" t="s">
        <v>1877</v>
      </c>
      <c r="C10" s="871"/>
      <c r="D10" s="869" t="s">
        <v>501</v>
      </c>
      <c r="E10" s="868"/>
      <c r="F10" s="1909">
        <f>'Expenditures 15-22'!K174</f>
        <v>0</v>
      </c>
      <c r="G10" s="872"/>
    </row>
    <row r="11" spans="1:7" x14ac:dyDescent="0.2">
      <c r="A11" s="869" t="s">
        <v>461</v>
      </c>
      <c r="B11" s="870" t="s">
        <v>1878</v>
      </c>
      <c r="C11" s="871"/>
      <c r="D11" s="869" t="s">
        <v>501</v>
      </c>
      <c r="E11" s="868"/>
      <c r="F11" s="1909">
        <f>'Expenditures 15-22'!K210</f>
        <v>535405</v>
      </c>
      <c r="G11" s="872"/>
    </row>
    <row r="12" spans="1:7" x14ac:dyDescent="0.2">
      <c r="A12" s="869" t="s">
        <v>462</v>
      </c>
      <c r="B12" s="870" t="s">
        <v>1879</v>
      </c>
      <c r="C12" s="871"/>
      <c r="D12" s="869" t="s">
        <v>501</v>
      </c>
      <c r="E12" s="868"/>
      <c r="F12" s="1909">
        <f>'Expenditures 15-22'!K295</f>
        <v>213143</v>
      </c>
      <c r="G12" s="872"/>
    </row>
    <row r="13" spans="1:7" x14ac:dyDescent="0.2">
      <c r="A13" s="869" t="s">
        <v>106</v>
      </c>
      <c r="B13" s="870" t="s">
        <v>1880</v>
      </c>
      <c r="C13" s="871"/>
      <c r="D13" s="869" t="s">
        <v>501</v>
      </c>
      <c r="E13" s="868"/>
      <c r="F13" s="1909">
        <f>'Expenditures 15-22'!K342</f>
        <v>374660</v>
      </c>
      <c r="G13" s="873"/>
    </row>
    <row r="14" spans="1:7" ht="12" customHeight="1" thickBot="1" x14ac:dyDescent="0.25">
      <c r="A14" s="1770"/>
      <c r="B14" s="1771"/>
      <c r="C14" s="1772"/>
      <c r="D14" s="1773" t="s">
        <v>501</v>
      </c>
      <c r="E14" s="1774" t="s">
        <v>958</v>
      </c>
      <c r="F14" s="1775">
        <f>SUM(F8:F13)</f>
        <v>5873296</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13825</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4">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2001</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80106</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111</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1443</v>
      </c>
      <c r="G52" s="865"/>
    </row>
    <row r="53" spans="1:7" x14ac:dyDescent="0.2">
      <c r="A53" s="869" t="s">
        <v>459</v>
      </c>
      <c r="B53" s="869" t="s">
        <v>1475</v>
      </c>
      <c r="C53" s="889">
        <f>'Expenditures 15-22'!B102</f>
        <v>4000</v>
      </c>
      <c r="D53" s="888" t="str">
        <f>'Expenditures 15-22'!A102</f>
        <v>Total Payments to Other Govt Units</v>
      </c>
      <c r="E53" s="868"/>
      <c r="F53" s="1913">
        <f>'Expenditures 15-22'!K102</f>
        <v>358716</v>
      </c>
      <c r="G53" s="865"/>
    </row>
    <row r="54" spans="1:7" x14ac:dyDescent="0.2">
      <c r="A54" s="869" t="s">
        <v>459</v>
      </c>
      <c r="B54" s="869" t="s">
        <v>1476</v>
      </c>
      <c r="C54" s="889" t="s">
        <v>982</v>
      </c>
      <c r="D54" s="885" t="s">
        <v>1095</v>
      </c>
      <c r="E54" s="868"/>
      <c r="F54" s="1913">
        <f>'Expenditures 15-22'!G114</f>
        <v>25031</v>
      </c>
      <c r="G54" s="865"/>
    </row>
    <row r="55" spans="1:7" x14ac:dyDescent="0.2">
      <c r="A55" s="869" t="s">
        <v>459</v>
      </c>
      <c r="B55" s="869" t="s">
        <v>1477</v>
      </c>
      <c r="C55" s="889" t="s">
        <v>982</v>
      </c>
      <c r="D55" s="885" t="s">
        <v>291</v>
      </c>
      <c r="E55" s="868"/>
      <c r="F55" s="1913">
        <f>'Expenditures 15-22'!I114</f>
        <v>1918</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9412</v>
      </c>
      <c r="G58" s="865"/>
    </row>
    <row r="59" spans="1:7" x14ac:dyDescent="0.2">
      <c r="A59" s="893" t="s">
        <v>460</v>
      </c>
      <c r="B59" s="856" t="s">
        <v>1883</v>
      </c>
      <c r="C59" s="894" t="s">
        <v>982</v>
      </c>
      <c r="D59" s="856" t="s">
        <v>291</v>
      </c>
      <c r="F59" s="1916">
        <f>'Expenditures 15-22'!I151</f>
        <v>956</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1763</v>
      </c>
      <c r="G66" s="865"/>
    </row>
    <row r="67" spans="1:8" x14ac:dyDescent="0.2">
      <c r="A67" s="869" t="s">
        <v>462</v>
      </c>
      <c r="B67" s="869" t="s">
        <v>1891</v>
      </c>
      <c r="C67" s="886" t="str">
        <f>'Expenditures 15-22'!B216</f>
        <v>1125</v>
      </c>
      <c r="D67" s="892" t="str">
        <f>'Expenditures 15-22'!A216</f>
        <v>Pre-K Programs</v>
      </c>
      <c r="E67" s="868"/>
      <c r="F67" s="1913">
        <f>'Expenditures 15-22'!K216</f>
        <v>4969</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498250</v>
      </c>
      <c r="G76" s="865"/>
    </row>
    <row r="77" spans="1:8" s="893" customFormat="1" ht="12" customHeight="1" thickTop="1" thickBot="1" x14ac:dyDescent="0.25">
      <c r="A77" s="1779"/>
      <c r="B77" s="1776"/>
      <c r="C77" s="1772"/>
      <c r="D77" s="1777" t="s">
        <v>1899</v>
      </c>
      <c r="E77" s="1774"/>
      <c r="F77" s="1780">
        <f>(F14-F76)</f>
        <v>5375046</v>
      </c>
      <c r="G77" s="869"/>
    </row>
    <row r="78" spans="1:8" s="893" customFormat="1" ht="12" customHeight="1" thickTop="1" x14ac:dyDescent="0.2">
      <c r="A78" s="1781"/>
      <c r="B78" s="1776"/>
      <c r="C78" s="1772"/>
      <c r="D78" s="1777" t="s">
        <v>2061</v>
      </c>
      <c r="E78" s="1774"/>
      <c r="F78" s="898">
        <v>425.4</v>
      </c>
      <c r="G78" s="899"/>
      <c r="H78" s="869"/>
    </row>
    <row r="79" spans="1:8" s="893" customFormat="1" ht="12" customHeight="1" thickBot="1" x14ac:dyDescent="0.25">
      <c r="A79" s="1782"/>
      <c r="B79" s="1776"/>
      <c r="C79" s="1772"/>
      <c r="D79" s="1777" t="s">
        <v>1900</v>
      </c>
      <c r="E79" s="1774" t="s">
        <v>958</v>
      </c>
      <c r="F79" s="1783">
        <f>IF(F78&gt;0,F77/F78," Complete Line 78")</f>
        <v>12635.275035260931</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52912</v>
      </c>
      <c r="G94" s="912"/>
    </row>
    <row r="95" spans="1:7" x14ac:dyDescent="0.2">
      <c r="A95" s="908" t="s">
        <v>140</v>
      </c>
      <c r="B95" s="908" t="s">
        <v>175</v>
      </c>
      <c r="C95" s="910">
        <v>1700</v>
      </c>
      <c r="D95" s="918" t="str">
        <f>'Revenues 9-14'!A82</f>
        <v>Total District/School Activity Income</v>
      </c>
      <c r="E95" s="906"/>
      <c r="F95" s="1789">
        <f>SUM('Revenues 9-14'!C82,'Revenues 9-14'!D82)</f>
        <v>18781</v>
      </c>
      <c r="G95" s="912"/>
    </row>
    <row r="96" spans="1:7" x14ac:dyDescent="0.2">
      <c r="A96" s="908" t="s">
        <v>459</v>
      </c>
      <c r="B96" s="908" t="s">
        <v>176</v>
      </c>
      <c r="C96" s="910">
        <f>'Revenues 9-14'!B84</f>
        <v>1811</v>
      </c>
      <c r="D96" s="911" t="str">
        <f>'Revenues 9-14'!A84</f>
        <v>Rentals - Regular Textbooks</v>
      </c>
      <c r="E96" s="906"/>
      <c r="F96" s="1789">
        <f>'Revenues 9-14'!C84</f>
        <v>11555</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2002</v>
      </c>
      <c r="C105" s="913">
        <v>3100</v>
      </c>
      <c r="D105" s="919" t="str">
        <f>'Revenues 9-14'!A132</f>
        <v>Total Special Education</v>
      </c>
      <c r="E105" s="906"/>
      <c r="F105" s="1789">
        <f>SUM('Revenues 9-14'!C132:D132,'Revenues 9-14'!F132)</f>
        <v>42459</v>
      </c>
      <c r="G105" s="912"/>
    </row>
    <row r="106" spans="1:7" x14ac:dyDescent="0.2">
      <c r="A106" s="908" t="s">
        <v>673</v>
      </c>
      <c r="B106" s="908" t="s">
        <v>2003</v>
      </c>
      <c r="C106" s="920">
        <v>3200</v>
      </c>
      <c r="D106" s="911" t="str">
        <f>'Revenues 9-14'!A141</f>
        <v>Total Career and Technical Education</v>
      </c>
      <c r="E106" s="906"/>
      <c r="F106" s="1789">
        <f>SUM('Revenues 9-14'!C141,'Revenues 9-14'!D141,'Revenues 9-14'!G141)</f>
        <v>32390</v>
      </c>
      <c r="G106" s="912"/>
    </row>
    <row r="107" spans="1:7" x14ac:dyDescent="0.2">
      <c r="A107" s="921" t="s">
        <v>664</v>
      </c>
      <c r="B107" s="908" t="s">
        <v>2004</v>
      </c>
      <c r="C107" s="920">
        <v>3300</v>
      </c>
      <c r="D107" s="911" t="str">
        <f>'Revenues 9-14'!A145</f>
        <v>Total Bilingual Ed</v>
      </c>
      <c r="E107" s="906"/>
      <c r="F107" s="1789">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9">
        <f>'Revenues 9-14'!C146</f>
        <v>3131</v>
      </c>
      <c r="G108" s="912"/>
    </row>
    <row r="109" spans="1:7" x14ac:dyDescent="0.2">
      <c r="A109" s="908" t="s">
        <v>673</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7838</v>
      </c>
      <c r="G110" s="912"/>
    </row>
    <row r="111" spans="1:7" x14ac:dyDescent="0.2">
      <c r="A111" s="908" t="s">
        <v>668</v>
      </c>
      <c r="B111" s="908" t="s">
        <v>2008</v>
      </c>
      <c r="C111" s="922">
        <v>3500</v>
      </c>
      <c r="D111" s="911" t="str">
        <f>'Revenues 9-14'!A155</f>
        <v>Total Transportation</v>
      </c>
      <c r="E111" s="906"/>
      <c r="F111" s="1789">
        <f>SUM('Revenues 9-14'!C155,'Revenues 9-14'!D155,'Revenues 9-14'!F155,'Revenues 9-14'!G155)</f>
        <v>395946</v>
      </c>
      <c r="G111" s="912"/>
    </row>
    <row r="112" spans="1:7" x14ac:dyDescent="0.2">
      <c r="A112" s="908" t="s">
        <v>459</v>
      </c>
      <c r="B112" s="908" t="s">
        <v>2009</v>
      </c>
      <c r="C112" s="920">
        <f>'Revenues 9-14'!B156</f>
        <v>3610</v>
      </c>
      <c r="D112" s="911" t="str">
        <f>'Revenues 9-14'!A156</f>
        <v>Learning Improvement - Change Grants</v>
      </c>
      <c r="E112" s="906"/>
      <c r="F112" s="1789">
        <f>'Revenues 9-14'!C156</f>
        <v>0</v>
      </c>
      <c r="G112" s="912"/>
    </row>
    <row r="113" spans="1:7" x14ac:dyDescent="0.2">
      <c r="A113" s="908" t="s">
        <v>668</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7">
        <f>SUM('Revenues 9-14'!C163:G163)</f>
        <v>0</v>
      </c>
      <c r="G118" s="912"/>
    </row>
    <row r="119" spans="1:7" x14ac:dyDescent="0.2">
      <c r="A119" s="923" t="s">
        <v>504</v>
      </c>
      <c r="B119" s="923" t="s">
        <v>2016</v>
      </c>
      <c r="C119" s="924">
        <f>'Revenues 9-14'!B164</f>
        <v>3815</v>
      </c>
      <c r="D119" s="925" t="str">
        <f>'Revenues 9-14'!A164</f>
        <v>State Charter Schools</v>
      </c>
      <c r="E119" s="906"/>
      <c r="F119" s="1907">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9">
        <f>'Revenues 9-14'!D167</f>
        <v>0</v>
      </c>
      <c r="G120" s="930"/>
    </row>
    <row r="121" spans="1:7" x14ac:dyDescent="0.2">
      <c r="A121" s="927" t="s">
        <v>500</v>
      </c>
      <c r="B121" s="927" t="s">
        <v>2018</v>
      </c>
      <c r="C121" s="928">
        <f>'Revenues 9-14'!B168</f>
        <v>3999</v>
      </c>
      <c r="D121" s="929" t="s">
        <v>543</v>
      </c>
      <c r="E121" s="931"/>
      <c r="F121" s="1789">
        <f>SUM('Revenues 9-14'!C168:G168,'Revenues 9-14'!J168)</f>
        <v>29225</v>
      </c>
      <c r="G121" s="930"/>
    </row>
    <row r="122" spans="1:7" x14ac:dyDescent="0.2">
      <c r="A122" s="927" t="s">
        <v>459</v>
      </c>
      <c r="B122" s="927" t="s">
        <v>2019</v>
      </c>
      <c r="C122" s="932">
        <f>'Revenues 9-14'!B177</f>
        <v>4045</v>
      </c>
      <c r="D122" s="929" t="str">
        <f>'Revenues 9-14'!A177 &amp; " (Subtract)"</f>
        <v>Head Start (Subtract)</v>
      </c>
      <c r="E122" s="906"/>
      <c r="F122" s="1789">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2021</v>
      </c>
      <c r="C124" s="932">
        <v>4100</v>
      </c>
      <c r="D124" s="933" t="str">
        <f>'Revenues 9-14'!A188</f>
        <v>Total Title V</v>
      </c>
      <c r="E124" s="906"/>
      <c r="F124" s="1789">
        <f>SUM('Revenues 9-14'!C188,'Revenues 9-14'!D188,'Revenues 9-14'!F188,'Revenues 9-14'!G188)</f>
        <v>8697</v>
      </c>
      <c r="G124" s="930"/>
    </row>
    <row r="125" spans="1:7" x14ac:dyDescent="0.2">
      <c r="A125" s="927" t="s">
        <v>664</v>
      </c>
      <c r="B125" s="927" t="s">
        <v>2022</v>
      </c>
      <c r="C125" s="932">
        <v>4200</v>
      </c>
      <c r="D125" s="929" t="str">
        <f>'Revenues 9-14'!A198</f>
        <v>Total Food Service</v>
      </c>
      <c r="E125" s="906"/>
      <c r="F125" s="1789">
        <f>SUM('Revenues 9-14'!C198,'Revenues 9-14'!G198)</f>
        <v>166772</v>
      </c>
      <c r="G125" s="930"/>
    </row>
    <row r="126" spans="1:7" x14ac:dyDescent="0.2">
      <c r="A126" s="927" t="s">
        <v>668</v>
      </c>
      <c r="B126" s="927" t="s">
        <v>2023</v>
      </c>
      <c r="C126" s="932">
        <v>4300</v>
      </c>
      <c r="D126" s="933" t="str">
        <f>'Revenues 9-14'!A204</f>
        <v>Total Title I</v>
      </c>
      <c r="E126" s="906"/>
      <c r="F126" s="1789">
        <f>SUM('Revenues 9-14'!C204,'Revenues 9-14'!D204,'Revenues 9-14'!F204,'Revenues 9-14'!G204)</f>
        <v>262959</v>
      </c>
      <c r="G126" s="930"/>
    </row>
    <row r="127" spans="1:7" x14ac:dyDescent="0.2">
      <c r="A127" s="927" t="s">
        <v>668</v>
      </c>
      <c r="B127" s="927" t="s">
        <v>2024</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2025</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2026</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2028</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2043</v>
      </c>
      <c r="C157" s="940" t="s">
        <v>841</v>
      </c>
      <c r="D157" s="941" t="s">
        <v>777</v>
      </c>
      <c r="E157" s="942"/>
      <c r="F157" s="1789">
        <f>SUM(F133:F156)</f>
        <v>0</v>
      </c>
      <c r="G157" s="905"/>
    </row>
    <row r="158" spans="1:7" s="867" customFormat="1" x14ac:dyDescent="0.2">
      <c r="A158" s="938" t="s">
        <v>459</v>
      </c>
      <c r="B158" s="939" t="s">
        <v>2044</v>
      </c>
      <c r="C158" s="940" t="s">
        <v>1427</v>
      </c>
      <c r="D158" s="941" t="s">
        <v>1428</v>
      </c>
      <c r="E158" s="942"/>
      <c r="F158" s="1789">
        <f>SUM('Revenues 9-14'!C253)</f>
        <v>0</v>
      </c>
      <c r="G158" s="905"/>
    </row>
    <row r="159" spans="1:7" s="867" customFormat="1" x14ac:dyDescent="0.2">
      <c r="A159" s="938" t="s">
        <v>500</v>
      </c>
      <c r="B159" s="939" t="s">
        <v>2045</v>
      </c>
      <c r="C159" s="940" t="s">
        <v>1466</v>
      </c>
      <c r="D159" s="941" t="s">
        <v>1467</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9">
        <f>SUM('Revenues 9-14'!C263:D263,'Revenues 9-14'!F263:G263)</f>
        <v>12435</v>
      </c>
      <c r="G168" s="947">
        <v>6320</v>
      </c>
    </row>
    <row r="169" spans="1:7" x14ac:dyDescent="0.2">
      <c r="A169" s="927" t="s">
        <v>668</v>
      </c>
      <c r="B169" s="927" t="s">
        <v>2053</v>
      </c>
      <c r="C169" s="932">
        <f>'Revenues 9-14'!B264</f>
        <v>4992</v>
      </c>
      <c r="D169" s="933" t="str">
        <f>'Revenues 9-14'!A264</f>
        <v>Medicaid Matching Funds - Fee-for-Service Program</v>
      </c>
      <c r="E169" s="906"/>
      <c r="F169" s="1789">
        <f>SUM('Revenues 9-14'!C264:D264,'Revenues 9-14'!F264:G264)</f>
        <v>23043</v>
      </c>
      <c r="G169" s="947"/>
    </row>
    <row r="170" spans="1:7" x14ac:dyDescent="0.2">
      <c r="A170" s="948" t="s">
        <v>668</v>
      </c>
      <c r="B170" s="944" t="s">
        <v>2054</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v>158433</v>
      </c>
      <c r="G171" s="927"/>
    </row>
    <row r="172" spans="1:7" x14ac:dyDescent="0.2">
      <c r="A172" s="1918" t="s">
        <v>664</v>
      </c>
      <c r="B172" s="1919" t="s">
        <v>1919</v>
      </c>
      <c r="C172" s="1920">
        <v>3300</v>
      </c>
      <c r="D172" s="1921" t="s">
        <v>1922</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958</v>
      </c>
      <c r="F174" s="1788">
        <f>SUM(F84:F132,F157:F172)</f>
        <v>1226576</v>
      </c>
    </row>
    <row r="175" spans="1:7" ht="12" customHeight="1" x14ac:dyDescent="0.2">
      <c r="A175" s="1770"/>
      <c r="B175" s="1784"/>
      <c r="C175" s="1785"/>
      <c r="D175" s="1786" t="s">
        <v>2056</v>
      </c>
      <c r="E175" s="1787"/>
      <c r="F175" s="1789">
        <f>'PCTC-OEPP 27-28'!F77-F174</f>
        <v>4148470</v>
      </c>
    </row>
    <row r="176" spans="1:7" ht="12" customHeight="1" x14ac:dyDescent="0.2">
      <c r="A176" s="1770"/>
      <c r="B176" s="1784"/>
      <c r="C176" s="1785"/>
      <c r="D176" s="1786" t="s">
        <v>1817</v>
      </c>
      <c r="E176" s="1787"/>
      <c r="F176" s="1789">
        <f>'Cap Outlay Deprec 26'!I18</f>
        <v>72878.7</v>
      </c>
    </row>
    <row r="177" spans="1:7" ht="12" customHeight="1" x14ac:dyDescent="0.2">
      <c r="A177" s="1770"/>
      <c r="B177" s="1784"/>
      <c r="C177" s="1785"/>
      <c r="D177" s="1786" t="s">
        <v>2057</v>
      </c>
      <c r="E177" s="1787"/>
      <c r="F177" s="1789">
        <f>F175+F176</f>
        <v>4221348.7</v>
      </c>
    </row>
    <row r="178" spans="1:7" ht="12" customHeight="1" x14ac:dyDescent="0.2">
      <c r="A178" s="1770"/>
      <c r="B178" s="1790"/>
      <c r="C178" s="1785"/>
      <c r="D178" s="1786" t="str">
        <f>D78</f>
        <v>9 Month ADA from District Average Daily Attendance/Prior General State Aid Inquiry 2018-2019</v>
      </c>
      <c r="E178" s="1787"/>
      <c r="F178" s="1791">
        <f>'PCTC-OEPP 27-28'!F78</f>
        <v>425.4</v>
      </c>
      <c r="G178" s="930"/>
    </row>
    <row r="179" spans="1:7" ht="12" customHeight="1" thickBot="1" x14ac:dyDescent="0.25">
      <c r="A179" s="1770"/>
      <c r="B179" s="1790"/>
      <c r="C179" s="1785"/>
      <c r="D179" s="1786" t="s">
        <v>2058</v>
      </c>
      <c r="E179" s="1787" t="s">
        <v>1545</v>
      </c>
      <c r="F179" s="1792">
        <f>F177/F178</f>
        <v>9923.2456511518576</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7" zoomScaleNormal="100" workbookViewId="0">
      <selection activeCell="D21" sqref="D21"/>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1818</v>
      </c>
      <c r="B4" s="2271"/>
      <c r="C4" s="2271"/>
      <c r="D4" s="2271"/>
      <c r="E4" s="2271"/>
      <c r="F4" s="2271"/>
      <c r="G4" s="2272"/>
    </row>
    <row r="5" spans="1:7" x14ac:dyDescent="0.25">
      <c r="A5" s="2273"/>
      <c r="B5" s="2274"/>
      <c r="C5" s="2274"/>
      <c r="D5" s="2274"/>
      <c r="E5" s="2274"/>
      <c r="F5" s="2274"/>
      <c r="G5" s="2275"/>
    </row>
    <row r="6" spans="1:7" ht="18.75" x14ac:dyDescent="0.25">
      <c r="A6" s="1534" t="s">
        <v>1819</v>
      </c>
      <c r="B6" s="1535"/>
      <c r="C6" s="1535"/>
      <c r="D6" s="1535"/>
      <c r="E6" s="1535"/>
      <c r="F6" s="1535"/>
      <c r="G6" s="1536"/>
    </row>
    <row r="7" spans="1:7" ht="30.75" customHeight="1" x14ac:dyDescent="0.25">
      <c r="A7" s="2276" t="s">
        <v>1931</v>
      </c>
      <c r="B7" s="2277"/>
      <c r="C7" s="2277"/>
      <c r="D7" s="2277"/>
      <c r="E7" s="2277"/>
      <c r="F7" s="2277"/>
      <c r="G7" s="2278"/>
    </row>
    <row r="8" spans="1:7" ht="15.75" customHeight="1" x14ac:dyDescent="0.25">
      <c r="A8" s="2279" t="s">
        <v>1906</v>
      </c>
      <c r="B8" s="2280"/>
      <c r="C8" s="2280"/>
      <c r="D8" s="2280"/>
      <c r="E8" s="2280"/>
      <c r="F8" s="2280"/>
      <c r="G8" s="2281"/>
    </row>
    <row r="9" spans="1:7" ht="35.25" customHeight="1" x14ac:dyDescent="0.25">
      <c r="A9" s="2276" t="s">
        <v>1934</v>
      </c>
      <c r="B9" s="2277"/>
      <c r="C9" s="2277"/>
      <c r="D9" s="2277"/>
      <c r="E9" s="2277"/>
      <c r="F9" s="2277"/>
      <c r="G9" s="2278"/>
    </row>
    <row r="10" spans="1:7" ht="15" customHeight="1" x14ac:dyDescent="0.25">
      <c r="A10" s="1537" t="s">
        <v>1820</v>
      </c>
      <c r="B10" s="1538"/>
      <c r="C10" s="1538"/>
      <c r="D10" s="1538"/>
      <c r="E10" s="1538"/>
      <c r="F10" s="1538"/>
      <c r="G10" s="1539"/>
    </row>
    <row r="11" spans="1:7" ht="17.25" customHeight="1" x14ac:dyDescent="0.25">
      <c r="A11" s="2276" t="s">
        <v>1933</v>
      </c>
      <c r="B11" s="2277"/>
      <c r="C11" s="2277"/>
      <c r="D11" s="2277"/>
      <c r="E11" s="2277"/>
      <c r="F11" s="2277"/>
      <c r="G11" s="2278"/>
    </row>
    <row r="12" spans="1:7" ht="15" customHeight="1" x14ac:dyDescent="0.25">
      <c r="A12" s="1537" t="s">
        <v>1825</v>
      </c>
      <c r="B12" s="1538"/>
      <c r="C12" s="1538"/>
      <c r="D12" s="1538"/>
      <c r="E12" s="1538"/>
      <c r="F12" s="1538"/>
      <c r="G12" s="1539"/>
    </row>
    <row r="13" spans="1:7" ht="32.25" customHeight="1" x14ac:dyDescent="0.25">
      <c r="A13" s="2267" t="s">
        <v>1975</v>
      </c>
      <c r="B13" s="2268"/>
      <c r="C13" s="2268"/>
      <c r="D13" s="2268"/>
      <c r="E13" s="2268"/>
      <c r="F13" s="2268"/>
      <c r="G13" s="2269"/>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8" t="s">
        <v>2106</v>
      </c>
      <c r="B17" s="1939" t="s">
        <v>2107</v>
      </c>
      <c r="C17" s="1940" t="s">
        <v>2108</v>
      </c>
      <c r="D17" s="1844">
        <v>79960</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54960</v>
      </c>
      <c r="H17" s="1647"/>
    </row>
    <row r="18" spans="1:8" x14ac:dyDescent="0.25">
      <c r="A18" s="1938" t="s">
        <v>2109</v>
      </c>
      <c r="B18" s="1939" t="s">
        <v>2110</v>
      </c>
      <c r="C18" s="1940" t="s">
        <v>2111</v>
      </c>
      <c r="D18" s="1844">
        <v>29914</v>
      </c>
      <c r="E18" s="1540">
        <f t="shared" ref="E18:E140" si="2">IF(D18&lt;=25000,D18,IF(D18&gt;25000,25000,0))</f>
        <v>25000</v>
      </c>
      <c r="F18" s="1932">
        <f t="shared" si="1"/>
        <v>25000</v>
      </c>
      <c r="G18" s="1793">
        <f t="shared" ref="G18:G140" si="3">IF(F18=0,0,D18-F18)</f>
        <v>4914</v>
      </c>
    </row>
    <row r="19" spans="1:8" x14ac:dyDescent="0.25">
      <c r="A19" s="1938" t="s">
        <v>2109</v>
      </c>
      <c r="B19" s="1939" t="s">
        <v>2110</v>
      </c>
      <c r="C19" s="1940" t="s">
        <v>2112</v>
      </c>
      <c r="D19" s="1844">
        <v>66746</v>
      </c>
      <c r="E19" s="1540">
        <f t="shared" si="2"/>
        <v>25000</v>
      </c>
      <c r="F19" s="1932">
        <f t="shared" si="1"/>
        <v>25000</v>
      </c>
      <c r="G19" s="1793">
        <f t="shared" si="3"/>
        <v>41746</v>
      </c>
    </row>
    <row r="20" spans="1:8" x14ac:dyDescent="0.25">
      <c r="A20" s="1938" t="s">
        <v>2109</v>
      </c>
      <c r="B20" s="1939" t="s">
        <v>2110</v>
      </c>
      <c r="C20" s="1940" t="s">
        <v>2113</v>
      </c>
      <c r="D20" s="1844">
        <v>47501</v>
      </c>
      <c r="E20" s="1540">
        <f t="shared" si="2"/>
        <v>25000</v>
      </c>
      <c r="F20" s="1932">
        <f t="shared" si="1"/>
        <v>25000</v>
      </c>
      <c r="G20" s="1793">
        <f t="shared" si="3"/>
        <v>22501</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224121</v>
      </c>
      <c r="E141" s="1541">
        <f t="shared" si="0"/>
        <v>25000</v>
      </c>
      <c r="F141" s="1933">
        <f>SUM(F17:F140)</f>
        <v>100000</v>
      </c>
      <c r="G141" s="1795">
        <f>SUM(G17:G140)</f>
        <v>124121</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&amp;LPage 29&amp;RPage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5" sqref="E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v>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1932</v>
      </c>
      <c r="B10" s="971"/>
      <c r="C10" s="976"/>
      <c r="D10" s="972"/>
      <c r="E10" s="973">
        <v>0</v>
      </c>
      <c r="F10" s="974"/>
      <c r="G10" s="975"/>
      <c r="H10" s="162"/>
      <c r="I10" s="162"/>
    </row>
    <row r="11" spans="1:9" s="668" customFormat="1" ht="22.5" customHeight="1" x14ac:dyDescent="0.2">
      <c r="A11" s="2287" t="s">
        <v>1976</v>
      </c>
      <c r="B11" s="2288"/>
      <c r="C11" s="2288"/>
      <c r="D11" s="2289"/>
      <c r="E11" s="977">
        <v>23362</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2760501</v>
      </c>
      <c r="F19" s="1799"/>
      <c r="G19" s="1801">
        <f>'Expenditures 15-22'!K33-SUM('Expenditures 15-22'!G33,'Expenditures 15-22'!I33)+'Expenditures 15-22'!D229</f>
        <v>2760501</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167851</v>
      </c>
      <c r="F21" s="1802"/>
      <c r="G21" s="1805">
        <f>'Expenditures 15-22'!K42-SUM('Expenditures 15-22'!G42,'Expenditures 15-22'!I42)+'Expenditures 15-22'!K120-SUM('Expenditures 15-22'!G120,'Expenditures 15-22'!I120)+'Expenditures 15-22'!K180-SUM('Expenditures 15-22'!G180,'Expenditures 15-22'!I180)+'Expenditures 15-22'!D238</f>
        <v>167851</v>
      </c>
      <c r="H21" s="987"/>
      <c r="I21" s="162"/>
    </row>
    <row r="22" spans="1:9" s="668" customFormat="1" ht="12" customHeight="1" x14ac:dyDescent="0.2">
      <c r="A22" s="994" t="s">
        <v>564</v>
      </c>
      <c r="B22" s="995"/>
      <c r="C22" s="993">
        <v>2200</v>
      </c>
      <c r="D22" s="1802"/>
      <c r="E22" s="1804">
        <f>'Expenditures 15-22'!K47-SUM('Expenditures 15-22'!G47,'Expenditures 15-22'!I47)+'Expenditures 15-22'!D243</f>
        <v>78824</v>
      </c>
      <c r="F22" s="1802"/>
      <c r="G22" s="1805">
        <f>'Expenditures 15-22'!K47-SUM('Expenditures 15-22'!G47,'Expenditures 15-22'!I47)+'Expenditures 15-22'!D243</f>
        <v>78824</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593490</v>
      </c>
      <c r="F23" s="1802"/>
      <c r="G23" s="1804">
        <f>'Expenditures 15-22'!K53-SUM('Expenditures 15-22'!G53,'Expenditures 15-22'!I53)+'Expenditures 15-22'!D257+'Expenditures 15-22'!K330-SUM('Expenditures 15-22'!G330,'Expenditures 15-22'!I330)</f>
        <v>593490</v>
      </c>
      <c r="H23" s="987"/>
      <c r="I23" s="162"/>
    </row>
    <row r="24" spans="1:9" s="668" customFormat="1" ht="12" customHeight="1" x14ac:dyDescent="0.2">
      <c r="A24" s="994" t="s">
        <v>566</v>
      </c>
      <c r="B24" s="995"/>
      <c r="C24" s="993">
        <v>2400</v>
      </c>
      <c r="D24" s="1802"/>
      <c r="E24" s="1804">
        <f>'Expenditures 15-22'!K57-SUM('Expenditures 15-22'!G57,'Expenditures 15-22'!I57)+'Expenditures 15-22'!D261</f>
        <v>481573</v>
      </c>
      <c r="F24" s="1802"/>
      <c r="G24" s="1805">
        <f>'Expenditures 15-22'!K57-SUM('Expenditures 15-22'!G57,'Expenditures 15-22'!I57)+'Expenditures 15-22'!D261</f>
        <v>481573</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62587</v>
      </c>
      <c r="E27" s="1804">
        <f>E8</f>
        <v>0</v>
      </c>
      <c r="F27" s="1804">
        <f>'Expenditures 15-22'!K60-SUM('Expenditures 15-22'!G60,'Expenditures 15-22'!I60)+'Expenditures 15-22'!D264-E8</f>
        <v>62587</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379861</v>
      </c>
      <c r="F28" s="1806">
        <f>'Expenditures 15-22'!K61-SUM('Expenditures 15-22'!G61,'Expenditures 15-22'!I61)+'Expenditures 15-22'!K124-SUM('Expenditures 15-22'!G124,'Expenditures 15-22'!I124)+'Expenditures 15-22'!D266-E9</f>
        <v>379861</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598020</v>
      </c>
      <c r="F29" s="1802"/>
      <c r="G29" s="1805">
        <f>'Expenditures 15-22'!K62-SUM('Expenditures 15-22'!G62,'Expenditures 15-22'!I62)+'Expenditures 15-22'!K125-SUM('Expenditures 15-22'!G125,'Expenditures 15-22'!I125)+'Expenditures 15-22'!K182-SUM('Expenditures 15-22'!G182,'Expenditures 15-22'!I182)+'Expenditures 15-22'!D267</f>
        <v>598020</v>
      </c>
      <c r="H29" s="985"/>
    </row>
    <row r="30" spans="1:9" ht="12" customHeight="1" x14ac:dyDescent="0.2">
      <c r="A30" s="994" t="s">
        <v>100</v>
      </c>
      <c r="B30" s="997"/>
      <c r="C30" s="993">
        <v>2560</v>
      </c>
      <c r="D30" s="1802"/>
      <c r="E30" s="1804">
        <f>'Expenditures 15-22'!K63-SUM('Expenditures 15-22'!G63,'Expenditures 15-22'!I63)+'Expenditures 15-22'!D268-E10</f>
        <v>282131</v>
      </c>
      <c r="F30" s="1802"/>
      <c r="G30" s="1804">
        <f>'Expenditures 15-22'!K63-SUM('Expenditures 15-22'!G63,'Expenditures 15-22'!I63)+'Expenditures 15-22'!D268-E10</f>
        <v>282131</v>
      </c>
    </row>
    <row r="31" spans="1:9" ht="12" customHeight="1" x14ac:dyDescent="0.2">
      <c r="A31" s="994" t="s">
        <v>101</v>
      </c>
      <c r="B31" s="997"/>
      <c r="C31" s="993">
        <v>2570</v>
      </c>
      <c r="D31" s="1804">
        <f>'Expenditures 15-22'!K64-SUM('Expenditures 15-22'!G64,'Expenditures 15-22'!I64)+'Expenditures 15-22'!D269-E12</f>
        <v>17165</v>
      </c>
      <c r="E31" s="1804">
        <f>E12</f>
        <v>0</v>
      </c>
      <c r="F31" s="1804">
        <f>'Expenditures 15-22'!K64-SUM('Expenditures 15-22'!G64,'Expenditures 15-22'!I64)+'Expenditures 15-22'!D269-E12</f>
        <v>17165</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8056</v>
      </c>
      <c r="F35" s="1802"/>
      <c r="G35" s="1804">
        <f>'Expenditures 15-22'!K69-SUM('Expenditures 15-22'!G69,'Expenditures 15-22'!I69)+'Expenditures 15-22'!D274</f>
        <v>8056</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1443</v>
      </c>
      <c r="F39" s="1802"/>
      <c r="G39" s="1804">
        <f>'Expenditures 15-22'!K75-SUM('Expenditures 15-22'!G75,'Expenditures 15-22'!I75)+'Expenditures 15-22'!K130-SUM('Expenditures 15-22'!G130,'Expenditures 15-22'!I130)+'Expenditures 15-22'!K185-SUM('Expenditures 15-22'!G185,'Expenditures 15-22'!I185)+'Expenditures 15-22'!D280</f>
        <v>1443</v>
      </c>
    </row>
    <row r="40" spans="1:7" ht="12" customHeight="1" x14ac:dyDescent="0.2">
      <c r="A40" s="990" t="s">
        <v>1823</v>
      </c>
      <c r="B40" s="991"/>
      <c r="C40" s="993"/>
      <c r="D40" s="1802"/>
      <c r="E40" s="1806">
        <f>-'Contracts Paid in CY 29'!G141</f>
        <v>-124121</v>
      </c>
      <c r="F40" s="1802"/>
      <c r="G40" s="1806">
        <f>-'Contracts Paid in CY 29'!G141</f>
        <v>-124121</v>
      </c>
    </row>
    <row r="41" spans="1:7" ht="12" customHeight="1" x14ac:dyDescent="0.2">
      <c r="A41" s="998" t="s">
        <v>156</v>
      </c>
      <c r="B41" s="999"/>
      <c r="C41" s="1000"/>
      <c r="D41" s="1806">
        <f>SUM(D19:D39)</f>
        <v>79752</v>
      </c>
      <c r="E41" s="1806">
        <f>SUM(E19:E40)</f>
        <v>5227629</v>
      </c>
      <c r="F41" s="1806">
        <f>SUM(F19:F39)</f>
        <v>459613</v>
      </c>
      <c r="G41" s="1806">
        <f>SUM(G19:G40)</f>
        <v>4847768</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79752</v>
      </c>
      <c r="F43" s="1807" t="s">
        <v>473</v>
      </c>
      <c r="G43" s="1808">
        <f>F41</f>
        <v>459613</v>
      </c>
    </row>
    <row r="44" spans="1:7" ht="12" customHeight="1" x14ac:dyDescent="0.2">
      <c r="A44" s="987"/>
      <c r="B44" s="162"/>
      <c r="C44" s="1001"/>
      <c r="D44" s="1807" t="s">
        <v>474</v>
      </c>
      <c r="E44" s="1808">
        <f>E41</f>
        <v>5227629</v>
      </c>
      <c r="F44" s="1807" t="s">
        <v>474</v>
      </c>
      <c r="G44" s="1808">
        <f>G41</f>
        <v>4847768</v>
      </c>
    </row>
    <row r="45" spans="1:7" ht="12" customHeight="1" x14ac:dyDescent="0.2">
      <c r="A45" s="987"/>
      <c r="B45" s="162"/>
      <c r="C45" s="162"/>
      <c r="D45" s="1809" t="s">
        <v>1006</v>
      </c>
      <c r="E45" s="1810">
        <f>(E43/E44)</f>
        <v>1.5255864561161474E-2</v>
      </c>
      <c r="F45" s="1809" t="s">
        <v>1006</v>
      </c>
      <c r="G45" s="1810">
        <f>(G43/G44)</f>
        <v>9.4809198790041113E-2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A36" sqref="A36:F36"/>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4" t="s">
        <v>1379</v>
      </c>
      <c r="B1" s="2304"/>
      <c r="C1" s="2304"/>
      <c r="D1" s="2304"/>
      <c r="E1" s="2304"/>
      <c r="F1" s="2304"/>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305" t="s">
        <v>1546</v>
      </c>
      <c r="B5" s="2306"/>
      <c r="C5" s="2307"/>
      <c r="D5" s="2307"/>
      <c r="E5" s="2307"/>
      <c r="F5" s="2307"/>
    </row>
    <row r="6" spans="1:10" ht="12" customHeight="1" x14ac:dyDescent="0.25">
      <c r="A6" s="1850"/>
      <c r="B6" s="1851"/>
      <c r="C6" s="2308" t="str">
        <f>COVER!A17</f>
        <v>Southeastern CUSD 337</v>
      </c>
      <c r="D6" s="2308"/>
      <c r="E6" s="2308"/>
      <c r="F6" s="1852"/>
    </row>
    <row r="7" spans="1:10" ht="11.25" customHeight="1" thickBot="1" x14ac:dyDescent="0.3">
      <c r="A7" s="1850"/>
      <c r="B7" s="1851"/>
      <c r="C7" s="2309">
        <f>COVER!A13</f>
        <v>26034337026</v>
      </c>
      <c r="D7" s="2309"/>
      <c r="E7" s="2309"/>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2063</v>
      </c>
      <c r="D19" s="1865" t="s">
        <v>2063</v>
      </c>
      <c r="E19" s="1868"/>
      <c r="F19" s="1867" t="s">
        <v>2082</v>
      </c>
      <c r="H19" s="1878">
        <f t="shared" si="0"/>
        <v>5</v>
      </c>
      <c r="I19" s="1878">
        <f t="shared" si="1"/>
        <v>5</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2063</v>
      </c>
      <c r="D26" s="1865" t="s">
        <v>2063</v>
      </c>
      <c r="E26" s="1868"/>
      <c r="F26" s="1867" t="s">
        <v>2083</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t="s">
        <v>2063</v>
      </c>
      <c r="D28" s="1865" t="s">
        <v>2063</v>
      </c>
      <c r="E28" s="1868"/>
      <c r="F28" s="1867" t="s">
        <v>2084</v>
      </c>
      <c r="H28" s="1878">
        <f t="shared" si="0"/>
        <v>5</v>
      </c>
      <c r="I28" s="1878">
        <f t="shared" si="1"/>
        <v>5</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2063</v>
      </c>
      <c r="D31" s="1865" t="s">
        <v>2063</v>
      </c>
      <c r="E31" s="1868"/>
      <c r="F31" s="1867" t="s">
        <v>2085</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t="s">
        <v>2063</v>
      </c>
      <c r="D33" s="1865" t="s">
        <v>2063</v>
      </c>
      <c r="E33" s="1868"/>
      <c r="F33" s="1867" t="s">
        <v>2086</v>
      </c>
      <c r="H33" s="1878">
        <f t="shared" si="0"/>
        <v>5</v>
      </c>
      <c r="I33" s="1878">
        <f t="shared" si="1"/>
        <v>5</v>
      </c>
      <c r="J33" s="1878">
        <f t="shared" si="2"/>
        <v>0</v>
      </c>
    </row>
    <row r="34" spans="1:11" ht="12" customHeight="1" x14ac:dyDescent="0.25">
      <c r="A34" s="1870"/>
      <c r="B34" s="1870"/>
      <c r="C34" s="1870"/>
      <c r="D34" s="1870"/>
      <c r="E34" s="1870"/>
      <c r="F34" s="1870"/>
      <c r="H34" s="1878">
        <f>SUM(H11:H32)</f>
        <v>20</v>
      </c>
      <c r="I34" s="1878">
        <f>SUM(I11:I32)</f>
        <v>20</v>
      </c>
      <c r="J34" s="1878">
        <f>SUM(J11:J32)</f>
        <v>0</v>
      </c>
      <c r="K34" s="1878">
        <f>SUM(H34:J34)</f>
        <v>40</v>
      </c>
    </row>
    <row r="35" spans="1:11" ht="12" customHeight="1" x14ac:dyDescent="0.2">
      <c r="A35" s="1871" t="s">
        <v>1392</v>
      </c>
      <c r="B35" s="1872"/>
      <c r="C35" s="2310"/>
      <c r="D35" s="2310"/>
      <c r="E35" s="2310"/>
      <c r="F35" s="2311"/>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296"/>
      <c r="B38" s="2297"/>
      <c r="C38" s="2297"/>
      <c r="D38" s="2297"/>
      <c r="E38" s="2297"/>
      <c r="F38" s="2298"/>
    </row>
    <row r="39" spans="1:11" ht="4.5" hidden="1" customHeight="1" x14ac:dyDescent="0.2">
      <c r="A39" s="1873"/>
      <c r="B39" s="1873"/>
      <c r="C39" s="1873"/>
      <c r="D39" s="1873"/>
      <c r="E39" s="1873"/>
      <c r="F39" s="1873"/>
    </row>
    <row r="40" spans="1:11" s="1870" customFormat="1" ht="12" customHeight="1" x14ac:dyDescent="0.25">
      <c r="A40" s="1874" t="s">
        <v>1391</v>
      </c>
      <c r="B40" s="1875"/>
      <c r="C40" s="2299"/>
      <c r="D40" s="2299"/>
      <c r="E40" s="2299"/>
      <c r="F40" s="2300"/>
      <c r="H40" s="1879"/>
      <c r="I40" s="1879"/>
      <c r="J40" s="1879"/>
      <c r="K40" s="1879"/>
    </row>
    <row r="41" spans="1:11" s="1870" customFormat="1" ht="12" customHeight="1" x14ac:dyDescent="0.25">
      <c r="A41" s="2301"/>
      <c r="B41" s="2302"/>
      <c r="C41" s="2302"/>
      <c r="D41" s="2302"/>
      <c r="E41" s="2302"/>
      <c r="F41" s="2303"/>
      <c r="H41" s="1879"/>
      <c r="I41" s="1879"/>
      <c r="J41" s="1879"/>
      <c r="K41" s="1879"/>
    </row>
    <row r="42" spans="1:11" s="1870" customFormat="1" ht="12" customHeight="1" x14ac:dyDescent="0.25">
      <c r="A42" s="2301"/>
      <c r="B42" s="2302"/>
      <c r="C42" s="2302"/>
      <c r="D42" s="2302"/>
      <c r="E42" s="2302"/>
      <c r="F42" s="2303"/>
      <c r="H42" s="1879"/>
      <c r="I42" s="1879"/>
      <c r="J42" s="1879"/>
      <c r="K42" s="1879"/>
    </row>
    <row r="43" spans="1:11" s="1870" customFormat="1" ht="15" x14ac:dyDescent="0.25">
      <c r="A43" s="2290"/>
      <c r="B43" s="2291"/>
      <c r="C43" s="2291"/>
      <c r="D43" s="2291"/>
      <c r="E43" s="2291"/>
      <c r="F43" s="2292"/>
      <c r="H43" s="1879"/>
      <c r="I43" s="1879"/>
      <c r="J43" s="1879"/>
      <c r="K43" s="1879"/>
    </row>
    <row r="44" spans="1:11" s="1870" customFormat="1" ht="12" hidden="1" customHeight="1" x14ac:dyDescent="0.25">
      <c r="A44" s="2290"/>
      <c r="B44" s="2291"/>
      <c r="C44" s="2291"/>
      <c r="D44" s="2291"/>
      <c r="E44" s="2291"/>
      <c r="F44" s="229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firstPageNumber="31" orientation="landscape" useFirstPageNumber="1" r:id="rId1"/>
  <headerFooter>
    <oddHeader>&amp;L&amp;8Page &amp;P&amp;R&amp;8Page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I19" sqref="I1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7" t="str">
        <f>COVER!A17</f>
        <v>Southeastern CUSD 337</v>
      </c>
      <c r="J6" s="2318"/>
      <c r="Q6" s="1664"/>
    </row>
    <row r="7" spans="1:17" x14ac:dyDescent="0.2">
      <c r="A7" s="2319" t="s">
        <v>869</v>
      </c>
      <c r="B7" s="2320"/>
      <c r="C7" s="2320"/>
      <c r="D7" s="2320"/>
      <c r="E7" s="2321"/>
      <c r="F7" s="1017"/>
      <c r="G7" s="1009"/>
      <c r="H7" s="1016" t="s">
        <v>372</v>
      </c>
      <c r="I7" s="2322">
        <f>COVER!A13</f>
        <v>26034337026</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184093</v>
      </c>
      <c r="F12" s="1039"/>
      <c r="G12" s="1811">
        <f t="shared" ref="G12:G18" si="0">SUM(E12:F12)</f>
        <v>184093</v>
      </c>
      <c r="H12" s="1040">
        <v>188366</v>
      </c>
      <c r="I12" s="1039"/>
      <c r="J12" s="1811">
        <f t="shared" ref="J12:J18" si="1">SUM(H12:I12)</f>
        <v>188366</v>
      </c>
    </row>
    <row r="13" spans="1:17" ht="15" customHeight="1" x14ac:dyDescent="0.2">
      <c r="A13" s="1035">
        <v>2</v>
      </c>
      <c r="B13" s="1036" t="s">
        <v>42</v>
      </c>
      <c r="C13" s="1037"/>
      <c r="D13" s="1038">
        <v>2330</v>
      </c>
      <c r="E13" s="1811">
        <f>'Expenditures 15-22'!K51</f>
        <v>12630</v>
      </c>
      <c r="F13" s="1039"/>
      <c r="G13" s="1811">
        <f t="shared" si="0"/>
        <v>12630</v>
      </c>
      <c r="H13" s="1040">
        <v>11866</v>
      </c>
      <c r="I13" s="1039"/>
      <c r="J13" s="1811">
        <f t="shared" si="1"/>
        <v>11866</v>
      </c>
    </row>
    <row r="14" spans="1:17" ht="15" customHeight="1" x14ac:dyDescent="0.2">
      <c r="A14" s="1035">
        <v>3</v>
      </c>
      <c r="B14" s="1036" t="s">
        <v>43</v>
      </c>
      <c r="C14" s="1037"/>
      <c r="D14" s="1041">
        <v>2490</v>
      </c>
      <c r="E14" s="1811">
        <f>'Expenditures 15-22'!K56</f>
        <v>0</v>
      </c>
      <c r="F14" s="1039"/>
      <c r="G14" s="1811">
        <f t="shared" si="0"/>
        <v>0</v>
      </c>
      <c r="H14" s="1040">
        <v>0</v>
      </c>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v>0</v>
      </c>
      <c r="I15" s="1040">
        <v>0</v>
      </c>
      <c r="J15" s="1811">
        <f t="shared" si="1"/>
        <v>0</v>
      </c>
    </row>
    <row r="16" spans="1:17" ht="15" customHeight="1" x14ac:dyDescent="0.2">
      <c r="A16" s="1035">
        <v>5</v>
      </c>
      <c r="B16" s="1036" t="s">
        <v>101</v>
      </c>
      <c r="C16" s="1037"/>
      <c r="D16" s="1038">
        <v>2570</v>
      </c>
      <c r="E16" s="1811">
        <f>'Expenditures 15-22'!K64</f>
        <v>17165</v>
      </c>
      <c r="F16" s="1039"/>
      <c r="G16" s="1811">
        <f t="shared" si="0"/>
        <v>17165</v>
      </c>
      <c r="H16" s="1040">
        <v>17594</v>
      </c>
      <c r="I16" s="1039"/>
      <c r="J16" s="1811">
        <f t="shared" si="1"/>
        <v>17594</v>
      </c>
    </row>
    <row r="17" spans="1:10" ht="15" customHeight="1" x14ac:dyDescent="0.2">
      <c r="A17" s="1035">
        <v>6</v>
      </c>
      <c r="B17" s="1036" t="s">
        <v>1060</v>
      </c>
      <c r="C17" s="1037"/>
      <c r="D17" s="1038">
        <v>2610</v>
      </c>
      <c r="E17" s="1811">
        <f>'Expenditures 15-22'!K67</f>
        <v>0</v>
      </c>
      <c r="F17" s="1039"/>
      <c r="G17" s="1811">
        <f t="shared" si="0"/>
        <v>0</v>
      </c>
      <c r="H17" s="1040">
        <v>1</v>
      </c>
      <c r="I17" s="1039"/>
      <c r="J17" s="1811">
        <f t="shared" si="1"/>
        <v>1</v>
      </c>
    </row>
    <row r="18" spans="1:10" ht="22.5" customHeight="1" x14ac:dyDescent="0.2">
      <c r="A18" s="1042">
        <v>7</v>
      </c>
      <c r="B18" s="2326" t="s">
        <v>7</v>
      </c>
      <c r="C18" s="2327"/>
      <c r="D18" s="2328"/>
      <c r="E18" s="1043"/>
      <c r="F18" s="1043"/>
      <c r="G18" s="1812">
        <f t="shared" si="0"/>
        <v>0</v>
      </c>
      <c r="H18" s="1040">
        <v>0</v>
      </c>
      <c r="I18" s="1040">
        <v>0</v>
      </c>
      <c r="J18" s="1811">
        <f t="shared" si="1"/>
        <v>0</v>
      </c>
    </row>
    <row r="19" spans="1:10" ht="12.75" customHeight="1" thickBot="1" x14ac:dyDescent="0.25">
      <c r="A19" s="1035">
        <v>8</v>
      </c>
      <c r="B19" s="1044" t="s">
        <v>1161</v>
      </c>
      <c r="D19" s="1045"/>
      <c r="E19" s="1813">
        <f t="shared" ref="E19:J19" si="2">SUM(E12:E17)-E18</f>
        <v>213888</v>
      </c>
      <c r="F19" s="1813">
        <f t="shared" si="2"/>
        <v>0</v>
      </c>
      <c r="G19" s="1813">
        <f t="shared" si="2"/>
        <v>213888</v>
      </c>
      <c r="H19" s="1813">
        <f t="shared" si="2"/>
        <v>217827</v>
      </c>
      <c r="I19" s="1813">
        <f t="shared" si="2"/>
        <v>0</v>
      </c>
      <c r="J19" s="1813">
        <f t="shared" si="2"/>
        <v>217827</v>
      </c>
    </row>
    <row r="20" spans="1:10" ht="13.5" thickTop="1" x14ac:dyDescent="0.2">
      <c r="A20" s="1035">
        <v>9</v>
      </c>
      <c r="B20" s="2329" t="s">
        <v>1980</v>
      </c>
      <c r="C20" s="2329"/>
      <c r="D20" s="2330"/>
      <c r="E20" s="1046"/>
      <c r="F20" s="1046"/>
      <c r="G20" s="1046"/>
      <c r="H20" s="1046"/>
      <c r="I20" s="1046"/>
      <c r="J20" s="1814">
        <f>IF(AND(G19&gt;0,J19&gt;0),(((J19-G19)/G19)),"Enter Budget Data")</f>
        <v>1.8416180430879711E-2</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1982</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2"/>
  <sheetViews>
    <sheetView showGridLines="0" zoomScale="110" zoomScaleNormal="110" workbookViewId="0">
      <selection activeCell="B7" sqref="B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2087</v>
      </c>
    </row>
    <row r="6" spans="1:2" x14ac:dyDescent="0.2">
      <c r="A6" s="1068">
        <v>2</v>
      </c>
      <c r="B6" s="329" t="s">
        <v>2105</v>
      </c>
    </row>
    <row r="7" spans="1:2" x14ac:dyDescent="0.2">
      <c r="A7" s="1068"/>
      <c r="B7" s="329" t="s">
        <v>2088</v>
      </c>
    </row>
    <row r="8" spans="1:2" x14ac:dyDescent="0.2">
      <c r="A8" s="1068">
        <v>3</v>
      </c>
      <c r="B8" s="329" t="s">
        <v>2090</v>
      </c>
    </row>
    <row r="9" spans="1:2" x14ac:dyDescent="0.2">
      <c r="A9" s="1068"/>
      <c r="B9" s="329" t="s">
        <v>2089</v>
      </c>
    </row>
    <row r="10" spans="1:2" x14ac:dyDescent="0.2">
      <c r="A10" s="1068">
        <v>4</v>
      </c>
      <c r="B10" s="329" t="s">
        <v>2091</v>
      </c>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c r="B61" s="258" t="str">
        <f>COVER!A17</f>
        <v>Southeastern CUSD 337</v>
      </c>
    </row>
    <row r="62" spans="1:2" x14ac:dyDescent="0.2">
      <c r="B62" s="1070">
        <f>COVER!A13</f>
        <v>26034337026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9"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1986</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1987</v>
      </c>
      <c r="B4" s="2357"/>
      <c r="C4" s="2357"/>
      <c r="D4" s="2357"/>
      <c r="E4" s="2357"/>
      <c r="F4" s="2358"/>
      <c r="G4" s="1074"/>
      <c r="H4" s="1074"/>
    </row>
    <row r="5" spans="1:8" ht="14.25" customHeight="1" x14ac:dyDescent="0.2">
      <c r="A5" s="2359" t="s">
        <v>1983</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4412805</v>
      </c>
      <c r="C8" s="1815">
        <f>'Acct Summary 7-8'!D8</f>
        <v>346057</v>
      </c>
      <c r="D8" s="1815">
        <f>'Acct Summary 7-8'!F8</f>
        <v>543135</v>
      </c>
      <c r="E8" s="1815">
        <f>'Acct Summary 7-8'!I8</f>
        <v>37261</v>
      </c>
      <c r="F8" s="1815">
        <f>SUM(B8:E8)</f>
        <v>5339258</v>
      </c>
    </row>
    <row r="9" spans="1:8" s="1079" customFormat="1" ht="14.25" customHeight="1" thickBot="1" x14ac:dyDescent="0.25">
      <c r="A9" s="1078" t="s">
        <v>1369</v>
      </c>
      <c r="B9" s="1816">
        <f>'Acct Summary 7-8'!C17</f>
        <v>4389242</v>
      </c>
      <c r="C9" s="1816">
        <f>'Acct Summary 7-8'!D17</f>
        <v>360846</v>
      </c>
      <c r="D9" s="1816">
        <f>'Acct Summary 7-8'!F17</f>
        <v>535405</v>
      </c>
      <c r="E9" s="1815"/>
      <c r="F9" s="1815">
        <f>SUM(B9:E9)</f>
        <v>5285493</v>
      </c>
    </row>
    <row r="10" spans="1:8" s="1079" customFormat="1" ht="14.25" thickTop="1" thickBot="1" x14ac:dyDescent="0.25">
      <c r="A10" s="1080" t="s">
        <v>1370</v>
      </c>
      <c r="B10" s="1817">
        <f>(B8-B9)</f>
        <v>23563</v>
      </c>
      <c r="C10" s="1817">
        <f>(C8-C9)</f>
        <v>-14789</v>
      </c>
      <c r="D10" s="1817">
        <f>(D8-D9)</f>
        <v>7730</v>
      </c>
      <c r="E10" s="1816">
        <f>(E8-E9)</f>
        <v>37261</v>
      </c>
      <c r="F10" s="1818">
        <f>SUM(F8-F9)</f>
        <v>53765</v>
      </c>
    </row>
    <row r="11" spans="1:8" s="1079" customFormat="1" ht="14.25" thickTop="1" thickBot="1" x14ac:dyDescent="0.25">
      <c r="A11" s="1081" t="s">
        <v>1984</v>
      </c>
      <c r="B11" s="1819">
        <f>'Acct Summary 7-8'!C81</f>
        <v>267280</v>
      </c>
      <c r="C11" s="1819">
        <f>'Acct Summary 7-8'!D81</f>
        <v>1250596</v>
      </c>
      <c r="D11" s="1819">
        <f>'Acct Summary 7-8'!F81</f>
        <v>94615</v>
      </c>
      <c r="E11" s="1819">
        <f>'Acct Summary 7-8'!I81</f>
        <v>366848</v>
      </c>
      <c r="F11" s="1820">
        <f>SUM(B11:E11)</f>
        <v>1979339</v>
      </c>
    </row>
    <row r="12" spans="1:8" ht="16.5" customHeight="1" thickTop="1" x14ac:dyDescent="0.2">
      <c r="A12" s="1082"/>
      <c r="B12" s="1083"/>
      <c r="C12" s="2341" t="str">
        <f>IF(AND(F10&lt;0,F11&gt;=0,ABS(F10*3)&gt;ABS(F11)),A16,IF(AND(F10&lt;0,F11&gt;0,ABS(F10*3)&lt;=ABS(F11)),A17,IF(AND(F10&lt;0,F11&lt;0),A16,IF(F11=0,A19,A18))))</f>
        <v>Balanced - no deficit reduction plan is required.</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2"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26034337026</v>
      </c>
    </row>
    <row r="3" spans="1:2" x14ac:dyDescent="0.2">
      <c r="A3" t="s">
        <v>956</v>
      </c>
      <c r="B3" s="138" t="str">
        <f>COVER!A15</f>
        <v>Hancock</v>
      </c>
    </row>
    <row r="4" spans="1:2" x14ac:dyDescent="0.2">
      <c r="A4" t="s">
        <v>1007</v>
      </c>
      <c r="B4" s="138" t="str">
        <f>COVER!A17</f>
        <v>Southeastern CUSD 337</v>
      </c>
    </row>
    <row r="5" spans="1:2" x14ac:dyDescent="0.2">
      <c r="A5" t="s">
        <v>704</v>
      </c>
      <c r="B5" s="138" t="str">
        <f>COVER!A38</f>
        <v>D. Todd Fox</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066-004769</v>
      </c>
    </row>
    <row r="16" spans="1:2" x14ac:dyDescent="0.2">
      <c r="A16" t="s">
        <v>422</v>
      </c>
      <c r="B16" s="138" t="str">
        <f>COVER!T13</f>
        <v>Meister, Hilton, Chitwood &amp; Associates, Inc.</v>
      </c>
    </row>
    <row r="17" spans="1:2" x14ac:dyDescent="0.2">
      <c r="A17" t="s">
        <v>884</v>
      </c>
      <c r="B17" s="138" t="str">
        <f>COVER!T15</f>
        <v>Ron Hilton</v>
      </c>
    </row>
    <row r="18" spans="1:2" x14ac:dyDescent="0.2">
      <c r="A18" t="s">
        <v>1150</v>
      </c>
      <c r="B18" s="138" t="str">
        <f>COVER!T17</f>
        <v>809 W. Detweiller Drive, Suite 806</v>
      </c>
    </row>
    <row r="19" spans="1:2" x14ac:dyDescent="0.2">
      <c r="A19" t="s">
        <v>886</v>
      </c>
      <c r="B19" s="138" t="str">
        <f>COVER!T25</f>
        <v>ron.hilton!@comcast.net</v>
      </c>
    </row>
    <row r="20" spans="1:2" x14ac:dyDescent="0.2">
      <c r="A20" t="s">
        <v>887</v>
      </c>
      <c r="B20" s="138" t="str">
        <f>COVER!T19</f>
        <v>Peoria</v>
      </c>
    </row>
    <row r="21" spans="1:2" x14ac:dyDescent="0.2">
      <c r="A21" t="s">
        <v>479</v>
      </c>
      <c r="B21" s="138" t="str">
        <f>COVER!X19</f>
        <v>IL</v>
      </c>
    </row>
    <row r="22" spans="1:2" x14ac:dyDescent="0.2">
      <c r="A22" t="s">
        <v>888</v>
      </c>
      <c r="B22" s="138">
        <f>COVER!Z19</f>
        <v>61615</v>
      </c>
    </row>
    <row r="23" spans="1:2" x14ac:dyDescent="0.2">
      <c r="A23" t="s">
        <v>1152</v>
      </c>
      <c r="B23" s="138" t="str">
        <f>COVER!T21</f>
        <v>(309) 683-0441</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351257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86</v>
      </c>
      <c r="D86" s="2" t="str">
        <f t="shared" si="0"/>
        <v>Error?</v>
      </c>
    </row>
    <row r="87" spans="1:4" x14ac:dyDescent="0.2">
      <c r="A87" s="10">
        <v>26</v>
      </c>
      <c r="D87" s="2" t="str">
        <f t="shared" si="0"/>
        <v>OK</v>
      </c>
    </row>
    <row r="88" spans="1:4" x14ac:dyDescent="0.2">
      <c r="A88" s="5">
        <v>27</v>
      </c>
      <c r="B88" s="138">
        <f>'Assets-Liab 5-6'!C32</f>
        <v>83891</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83977</v>
      </c>
      <c r="C91" s="2" t="s">
        <v>573</v>
      </c>
      <c r="D91" s="2" t="str">
        <f t="shared" si="0"/>
        <v>Error?</v>
      </c>
    </row>
    <row r="92" spans="1:4" x14ac:dyDescent="0.2">
      <c r="A92" s="5">
        <v>31</v>
      </c>
      <c r="B92" s="138">
        <f>'Assets-Liab 5-6'!C39</f>
        <v>251791</v>
      </c>
      <c r="D92" s="2" t="str">
        <f t="shared" si="0"/>
        <v>Error?</v>
      </c>
    </row>
    <row r="93" spans="1:4" x14ac:dyDescent="0.2">
      <c r="A93" s="5">
        <v>32</v>
      </c>
      <c r="B93" s="138">
        <f>'Assets-Liab 5-6'!C41</f>
        <v>351257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1268146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17550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17550</v>
      </c>
      <c r="C122" s="2" t="s">
        <v>573</v>
      </c>
      <c r="D122" s="2" t="str">
        <f t="shared" si="0"/>
        <v>Error?</v>
      </c>
    </row>
    <row r="123" spans="1:4" x14ac:dyDescent="0.2">
      <c r="A123" s="5">
        <v>62</v>
      </c>
      <c r="B123" s="138">
        <f>'Assets-Liab 5-6'!D39</f>
        <v>1250596</v>
      </c>
      <c r="D123" s="2" t="str">
        <f t="shared" si="0"/>
        <v>Error?</v>
      </c>
    </row>
    <row r="124" spans="1:4" x14ac:dyDescent="0.2">
      <c r="A124" s="5">
        <v>63</v>
      </c>
      <c r="B124" s="138">
        <f>'Assets-Liab 5-6'!D41</f>
        <v>1268146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101635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7020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7020</v>
      </c>
      <c r="C169" s="2" t="s">
        <v>573</v>
      </c>
      <c r="D169" s="2" t="str">
        <f t="shared" si="1"/>
        <v>Error?</v>
      </c>
    </row>
    <row r="170" spans="1:4" x14ac:dyDescent="0.2">
      <c r="A170" s="5">
        <v>109</v>
      </c>
      <c r="B170" s="138">
        <f>'Assets-Liab 5-6'!F39</f>
        <v>94615</v>
      </c>
      <c r="D170" s="2" t="str">
        <f t="shared" si="1"/>
        <v>Error?</v>
      </c>
    </row>
    <row r="171" spans="1:4" x14ac:dyDescent="0.2">
      <c r="A171" s="5">
        <v>110</v>
      </c>
      <c r="B171" s="138">
        <f>'Assets-Liab 5-6'!F41</f>
        <v>101635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301592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5696</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5696</v>
      </c>
      <c r="C188" s="2" t="s">
        <v>573</v>
      </c>
      <c r="D188" s="2" t="str">
        <f t="shared" si="1"/>
        <v>Error?</v>
      </c>
    </row>
    <row r="189" spans="1:4" x14ac:dyDescent="0.2">
      <c r="A189" s="5">
        <v>128</v>
      </c>
      <c r="B189" s="138">
        <f>'Assets-Liab 5-6'!G39</f>
        <v>162516</v>
      </c>
      <c r="D189" s="2" t="str">
        <f t="shared" si="1"/>
        <v>Error?</v>
      </c>
    </row>
    <row r="190" spans="1:4" x14ac:dyDescent="0.2">
      <c r="A190" s="5">
        <v>129</v>
      </c>
      <c r="B190" s="138">
        <f>'Assets-Liab 5-6'!G41</f>
        <v>301592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71987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10139</v>
      </c>
      <c r="D212" s="2" t="str">
        <f t="shared" si="2"/>
        <v>Error?</v>
      </c>
    </row>
    <row r="213" spans="1:4" x14ac:dyDescent="0.2">
      <c r="A213" s="12">
        <v>152</v>
      </c>
      <c r="B213" s="138">
        <f>'Assets-Liab 5-6'!H41</f>
        <v>71987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21576</v>
      </c>
      <c r="D273" s="2" t="str">
        <f t="shared" si="3"/>
        <v>Error?</v>
      </c>
    </row>
    <row r="274" spans="1:4" x14ac:dyDescent="0.2">
      <c r="A274" s="5">
        <v>213</v>
      </c>
      <c r="B274" s="138">
        <f>'Assets-Liab 5-6'!M17</f>
        <v>2136010</v>
      </c>
      <c r="D274" s="2" t="str">
        <f t="shared" si="3"/>
        <v>Error?</v>
      </c>
    </row>
    <row r="275" spans="1:4" x14ac:dyDescent="0.2">
      <c r="A275" s="5">
        <v>214</v>
      </c>
      <c r="B275" s="138">
        <f>'Assets-Liab 5-6'!M18</f>
        <v>584330</v>
      </c>
      <c r="D275" s="2" t="str">
        <f t="shared" si="3"/>
        <v>Error?</v>
      </c>
    </row>
    <row r="276" spans="1:4" x14ac:dyDescent="0.2">
      <c r="A276" s="5">
        <v>215</v>
      </c>
      <c r="B276" s="138">
        <f>'Assets-Liab 5-6'!M19</f>
        <v>964933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3715394</v>
      </c>
      <c r="C279" s="2" t="s">
        <v>573</v>
      </c>
      <c r="D279" s="2" t="str">
        <f t="shared" si="3"/>
        <v>Error?</v>
      </c>
    </row>
    <row r="280" spans="1:4" x14ac:dyDescent="0.2">
      <c r="A280" s="5">
        <v>219</v>
      </c>
      <c r="B280" s="138">
        <f>'Assets-Liab 5-6'!M40</f>
        <v>3715394</v>
      </c>
      <c r="D280" s="2" t="str">
        <f t="shared" si="3"/>
        <v>Error?</v>
      </c>
    </row>
    <row r="281" spans="1:4" x14ac:dyDescent="0.2">
      <c r="A281" s="5">
        <v>220</v>
      </c>
      <c r="B281" s="138">
        <f>'Assets-Liab 5-6'!M41</f>
        <v>3715394</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1154227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102790</v>
      </c>
      <c r="D717" s="2" t="str">
        <f t="shared" si="10"/>
        <v>Error?</v>
      </c>
    </row>
    <row r="718" spans="1:4" x14ac:dyDescent="0.2">
      <c r="A718" s="5">
        <v>657</v>
      </c>
      <c r="B718" s="138">
        <f>'Expenditures 15-22'!C14</f>
        <v>93350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1897018</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23814</v>
      </c>
      <c r="D722" s="2" t="str">
        <f t="shared" si="10"/>
        <v>Error?</v>
      </c>
    </row>
    <row r="723" spans="1:4" x14ac:dyDescent="0.2">
      <c r="A723" s="5">
        <v>662</v>
      </c>
      <c r="B723" s="138">
        <f>'Expenditures 15-22'!C38</f>
        <v>12014</v>
      </c>
      <c r="D723" s="2" t="str">
        <f t="shared" si="10"/>
        <v>Error?</v>
      </c>
    </row>
    <row r="724" spans="1:4" x14ac:dyDescent="0.2">
      <c r="A724" s="5">
        <v>663</v>
      </c>
      <c r="B724" s="138">
        <f>'Expenditures 15-22'!C39</f>
        <v>40494</v>
      </c>
      <c r="D724" s="2" t="str">
        <f t="shared" si="10"/>
        <v>Error?</v>
      </c>
    </row>
    <row r="725" spans="1:4" x14ac:dyDescent="0.2">
      <c r="A725" s="5">
        <v>664</v>
      </c>
      <c r="B725" s="138">
        <f>'Expenditures 15-22'!C40</f>
        <v>53299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129621</v>
      </c>
      <c r="C727" s="2" t="s">
        <v>573</v>
      </c>
      <c r="D727" s="2" t="str">
        <f t="shared" si="10"/>
        <v>Error?</v>
      </c>
    </row>
    <row r="728" spans="1:4" x14ac:dyDescent="0.2">
      <c r="A728" s="5">
        <v>667</v>
      </c>
      <c r="B728" s="138">
        <f>'Expenditures 15-22'!C44</f>
        <v>8544</v>
      </c>
      <c r="D728" s="2" t="str">
        <f t="shared" si="10"/>
        <v>Error?</v>
      </c>
    </row>
    <row r="729" spans="1:4" x14ac:dyDescent="0.2">
      <c r="A729" s="5">
        <v>668</v>
      </c>
      <c r="B729" s="138">
        <f>'Expenditures 15-22'!C45</f>
        <v>37943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46487</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153547</v>
      </c>
      <c r="D733" s="2" t="str">
        <f t="shared" si="10"/>
        <v>Error?</v>
      </c>
    </row>
    <row r="734" spans="1:4" x14ac:dyDescent="0.2">
      <c r="A734" s="5">
        <v>673</v>
      </c>
      <c r="B734" s="138">
        <f>'Expenditures 15-22'!C53</f>
        <v>166097</v>
      </c>
      <c r="C734" s="2" t="s">
        <v>573</v>
      </c>
      <c r="D734" s="2" t="str">
        <f t="shared" si="10"/>
        <v>Error?</v>
      </c>
    </row>
    <row r="735" spans="1:4" x14ac:dyDescent="0.2">
      <c r="A735" s="5">
        <v>674</v>
      </c>
      <c r="B735" s="138">
        <f>'Expenditures 15-22'!C55</f>
        <v>348698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348698</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50784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18579</v>
      </c>
      <c r="D741" s="2" t="str">
        <f t="shared" si="10"/>
        <v>Error?</v>
      </c>
    </row>
    <row r="742" spans="1:4" x14ac:dyDescent="0.2">
      <c r="A742" s="5">
        <v>681</v>
      </c>
      <c r="B742" s="138">
        <f>'Expenditures 15-22'!C63</f>
        <v>91800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161163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852066</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2749084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322028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39129</v>
      </c>
      <c r="D775" s="2" t="str">
        <f t="shared" si="11"/>
        <v>Error?</v>
      </c>
    </row>
    <row r="776" spans="1:4" x14ac:dyDescent="0.2">
      <c r="A776" s="5">
        <v>715</v>
      </c>
      <c r="B776" s="138">
        <f>'Expenditures 15-22'!D14</f>
        <v>6941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521783</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2636</v>
      </c>
      <c r="D780" s="2" t="str">
        <f t="shared" si="11"/>
        <v>Error?</v>
      </c>
    </row>
    <row r="781" spans="1:4" x14ac:dyDescent="0.2">
      <c r="A781" s="5">
        <v>720</v>
      </c>
      <c r="B781" s="138">
        <f>'Expenditures 15-22'!D38</f>
        <v>0</v>
      </c>
      <c r="D781" s="2" t="str">
        <f t="shared" si="11"/>
        <v>Error?</v>
      </c>
    </row>
    <row r="782" spans="1:4" x14ac:dyDescent="0.2">
      <c r="A782" s="5">
        <v>721</v>
      </c>
      <c r="B782" s="138">
        <f>'Expenditures 15-22'!D39</f>
        <v>12414</v>
      </c>
      <c r="D782" s="2" t="str">
        <f t="shared" si="11"/>
        <v>Error?</v>
      </c>
    </row>
    <row r="783" spans="1:4" x14ac:dyDescent="0.2">
      <c r="A783" s="5">
        <v>722</v>
      </c>
      <c r="B783" s="138">
        <f>'Expenditures 15-22'!D40</f>
        <v>15265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30315</v>
      </c>
      <c r="C785" s="2" t="s">
        <v>573</v>
      </c>
      <c r="D785" s="2" t="str">
        <f t="shared" si="11"/>
        <v>Error?</v>
      </c>
    </row>
    <row r="786" spans="1:4" x14ac:dyDescent="0.2">
      <c r="A786" s="5">
        <v>725</v>
      </c>
      <c r="B786" s="138">
        <f>'Expenditures 15-22'!D44</f>
        <v>1678</v>
      </c>
      <c r="D786" s="2" t="str">
        <f t="shared" si="11"/>
        <v>Error?</v>
      </c>
    </row>
    <row r="787" spans="1:4" x14ac:dyDescent="0.2">
      <c r="A787" s="5">
        <v>726</v>
      </c>
      <c r="B787" s="138">
        <f>'Expenditures 15-22'!D45</f>
        <v>13503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15181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23276</v>
      </c>
      <c r="D791" s="2" t="str">
        <f t="shared" si="11"/>
        <v>Error?</v>
      </c>
    </row>
    <row r="792" spans="1:4" x14ac:dyDescent="0.2">
      <c r="A792" s="5">
        <v>731</v>
      </c>
      <c r="B792" s="138">
        <f>'Expenditures 15-22'!D53</f>
        <v>23276</v>
      </c>
      <c r="C792" s="2" t="s">
        <v>573</v>
      </c>
      <c r="D792" s="2" t="str">
        <f t="shared" si="11"/>
        <v>Error?</v>
      </c>
    </row>
    <row r="793" spans="1:4" x14ac:dyDescent="0.2">
      <c r="A793" s="5">
        <v>732</v>
      </c>
      <c r="B793" s="138">
        <f>'Expenditures 15-22'!D55</f>
        <v>104418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104418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37939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37939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211129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732912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91637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1245</v>
      </c>
      <c r="D833" s="2" t="str">
        <f t="shared" si="12"/>
        <v>Error?</v>
      </c>
    </row>
    <row r="834" spans="1:4" x14ac:dyDescent="0.2">
      <c r="A834" s="5">
        <v>773</v>
      </c>
      <c r="B834" s="138">
        <f>'Expenditures 15-22'!E14</f>
        <v>24923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154132</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3900</v>
      </c>
      <c r="D838" s="2" t="str">
        <f t="shared" si="12"/>
        <v>Error?</v>
      </c>
    </row>
    <row r="839" spans="1:4" x14ac:dyDescent="0.2">
      <c r="A839" s="5">
        <v>778</v>
      </c>
      <c r="B839" s="138">
        <f>'Expenditures 15-22'!E38</f>
        <v>236</v>
      </c>
      <c r="D839" s="2" t="str">
        <f t="shared" si="12"/>
        <v>Error?</v>
      </c>
    </row>
    <row r="840" spans="1:4" x14ac:dyDescent="0.2">
      <c r="A840" s="5">
        <v>779</v>
      </c>
      <c r="B840" s="138">
        <f>'Expenditures 15-22'!E39</f>
        <v>110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4246</v>
      </c>
      <c r="C843" s="2" t="s">
        <v>573</v>
      </c>
      <c r="D843" s="2" t="str">
        <f t="shared" si="12"/>
        <v>Error?</v>
      </c>
    </row>
    <row r="844" spans="1:4" x14ac:dyDescent="0.2">
      <c r="A844" s="5">
        <v>783</v>
      </c>
      <c r="B844" s="138">
        <f>'Expenditures 15-22'!E44</f>
        <v>14119</v>
      </c>
      <c r="D844" s="2" t="str">
        <f t="shared" si="12"/>
        <v>Error?</v>
      </c>
    </row>
    <row r="845" spans="1:4" x14ac:dyDescent="0.2">
      <c r="A845" s="5">
        <v>784</v>
      </c>
      <c r="B845" s="138">
        <f>'Expenditures 15-22'!E45</f>
        <v>2250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16369</v>
      </c>
      <c r="C847" s="2" t="s">
        <v>573</v>
      </c>
      <c r="D847" s="2" t="str">
        <f t="shared" si="12"/>
        <v>Error?</v>
      </c>
    </row>
    <row r="848" spans="1:4" x14ac:dyDescent="0.2">
      <c r="A848" s="5">
        <v>787</v>
      </c>
      <c r="B848" s="138">
        <f>'Expenditures 15-22'!E49</f>
        <v>40523</v>
      </c>
      <c r="D848" s="2" t="str">
        <f t="shared" si="12"/>
        <v>Error?</v>
      </c>
    </row>
    <row r="849" spans="1:4" x14ac:dyDescent="0.2">
      <c r="A849" s="5">
        <v>788</v>
      </c>
      <c r="B849" s="138">
        <f>'Expenditures 15-22'!E50</f>
        <v>3399</v>
      </c>
      <c r="D849" s="2" t="str">
        <f t="shared" si="12"/>
        <v>Error?</v>
      </c>
    </row>
    <row r="850" spans="1:4" x14ac:dyDescent="0.2">
      <c r="A850" s="5">
        <v>789</v>
      </c>
      <c r="B850" s="138">
        <f>'Expenditures 15-22'!E53</f>
        <v>43922</v>
      </c>
      <c r="C850" s="2" t="s">
        <v>573</v>
      </c>
      <c r="D850" s="2" t="str">
        <f t="shared" si="12"/>
        <v>Error?</v>
      </c>
    </row>
    <row r="851" spans="1:4" x14ac:dyDescent="0.2">
      <c r="A851" s="5">
        <v>790</v>
      </c>
      <c r="B851" s="138">
        <f>'Expenditures 15-22'!E55</f>
        <v>1692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1692</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2393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2308</v>
      </c>
      <c r="D858" s="2" t="str">
        <f t="shared" si="12"/>
        <v>Error?</v>
      </c>
    </row>
    <row r="859" spans="1:4" x14ac:dyDescent="0.2">
      <c r="A859" s="5">
        <v>798</v>
      </c>
      <c r="B859" s="138">
        <f>'Expenditures 15-22'!E64</f>
        <v>10224</v>
      </c>
      <c r="D859" s="2" t="str">
        <f t="shared" si="12"/>
        <v>Error?</v>
      </c>
    </row>
    <row r="860" spans="1:4" x14ac:dyDescent="0.2">
      <c r="A860" s="10">
        <v>799</v>
      </c>
      <c r="D860" s="2" t="str">
        <f t="shared" si="12"/>
        <v>OK</v>
      </c>
    </row>
    <row r="861" spans="1:4" x14ac:dyDescent="0.2">
      <c r="A861" s="5">
        <v>800</v>
      </c>
      <c r="B861" s="138">
        <f>'Expenditures 15-22'!E65</f>
        <v>14925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8056</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8056</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89210</v>
      </c>
      <c r="C871" s="2" t="s">
        <v>573</v>
      </c>
      <c r="D871" s="2" t="str">
        <f t="shared" si="12"/>
        <v>Error?</v>
      </c>
    </row>
    <row r="872" spans="1:4" x14ac:dyDescent="0.2">
      <c r="A872" s="5">
        <v>811</v>
      </c>
      <c r="B872" s="138">
        <f>'Expenditures 15-22'!E75</f>
        <v>434</v>
      </c>
      <c r="D872" s="2" t="str">
        <f t="shared" si="12"/>
        <v>Error?</v>
      </c>
    </row>
    <row r="873" spans="1:4" x14ac:dyDescent="0.2">
      <c r="A873" s="5">
        <v>812</v>
      </c>
      <c r="B873" s="138">
        <f>'Expenditures 15-22'!E114</f>
        <v>243776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40352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6294</v>
      </c>
      <c r="D891" s="2" t="str">
        <f t="shared" si="12"/>
        <v>Error?</v>
      </c>
    </row>
    <row r="892" spans="1:4" x14ac:dyDescent="0.2">
      <c r="A892" s="5">
        <v>831</v>
      </c>
      <c r="B892" s="138">
        <f>'Expenditures 15-22'!F14</f>
        <v>11494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121892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390</v>
      </c>
      <c r="D898" s="2" t="str">
        <f t="shared" si="13"/>
        <v>Error?</v>
      </c>
    </row>
    <row r="899" spans="1:4" x14ac:dyDescent="0.2">
      <c r="A899" s="5">
        <v>838</v>
      </c>
      <c r="B899" s="138">
        <f>'Expenditures 15-22'!F40</f>
        <v>695</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1085</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88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88</v>
      </c>
      <c r="C905" s="2" t="s">
        <v>573</v>
      </c>
      <c r="D905" s="2" t="str">
        <f t="shared" si="13"/>
        <v>Error?</v>
      </c>
    </row>
    <row r="906" spans="1:4" x14ac:dyDescent="0.2">
      <c r="A906" s="5">
        <v>845</v>
      </c>
      <c r="B906" s="138">
        <f>'Expenditures 15-22'!F49</f>
        <v>1007</v>
      </c>
      <c r="D906" s="2" t="str">
        <f t="shared" si="13"/>
        <v>Error?</v>
      </c>
    </row>
    <row r="907" spans="1:4" x14ac:dyDescent="0.2">
      <c r="A907" s="5">
        <v>846</v>
      </c>
      <c r="B907" s="138">
        <f>'Expenditures 15-22'!F50</f>
        <v>3871</v>
      </c>
      <c r="D907" s="2" t="str">
        <f t="shared" si="13"/>
        <v>Error?</v>
      </c>
    </row>
    <row r="908" spans="1:4" x14ac:dyDescent="0.2">
      <c r="A908" s="5">
        <v>847</v>
      </c>
      <c r="B908" s="138">
        <f>'Expenditures 15-22'!F53</f>
        <v>4958</v>
      </c>
      <c r="C908" s="2" t="s">
        <v>573</v>
      </c>
      <c r="D908" s="2" t="str">
        <f t="shared" si="13"/>
        <v>Error?</v>
      </c>
    </row>
    <row r="909" spans="1:4" x14ac:dyDescent="0.2">
      <c r="A909" s="5">
        <v>848</v>
      </c>
      <c r="B909" s="138">
        <f>'Expenditures 15-22'!F55</f>
        <v>2207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2207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301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131872</v>
      </c>
      <c r="D916" s="2" t="str">
        <f t="shared" si="13"/>
        <v>Error?</v>
      </c>
    </row>
    <row r="917" spans="1:4" x14ac:dyDescent="0.2">
      <c r="A917" s="5">
        <v>856</v>
      </c>
      <c r="B917" s="138">
        <f>'Expenditures 15-22'!F64</f>
        <v>6941</v>
      </c>
      <c r="D917" s="2" t="str">
        <f t="shared" si="13"/>
        <v>Error?</v>
      </c>
    </row>
    <row r="918" spans="1:4" x14ac:dyDescent="0.2">
      <c r="A918" s="10">
        <v>857</v>
      </c>
      <c r="D918" s="2" t="str">
        <f t="shared" si="13"/>
        <v>OK</v>
      </c>
    </row>
    <row r="919" spans="1:4" x14ac:dyDescent="0.2">
      <c r="A919" s="5">
        <v>858</v>
      </c>
      <c r="B919" s="138">
        <f>'Expenditures 15-22'!F65</f>
        <v>139114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147452</v>
      </c>
      <c r="C929" s="2" t="s">
        <v>573</v>
      </c>
      <c r="D929" s="2" t="str">
        <f t="shared" si="13"/>
        <v>Error?</v>
      </c>
    </row>
    <row r="930" spans="1:4" x14ac:dyDescent="0.2">
      <c r="A930" s="5">
        <v>869</v>
      </c>
      <c r="B930" s="138">
        <f>'Expenditures 15-22'!F75</f>
        <v>1009</v>
      </c>
      <c r="D930" s="2" t="str">
        <f t="shared" si="13"/>
        <v>Error?</v>
      </c>
    </row>
    <row r="931" spans="1:4" x14ac:dyDescent="0.2">
      <c r="A931" s="5">
        <v>870</v>
      </c>
      <c r="B931" s="138">
        <f>'Expenditures 15-22'!F114</f>
        <v>270353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17309</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25031</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25031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111</v>
      </c>
      <c r="D1009" s="2" t="str">
        <f t="shared" si="14"/>
        <v>Error?</v>
      </c>
    </row>
    <row r="1010" spans="1:4" x14ac:dyDescent="0.2">
      <c r="A1010" s="5">
        <v>949</v>
      </c>
      <c r="B1010" s="138">
        <f>'Expenditures 15-22'!H33</f>
        <v>1261</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65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65</v>
      </c>
      <c r="C1021" s="2" t="s">
        <v>573</v>
      </c>
      <c r="D1021" s="2" t="str">
        <f t="shared" si="14"/>
        <v>Error?</v>
      </c>
    </row>
    <row r="1022" spans="1:4" x14ac:dyDescent="0.2">
      <c r="A1022" s="5">
        <v>961</v>
      </c>
      <c r="B1022" s="138">
        <f>'Expenditures 15-22'!H49</f>
        <v>446</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446</v>
      </c>
      <c r="C1024" s="2" t="s">
        <v>573</v>
      </c>
      <c r="D1024" s="2" t="str">
        <f t="shared" si="15"/>
        <v>Error?</v>
      </c>
    </row>
    <row r="1025" spans="1:4" x14ac:dyDescent="0.2">
      <c r="A1025" s="5">
        <v>964</v>
      </c>
      <c r="B1025" s="138">
        <f>'Expenditures 15-22'!H55</f>
        <v>580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580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1091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358716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361068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1608916</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149458</v>
      </c>
      <c r="C1105" s="2" t="s">
        <v>573</v>
      </c>
      <c r="D1105" s="2" t="str">
        <f t="shared" si="16"/>
        <v>Error?</v>
      </c>
    </row>
    <row r="1106" spans="1:4" x14ac:dyDescent="0.2">
      <c r="A1106" s="5">
        <v>1045</v>
      </c>
      <c r="B1106" s="138">
        <f>'Expenditures 15-22'!K14</f>
        <v>154017</v>
      </c>
      <c r="C1106" s="2" t="s">
        <v>573</v>
      </c>
      <c r="D1106" s="2" t="str">
        <f t="shared" si="16"/>
        <v>Error?</v>
      </c>
    </row>
    <row r="1107" spans="1:4" x14ac:dyDescent="0.2">
      <c r="A1107" s="5">
        <v>1046</v>
      </c>
      <c r="B1107" s="138">
        <f>'Expenditures 15-22'!K15</f>
        <v>111</v>
      </c>
      <c r="C1107" s="2" t="s">
        <v>573</v>
      </c>
      <c r="D1107" s="2" t="str">
        <f t="shared" si="16"/>
        <v>Error?</v>
      </c>
    </row>
    <row r="1108" spans="1:4" x14ac:dyDescent="0.2">
      <c r="A1108" s="5">
        <v>1047</v>
      </c>
      <c r="B1108" s="138">
        <f>'Expenditures 15-22'!K33</f>
        <v>2723035</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30350</v>
      </c>
      <c r="C1110" s="2" t="s">
        <v>573</v>
      </c>
      <c r="D1110" s="2" t="str">
        <f t="shared" si="16"/>
        <v>Error?</v>
      </c>
    </row>
    <row r="1111" spans="1:4" x14ac:dyDescent="0.2">
      <c r="A1111" s="5">
        <v>1050</v>
      </c>
      <c r="B1111" s="138">
        <f>'Expenditures 15-22'!K38</f>
        <v>12250</v>
      </c>
      <c r="C1111" s="2" t="s">
        <v>573</v>
      </c>
      <c r="D1111" s="2" t="str">
        <f t="shared" si="16"/>
        <v>Error?</v>
      </c>
    </row>
    <row r="1112" spans="1:4" x14ac:dyDescent="0.2">
      <c r="A1112" s="5">
        <v>1051</v>
      </c>
      <c r="B1112" s="138">
        <f>'Expenditures 15-22'!K39</f>
        <v>53408</v>
      </c>
      <c r="C1112" s="2" t="s">
        <v>573</v>
      </c>
      <c r="D1112" s="2" t="str">
        <f t="shared" si="16"/>
        <v>Error?</v>
      </c>
    </row>
    <row r="1113" spans="1:4" x14ac:dyDescent="0.2">
      <c r="A1113" s="5">
        <v>1052</v>
      </c>
      <c r="B1113" s="138">
        <f>'Expenditures 15-22'!K40</f>
        <v>69259</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165267</v>
      </c>
      <c r="C1115" s="2" t="s">
        <v>573</v>
      </c>
      <c r="D1115" s="2" t="str">
        <f t="shared" si="16"/>
        <v>Error?</v>
      </c>
    </row>
    <row r="1116" spans="1:4" x14ac:dyDescent="0.2">
      <c r="A1116" s="5">
        <v>1055</v>
      </c>
      <c r="B1116" s="138">
        <f>'Expenditures 15-22'!K44</f>
        <v>24406</v>
      </c>
      <c r="C1116" s="2" t="s">
        <v>573</v>
      </c>
      <c r="D1116" s="2" t="str">
        <f t="shared" si="16"/>
        <v>Error?</v>
      </c>
    </row>
    <row r="1117" spans="1:4" x14ac:dyDescent="0.2">
      <c r="A1117" s="5">
        <v>1056</v>
      </c>
      <c r="B1117" s="138">
        <f>'Expenditures 15-22'!K45</f>
        <v>53784</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78190</v>
      </c>
      <c r="C1119" s="2" t="s">
        <v>573</v>
      </c>
      <c r="D1119" s="2" t="str">
        <f t="shared" si="16"/>
        <v>Error?</v>
      </c>
    </row>
    <row r="1120" spans="1:4" x14ac:dyDescent="0.2">
      <c r="A1120" s="5">
        <v>1059</v>
      </c>
      <c r="B1120" s="138">
        <f>'Expenditures 15-22'!K49</f>
        <v>41976</v>
      </c>
      <c r="C1120" s="2" t="s">
        <v>573</v>
      </c>
      <c r="D1120" s="2" t="str">
        <f t="shared" si="16"/>
        <v>Error?</v>
      </c>
    </row>
    <row r="1121" spans="1:4" x14ac:dyDescent="0.2">
      <c r="A1121" s="5">
        <v>1060</v>
      </c>
      <c r="B1121" s="138">
        <f>'Expenditures 15-22'!K50</f>
        <v>184093</v>
      </c>
      <c r="C1121" s="2" t="s">
        <v>573</v>
      </c>
      <c r="D1121" s="2" t="str">
        <f t="shared" si="16"/>
        <v>Error?</v>
      </c>
    </row>
    <row r="1122" spans="1:4" x14ac:dyDescent="0.2">
      <c r="A1122" s="5">
        <v>1061</v>
      </c>
      <c r="B1122" s="138">
        <f>'Expenditures 15-22'!K53</f>
        <v>238699</v>
      </c>
      <c r="C1122" s="2" t="s">
        <v>573</v>
      </c>
      <c r="D1122" s="2" t="str">
        <f t="shared" si="16"/>
        <v>Error?</v>
      </c>
    </row>
    <row r="1123" spans="1:4" x14ac:dyDescent="0.2">
      <c r="A1123" s="5">
        <v>1062</v>
      </c>
      <c r="B1123" s="138">
        <f>'Expenditures 15-22'!K55</f>
        <v>460145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460145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53478</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18579</v>
      </c>
      <c r="C1129" s="2" t="s">
        <v>573</v>
      </c>
      <c r="D1129" s="2" t="str">
        <f t="shared" si="16"/>
        <v>Error?</v>
      </c>
    </row>
    <row r="1130" spans="1:4" x14ac:dyDescent="0.2">
      <c r="A1130" s="5">
        <v>1069</v>
      </c>
      <c r="B1130" s="138">
        <f>'Expenditures 15-22'!K63</f>
        <v>266469</v>
      </c>
      <c r="C1130" s="2" t="s">
        <v>573</v>
      </c>
      <c r="D1130" s="2" t="str">
        <f t="shared" si="16"/>
        <v>Error?</v>
      </c>
    </row>
    <row r="1131" spans="1:4" x14ac:dyDescent="0.2">
      <c r="A1131" s="5">
        <v>1070</v>
      </c>
      <c r="B1131" s="138">
        <f>'Expenditures 15-22'!K64</f>
        <v>17165</v>
      </c>
      <c r="C1131" s="2" t="s">
        <v>573</v>
      </c>
      <c r="D1131" s="2" t="str">
        <f t="shared" si="16"/>
        <v>Error?</v>
      </c>
    </row>
    <row r="1132" spans="1:4" x14ac:dyDescent="0.2">
      <c r="A1132" s="10">
        <v>1071</v>
      </c>
      <c r="D1132" s="2" t="str">
        <f t="shared" si="16"/>
        <v>OK</v>
      </c>
    </row>
    <row r="1133" spans="1:4" x14ac:dyDescent="0.2">
      <c r="A1133" s="5">
        <v>1072</v>
      </c>
      <c r="B1133" s="138">
        <f>'Expenditures 15-22'!K65</f>
        <v>355691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8056</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8056</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1306048</v>
      </c>
      <c r="C1143" s="2" t="s">
        <v>573</v>
      </c>
      <c r="D1143" s="2" t="str">
        <f t="shared" si="16"/>
        <v>Error?</v>
      </c>
    </row>
    <row r="1144" spans="1:4" x14ac:dyDescent="0.2">
      <c r="A1144" s="5">
        <v>1083</v>
      </c>
      <c r="B1144" s="138">
        <f>'Expenditures 15-22'!K75</f>
        <v>1443</v>
      </c>
      <c r="C1144" s="2" t="s">
        <v>573</v>
      </c>
      <c r="D1144" s="2" t="str">
        <f t="shared" si="16"/>
        <v>Error?</v>
      </c>
    </row>
    <row r="1145" spans="1:4" x14ac:dyDescent="0.2">
      <c r="A1145" s="5">
        <v>1084</v>
      </c>
      <c r="B1145" s="138">
        <f>'Expenditures 15-22'!K102</f>
        <v>358716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4389242</v>
      </c>
      <c r="C1152" s="2" t="s">
        <v>573</v>
      </c>
      <c r="D1152" s="2" t="str">
        <f t="shared" si="17"/>
        <v>Error?</v>
      </c>
    </row>
    <row r="1153" spans="1:4" x14ac:dyDescent="0.2">
      <c r="A1153" s="5">
        <v>1092</v>
      </c>
      <c r="B1153" s="138">
        <f>'Expenditures 15-22'!K115</f>
        <v>23563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167232</v>
      </c>
      <c r="D1221" s="2" t="str">
        <f t="shared" si="18"/>
        <v>Error?</v>
      </c>
    </row>
    <row r="1222" spans="1:4" x14ac:dyDescent="0.2">
      <c r="A1222" s="10">
        <v>1161</v>
      </c>
      <c r="D1222" s="2" t="str">
        <f t="shared" si="18"/>
        <v>OK</v>
      </c>
    </row>
    <row r="1223" spans="1:4" x14ac:dyDescent="0.2">
      <c r="A1223" s="5">
        <v>1162</v>
      </c>
      <c r="B1223" s="138">
        <f>'Expenditures 15-22'!C127</f>
        <v>167232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167232</v>
      </c>
      <c r="C1225" s="2" t="s">
        <v>573</v>
      </c>
      <c r="D1225" s="2" t="str">
        <f t="shared" si="18"/>
        <v>Error?</v>
      </c>
    </row>
    <row r="1226" spans="1:4" x14ac:dyDescent="0.2">
      <c r="A1226" s="5">
        <v>1165</v>
      </c>
      <c r="B1226" s="138">
        <f>'Expenditures 15-22'!C151</f>
        <v>167232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31815</v>
      </c>
      <c r="D1229" s="2" t="str">
        <f t="shared" si="18"/>
        <v>Error?</v>
      </c>
    </row>
    <row r="1230" spans="1:4" x14ac:dyDescent="0.2">
      <c r="A1230" s="10">
        <v>1169</v>
      </c>
      <c r="D1230" s="2" t="str">
        <f t="shared" si="18"/>
        <v>OK</v>
      </c>
    </row>
    <row r="1231" spans="1:4" x14ac:dyDescent="0.2">
      <c r="A1231" s="5">
        <v>1170</v>
      </c>
      <c r="B1231" s="138">
        <f>'Expenditures 15-22'!D127</f>
        <v>31815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31815</v>
      </c>
      <c r="C1233" s="2" t="s">
        <v>573</v>
      </c>
      <c r="D1233" s="2" t="str">
        <f t="shared" si="18"/>
        <v>Error?</v>
      </c>
    </row>
    <row r="1234" spans="1:4" x14ac:dyDescent="0.2">
      <c r="A1234" s="5">
        <v>1173</v>
      </c>
      <c r="B1234" s="138">
        <f>'Expenditures 15-22'!D151</f>
        <v>31815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45904</v>
      </c>
      <c r="D1237" s="2" t="str">
        <f t="shared" si="18"/>
        <v>Error?</v>
      </c>
    </row>
    <row r="1238" spans="1:4" x14ac:dyDescent="0.2">
      <c r="A1238" s="10">
        <v>1177</v>
      </c>
      <c r="D1238" s="2" t="str">
        <f t="shared" si="18"/>
        <v>OK</v>
      </c>
    </row>
    <row r="1239" spans="1:4" x14ac:dyDescent="0.2">
      <c r="A1239" s="5">
        <v>1178</v>
      </c>
      <c r="B1239" s="138">
        <f>'Expenditures 15-22'!E127</f>
        <v>45904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45904</v>
      </c>
      <c r="C1241" s="2" t="s">
        <v>573</v>
      </c>
      <c r="D1241" s="2" t="str">
        <f t="shared" si="18"/>
        <v>Error?</v>
      </c>
    </row>
    <row r="1242" spans="1:4" x14ac:dyDescent="0.2">
      <c r="A1242" s="5">
        <v>1181</v>
      </c>
      <c r="B1242" s="138">
        <f>'Expenditures 15-22'!E151</f>
        <v>45904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99527</v>
      </c>
      <c r="D1245" s="2" t="str">
        <f t="shared" si="18"/>
        <v>Error?</v>
      </c>
    </row>
    <row r="1246" spans="1:4" x14ac:dyDescent="0.2">
      <c r="A1246" s="10">
        <v>1185</v>
      </c>
      <c r="D1246" s="2" t="str">
        <f t="shared" si="18"/>
        <v>OK</v>
      </c>
    </row>
    <row r="1247" spans="1:4" x14ac:dyDescent="0.2">
      <c r="A1247" s="5">
        <v>1186</v>
      </c>
      <c r="B1247" s="138">
        <f>'Expenditures 15-22'!F127</f>
        <v>99527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99527</v>
      </c>
      <c r="C1249" s="2" t="s">
        <v>573</v>
      </c>
      <c r="D1249" s="2" t="str">
        <f t="shared" si="18"/>
        <v>Error?</v>
      </c>
    </row>
    <row r="1250" spans="1:4" x14ac:dyDescent="0.2">
      <c r="A1250" s="5">
        <v>1189</v>
      </c>
      <c r="B1250" s="138">
        <f>'Expenditures 15-22'!F151</f>
        <v>99527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9412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9412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9412</v>
      </c>
      <c r="C1258" s="2" t="s">
        <v>573</v>
      </c>
      <c r="D1258" s="2" t="str">
        <f t="shared" si="18"/>
        <v>Error?</v>
      </c>
    </row>
    <row r="1259" spans="1:4" x14ac:dyDescent="0.2">
      <c r="A1259" s="5">
        <v>1198</v>
      </c>
      <c r="B1259" s="138">
        <f>'Expenditures 15-22'!G151</f>
        <v>9412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360846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360846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360846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360846</v>
      </c>
      <c r="C1288" s="2" t="s">
        <v>573</v>
      </c>
      <c r="D1288" s="2" t="str">
        <f t="shared" si="19"/>
        <v>Error?</v>
      </c>
    </row>
    <row r="1289" spans="1:4" x14ac:dyDescent="0.2">
      <c r="A1289" s="5">
        <v>1228</v>
      </c>
      <c r="B1289" s="138">
        <f>'Expenditures 15-22'!K152</f>
        <v>-14789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282238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282238</v>
      </c>
      <c r="C1339" s="2" t="s">
        <v>573</v>
      </c>
      <c r="D1339" s="2" t="str">
        <f t="shared" si="19"/>
        <v>Error?</v>
      </c>
    </row>
    <row r="1340" spans="1:4" x14ac:dyDescent="0.2">
      <c r="A1340" s="5">
        <v>1279</v>
      </c>
      <c r="B1340" s="138">
        <f>'Expenditures 15-22'!C210</f>
        <v>282238</v>
      </c>
      <c r="C1340" s="2" t="s">
        <v>573</v>
      </c>
      <c r="D1340" s="2" t="str">
        <f t="shared" si="19"/>
        <v>Error?</v>
      </c>
    </row>
    <row r="1341" spans="1:4" x14ac:dyDescent="0.2">
      <c r="A1341" s="5">
        <v>1280</v>
      </c>
      <c r="B1341" s="138">
        <f>'Expenditures 15-22'!D182</f>
        <v>24208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24208</v>
      </c>
      <c r="C1345" s="2" t="s">
        <v>573</v>
      </c>
      <c r="D1345" s="2" t="str">
        <f t="shared" si="20"/>
        <v>Error?</v>
      </c>
    </row>
    <row r="1346" spans="1:4" x14ac:dyDescent="0.2">
      <c r="A1346" s="5">
        <v>1285</v>
      </c>
      <c r="B1346" s="138">
        <f>'Expenditures 15-22'!D210</f>
        <v>24208</v>
      </c>
      <c r="C1346" s="2" t="s">
        <v>573</v>
      </c>
      <c r="D1346" s="2" t="str">
        <f t="shared" si="20"/>
        <v>Error?</v>
      </c>
    </row>
    <row r="1347" spans="1:4" x14ac:dyDescent="0.2">
      <c r="A1347" s="5">
        <v>1286</v>
      </c>
      <c r="B1347" s="138">
        <f>'Expenditures 15-22'!E182</f>
        <v>152842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152842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152842</v>
      </c>
      <c r="C1353" s="2" t="s">
        <v>573</v>
      </c>
      <c r="D1353" s="2" t="str">
        <f t="shared" si="20"/>
        <v>Error?</v>
      </c>
    </row>
    <row r="1354" spans="1:4" x14ac:dyDescent="0.2">
      <c r="A1354" s="5">
        <v>1293</v>
      </c>
      <c r="B1354" s="138">
        <f>'Expenditures 15-22'!F182</f>
        <v>74354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74354</v>
      </c>
      <c r="C1358" s="2" t="s">
        <v>573</v>
      </c>
      <c r="D1358" s="2" t="str">
        <f t="shared" si="20"/>
        <v>Error?</v>
      </c>
    </row>
    <row r="1359" spans="1:4" x14ac:dyDescent="0.2">
      <c r="A1359" s="5">
        <v>1298</v>
      </c>
      <c r="B1359" s="138">
        <f>'Expenditures 15-22'!F210</f>
        <v>74354</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535405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535405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535405</v>
      </c>
      <c r="C1388" s="2" t="s">
        <v>573</v>
      </c>
      <c r="D1388" s="2" t="str">
        <f t="shared" si="20"/>
        <v>Error?</v>
      </c>
    </row>
    <row r="1389" spans="1:4" x14ac:dyDescent="0.2">
      <c r="A1389" s="5">
        <v>1328</v>
      </c>
      <c r="B1389" s="138">
        <f>'Expenditures 15-22'!K211</f>
        <v>7730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1398</v>
      </c>
      <c r="D1407" s="2" t="str">
        <f t="shared" ref="D1407:D1470" si="21">IF(ISBLANK(B1407),"OK",IF(A1407-B1407=0,"OK","Error?"))</f>
        <v>Error?</v>
      </c>
    </row>
    <row r="1408" spans="1:4" x14ac:dyDescent="0.2">
      <c r="A1408" s="5">
        <v>1347</v>
      </c>
      <c r="B1408" s="138">
        <f>'Expenditures 15-22'!D223</f>
        <v>3783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64415</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342</v>
      </c>
      <c r="D1412" s="2" t="str">
        <f t="shared" si="21"/>
        <v>Error?</v>
      </c>
    </row>
    <row r="1413" spans="1:4" x14ac:dyDescent="0.2">
      <c r="A1413" s="5">
        <v>1352</v>
      </c>
      <c r="B1413" s="138">
        <f>'Expenditures 15-22'!D234</f>
        <v>919</v>
      </c>
      <c r="D1413" s="2" t="str">
        <f t="shared" si="21"/>
        <v>Error?</v>
      </c>
    </row>
    <row r="1414" spans="1:4" x14ac:dyDescent="0.2">
      <c r="A1414" s="5">
        <v>1353</v>
      </c>
      <c r="B1414" s="138">
        <f>'Expenditures 15-22'!D235</f>
        <v>576</v>
      </c>
      <c r="D1414" s="2" t="str">
        <f t="shared" si="21"/>
        <v>Error?</v>
      </c>
    </row>
    <row r="1415" spans="1:4" x14ac:dyDescent="0.2">
      <c r="A1415" s="5">
        <v>1354</v>
      </c>
      <c r="B1415" s="138">
        <f>'Expenditures 15-22'!D236</f>
        <v>747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2584</v>
      </c>
      <c r="C1417" s="2" t="s">
        <v>573</v>
      </c>
      <c r="D1417" s="2" t="str">
        <f t="shared" si="21"/>
        <v>Error?</v>
      </c>
    </row>
    <row r="1418" spans="1:4" x14ac:dyDescent="0.2">
      <c r="A1418" s="5">
        <v>1357</v>
      </c>
      <c r="B1418" s="138">
        <f>'Expenditures 15-22'!D240</f>
        <v>124</v>
      </c>
      <c r="D1418" s="2" t="str">
        <f t="shared" si="21"/>
        <v>Error?</v>
      </c>
    </row>
    <row r="1419" spans="1:4" x14ac:dyDescent="0.2">
      <c r="A1419" s="5">
        <v>1358</v>
      </c>
      <c r="B1419" s="138">
        <f>'Expenditures 15-22'!D241</f>
        <v>510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634</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8989</v>
      </c>
      <c r="D1423" s="2" t="str">
        <f t="shared" si="21"/>
        <v>Error?</v>
      </c>
    </row>
    <row r="1424" spans="1:4" x14ac:dyDescent="0.2">
      <c r="A1424" s="5">
        <v>1363</v>
      </c>
      <c r="B1424" s="138">
        <f>'Expenditures 15-22'!D257</f>
        <v>24129</v>
      </c>
      <c r="C1424" s="2" t="s">
        <v>573</v>
      </c>
      <c r="D1424" s="2" t="str">
        <f t="shared" si="21"/>
        <v>Error?</v>
      </c>
    </row>
    <row r="1425" spans="1:4" x14ac:dyDescent="0.2">
      <c r="A1425" s="5">
        <v>1364</v>
      </c>
      <c r="B1425" s="138">
        <f>'Expenditures 15-22'!D259</f>
        <v>21428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21428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9109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29383</v>
      </c>
      <c r="D1431" s="2" t="str">
        <f t="shared" si="21"/>
        <v>Error?</v>
      </c>
    </row>
    <row r="1432" spans="1:4" x14ac:dyDescent="0.2">
      <c r="A1432" s="5">
        <v>1371</v>
      </c>
      <c r="B1432" s="138">
        <f>'Expenditures 15-22'!D267</f>
        <v>45799</v>
      </c>
      <c r="D1432" s="2" t="str">
        <f t="shared" si="21"/>
        <v>Error?</v>
      </c>
    </row>
    <row r="1433" spans="1:4" x14ac:dyDescent="0.2">
      <c r="A1433" s="5">
        <v>1372</v>
      </c>
      <c r="B1433" s="138">
        <f>'Expenditures 15-22'!D268</f>
        <v>15662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99953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148728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213143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1398</v>
      </c>
      <c r="C1471" s="2" t="s">
        <v>573</v>
      </c>
      <c r="D1471" s="2" t="str">
        <f t="shared" ref="D1471:D1534" si="22">IF(ISBLANK(B1471),"OK",IF(A1471-B1471=0,"OK","Error?"))</f>
        <v>Error?</v>
      </c>
    </row>
    <row r="1472" spans="1:4" x14ac:dyDescent="0.2">
      <c r="A1472" s="5">
        <v>1411</v>
      </c>
      <c r="B1472" s="138">
        <f>'Expenditures 15-22'!K223</f>
        <v>3783</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64415</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342</v>
      </c>
      <c r="C1476" s="2" t="s">
        <v>573</v>
      </c>
      <c r="D1476" s="2" t="str">
        <f t="shared" si="22"/>
        <v>Error?</v>
      </c>
    </row>
    <row r="1477" spans="1:4" x14ac:dyDescent="0.2">
      <c r="A1477" s="5">
        <v>1416</v>
      </c>
      <c r="B1477" s="138">
        <f>'Expenditures 15-22'!K234</f>
        <v>919</v>
      </c>
      <c r="C1477" s="2" t="s">
        <v>573</v>
      </c>
      <c r="D1477" s="2" t="str">
        <f t="shared" si="22"/>
        <v>Error?</v>
      </c>
    </row>
    <row r="1478" spans="1:4" x14ac:dyDescent="0.2">
      <c r="A1478" s="5">
        <v>1417</v>
      </c>
      <c r="B1478" s="138">
        <f>'Expenditures 15-22'!K235</f>
        <v>576</v>
      </c>
      <c r="C1478" s="2" t="s">
        <v>573</v>
      </c>
      <c r="D1478" s="2" t="str">
        <f t="shared" si="22"/>
        <v>Error?</v>
      </c>
    </row>
    <row r="1479" spans="1:4" x14ac:dyDescent="0.2">
      <c r="A1479" s="5">
        <v>1418</v>
      </c>
      <c r="B1479" s="138">
        <f>'Expenditures 15-22'!K236</f>
        <v>747</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2584</v>
      </c>
      <c r="C1481" s="2" t="s">
        <v>573</v>
      </c>
      <c r="D1481" s="2" t="str">
        <f t="shared" si="22"/>
        <v>Error?</v>
      </c>
    </row>
    <row r="1482" spans="1:4" x14ac:dyDescent="0.2">
      <c r="A1482" s="5">
        <v>1421</v>
      </c>
      <c r="B1482" s="138">
        <f>'Expenditures 15-22'!K240</f>
        <v>124</v>
      </c>
      <c r="C1482" s="2" t="s">
        <v>573</v>
      </c>
      <c r="D1482" s="2" t="str">
        <f t="shared" si="22"/>
        <v>Error?</v>
      </c>
    </row>
    <row r="1483" spans="1:4" x14ac:dyDescent="0.2">
      <c r="A1483" s="5">
        <v>1422</v>
      </c>
      <c r="B1483" s="138">
        <f>'Expenditures 15-22'!K241</f>
        <v>510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634</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8989</v>
      </c>
      <c r="C1487" s="2" t="s">
        <v>573</v>
      </c>
      <c r="D1487" s="2" t="str">
        <f t="shared" si="22"/>
        <v>Error?</v>
      </c>
    </row>
    <row r="1488" spans="1:4" x14ac:dyDescent="0.2">
      <c r="A1488" s="5">
        <v>1427</v>
      </c>
      <c r="B1488" s="138">
        <f>'Expenditures 15-22'!K257</f>
        <v>24129</v>
      </c>
      <c r="C1488" s="2" t="s">
        <v>573</v>
      </c>
      <c r="D1488" s="2" t="str">
        <f t="shared" si="22"/>
        <v>Error?</v>
      </c>
    </row>
    <row r="1489" spans="1:4" x14ac:dyDescent="0.2">
      <c r="A1489" s="5">
        <v>1428</v>
      </c>
      <c r="B1489" s="138">
        <f>'Expenditures 15-22'!K259</f>
        <v>21428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21428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9109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29383</v>
      </c>
      <c r="C1495" s="2" t="s">
        <v>573</v>
      </c>
      <c r="D1495" s="2" t="str">
        <f t="shared" si="22"/>
        <v>Error?</v>
      </c>
    </row>
    <row r="1496" spans="1:4" x14ac:dyDescent="0.2">
      <c r="A1496" s="5">
        <v>1435</v>
      </c>
      <c r="B1496" s="138">
        <f>'Expenditures 15-22'!K267</f>
        <v>45799</v>
      </c>
      <c r="C1496" s="2" t="s">
        <v>573</v>
      </c>
      <c r="D1496" s="2" t="str">
        <f t="shared" si="22"/>
        <v>Error?</v>
      </c>
    </row>
    <row r="1497" spans="1:4" x14ac:dyDescent="0.2">
      <c r="A1497" s="5">
        <v>1436</v>
      </c>
      <c r="B1497" s="138">
        <f>'Expenditures 15-22'!K268</f>
        <v>15662</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99953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148728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213143</v>
      </c>
      <c r="C1517" s="2" t="s">
        <v>573</v>
      </c>
      <c r="D1517" s="2" t="str">
        <f t="shared" si="22"/>
        <v>Error?</v>
      </c>
    </row>
    <row r="1518" spans="1:4" x14ac:dyDescent="0.2">
      <c r="A1518" s="5">
        <v>1457</v>
      </c>
      <c r="B1518" s="138">
        <f>'Expenditures 15-22'!K296</f>
        <v>-37207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19833</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243717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267280</v>
      </c>
      <c r="C1630" s="2" t="s">
        <v>573</v>
      </c>
      <c r="D1630" s="2" t="str">
        <f t="shared" si="24"/>
        <v>Error?</v>
      </c>
    </row>
    <row r="1631" spans="1:4" x14ac:dyDescent="0.2">
      <c r="A1631" s="5">
        <v>1570</v>
      </c>
      <c r="B1631" s="138">
        <f>'Acct Summary 7-8'!D79</f>
        <v>1265385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1250596</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86885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94615</v>
      </c>
      <c r="C1672" s="2" t="s">
        <v>573</v>
      </c>
      <c r="D1672" s="2" t="str">
        <f t="shared" si="25"/>
        <v>Error?</v>
      </c>
    </row>
    <row r="1673" spans="1:4" x14ac:dyDescent="0.2">
      <c r="A1673" s="5">
        <v>1612</v>
      </c>
      <c r="B1673" s="138">
        <f>'Acct Summary 7-8'!G79</f>
        <v>333103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295896</v>
      </c>
      <c r="C1686" s="2" t="s">
        <v>573</v>
      </c>
      <c r="D1686" s="2" t="str">
        <f t="shared" si="25"/>
        <v>Error?</v>
      </c>
    </row>
    <row r="1687" spans="1:4" x14ac:dyDescent="0.2">
      <c r="A1687" s="5">
        <v>1626</v>
      </c>
      <c r="B1687" s="138">
        <f>'Acct Summary 7-8'!H79</f>
        <v>52154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71987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1518534</v>
      </c>
      <c r="C1744" s="2" t="s">
        <v>573</v>
      </c>
      <c r="D1744" s="2" t="str">
        <f t="shared" si="26"/>
        <v>Error?</v>
      </c>
    </row>
    <row r="1745" spans="1:5" x14ac:dyDescent="0.2">
      <c r="A1745" s="5">
        <v>1684</v>
      </c>
      <c r="B1745" s="138">
        <f>'Tax Sched 23'!B5</f>
        <v>330115</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132047</v>
      </c>
      <c r="C1747" s="2" t="s">
        <v>573</v>
      </c>
      <c r="D1747" s="2" t="str">
        <f t="shared" si="26"/>
        <v>Error?</v>
      </c>
    </row>
    <row r="1748" spans="1:5" x14ac:dyDescent="0.2">
      <c r="A1748" s="5">
        <v>1687</v>
      </c>
      <c r="B1748" s="138">
        <f>'Tax Sched 23'!B8</f>
        <v>84803</v>
      </c>
      <c r="C1748" s="2" t="s">
        <v>573</v>
      </c>
      <c r="D1748" s="2" t="str">
        <f t="shared" si="26"/>
        <v>Error?</v>
      </c>
    </row>
    <row r="1749" spans="1:5" x14ac:dyDescent="0.2">
      <c r="A1749" s="5">
        <v>1688</v>
      </c>
      <c r="B1749" s="138">
        <f>'Tax Sched 23'!B10</f>
        <v>33010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452263</v>
      </c>
      <c r="C1752" s="2" t="s">
        <v>573</v>
      </c>
      <c r="D1752" s="2" t="str">
        <f t="shared" si="26"/>
        <v>Error?</v>
      </c>
    </row>
    <row r="1753" spans="1:5" x14ac:dyDescent="0.2">
      <c r="A1753" s="5">
        <v>1692</v>
      </c>
      <c r="B1753" s="138">
        <f>'Tax Sched 23'!B12</f>
        <v>33010</v>
      </c>
      <c r="C1753" s="2" t="s">
        <v>573</v>
      </c>
      <c r="D1753" s="2" t="str">
        <f t="shared" si="26"/>
        <v>Error?</v>
      </c>
    </row>
    <row r="1754" spans="1:5" x14ac:dyDescent="0.2">
      <c r="A1754" s="5">
        <v>1693</v>
      </c>
      <c r="B1754" s="138">
        <f>'Tax Sched 23'!B14</f>
        <v>26410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2728006</v>
      </c>
      <c r="C1759" s="2" t="s">
        <v>573</v>
      </c>
      <c r="D1759" s="2" t="str">
        <f t="shared" si="26"/>
        <v>Error?</v>
      </c>
    </row>
    <row r="1760" spans="1:5" x14ac:dyDescent="0.2">
      <c r="A1760" s="5">
        <v>1699</v>
      </c>
      <c r="B1760" s="138">
        <f>'Tax Sched 23'!D4</f>
        <v>1518534</v>
      </c>
      <c r="C1760" s="2" t="s">
        <v>573</v>
      </c>
      <c r="D1760" s="2" t="str">
        <f t="shared" si="26"/>
        <v>Error?</v>
      </c>
    </row>
    <row r="1761" spans="1:5" x14ac:dyDescent="0.2">
      <c r="A1761" s="5">
        <v>1700</v>
      </c>
      <c r="B1761" s="138">
        <f>'Tax Sched 23'!D5</f>
        <v>330115</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132047</v>
      </c>
      <c r="C1763" s="2" t="s">
        <v>573</v>
      </c>
      <c r="D1763" s="2" t="str">
        <f t="shared" si="26"/>
        <v>Error?</v>
      </c>
    </row>
    <row r="1764" spans="1:5" x14ac:dyDescent="0.2">
      <c r="A1764" s="5">
        <v>1703</v>
      </c>
      <c r="B1764" s="138">
        <f>'Tax Sched 23'!D8</f>
        <v>84803</v>
      </c>
      <c r="C1764" s="2" t="s">
        <v>573</v>
      </c>
      <c r="D1764" s="2" t="str">
        <f t="shared" si="26"/>
        <v>Error?</v>
      </c>
    </row>
    <row r="1765" spans="1:5" x14ac:dyDescent="0.2">
      <c r="A1765" s="5">
        <v>1704</v>
      </c>
      <c r="B1765" s="138">
        <f>'Tax Sched 23'!D10</f>
        <v>33010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452263</v>
      </c>
      <c r="C1768" s="2" t="s">
        <v>573</v>
      </c>
      <c r="D1768" s="2" t="str">
        <f t="shared" si="26"/>
        <v>Error?</v>
      </c>
    </row>
    <row r="1769" spans="1:5" x14ac:dyDescent="0.2">
      <c r="A1769" s="5">
        <v>1708</v>
      </c>
      <c r="B1769" s="138">
        <f>'Tax Sched 23'!D12</f>
        <v>33010</v>
      </c>
      <c r="C1769" s="2" t="s">
        <v>573</v>
      </c>
      <c r="D1769" s="2" t="str">
        <f t="shared" si="26"/>
        <v>Error?</v>
      </c>
    </row>
    <row r="1770" spans="1:5" x14ac:dyDescent="0.2">
      <c r="A1770" s="5">
        <v>1709</v>
      </c>
      <c r="B1770" s="138">
        <f>'Tax Sched 23'!D14</f>
        <v>26410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2728006</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1596036</v>
      </c>
      <c r="C1792" s="2" t="s">
        <v>573</v>
      </c>
      <c r="D1792" s="2" t="str">
        <f t="shared" si="27"/>
        <v>Error?</v>
      </c>
    </row>
    <row r="1793" spans="1:4" x14ac:dyDescent="0.2">
      <c r="A1793" s="5">
        <v>1732</v>
      </c>
      <c r="B1793" s="138">
        <f>'Tax Sched 23'!F5</f>
        <v>346964</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138786</v>
      </c>
      <c r="C1795" s="2" t="s">
        <v>573</v>
      </c>
      <c r="D1795" s="2" t="str">
        <f t="shared" si="27"/>
        <v>Error?</v>
      </c>
    </row>
    <row r="1796" spans="1:4" x14ac:dyDescent="0.2">
      <c r="A1796" s="5">
        <v>1735</v>
      </c>
      <c r="B1796" s="138">
        <f>'Tax Sched 23'!F8</f>
        <v>75000</v>
      </c>
      <c r="C1796" s="2" t="s">
        <v>573</v>
      </c>
      <c r="D1796" s="2" t="str">
        <f t="shared" si="27"/>
        <v>Error?</v>
      </c>
    </row>
    <row r="1797" spans="1:4" x14ac:dyDescent="0.2">
      <c r="A1797" s="5">
        <v>1736</v>
      </c>
      <c r="B1797" s="138">
        <f>'Tax Sched 23'!F10</f>
        <v>34696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400001</v>
      </c>
      <c r="C1800" s="2" t="s">
        <v>573</v>
      </c>
      <c r="D1800" s="2" t="str">
        <f t="shared" si="27"/>
        <v>Error?</v>
      </c>
    </row>
    <row r="1801" spans="1:4" x14ac:dyDescent="0.2">
      <c r="A1801" s="5">
        <v>1740</v>
      </c>
      <c r="B1801" s="138">
        <f>'Tax Sched 23'!F12</f>
        <v>34696</v>
      </c>
      <c r="C1801" s="2" t="s">
        <v>573</v>
      </c>
      <c r="D1801" s="2" t="str">
        <f t="shared" si="27"/>
        <v>Error?</v>
      </c>
    </row>
    <row r="1802" spans="1:4" x14ac:dyDescent="0.2">
      <c r="A1802" s="5">
        <v>1741</v>
      </c>
      <c r="B1802" s="138">
        <f>'Tax Sched 23'!F14</f>
        <v>27757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2763633</v>
      </c>
      <c r="C1807" s="2" t="s">
        <v>573</v>
      </c>
      <c r="D1807" s="2" t="str">
        <f t="shared" si="27"/>
        <v>Error?</v>
      </c>
    </row>
    <row r="1808" spans="1:4" x14ac:dyDescent="0.2">
      <c r="A1808" s="5">
        <v>1747</v>
      </c>
      <c r="B1808" s="138">
        <f>'Tax Sched 23'!E4</f>
        <v>1596036</v>
      </c>
      <c r="D1808" s="2" t="str">
        <f t="shared" si="27"/>
        <v>Error?</v>
      </c>
    </row>
    <row r="1809" spans="1:4" x14ac:dyDescent="0.2">
      <c r="A1809" s="5">
        <v>1748</v>
      </c>
      <c r="B1809" s="138">
        <f>'Tax Sched 23'!E5</f>
        <v>346964</v>
      </c>
      <c r="D1809" s="2" t="str">
        <f t="shared" si="27"/>
        <v>Error?</v>
      </c>
    </row>
    <row r="1810" spans="1:4" x14ac:dyDescent="0.2">
      <c r="A1810" s="5">
        <v>1749</v>
      </c>
      <c r="B1810" s="138">
        <f>'Tax Sched 23'!E6</f>
        <v>0</v>
      </c>
      <c r="D1810" s="2" t="str">
        <f t="shared" si="27"/>
        <v>Error?</v>
      </c>
    </row>
    <row r="1811" spans="1:4" x14ac:dyDescent="0.2">
      <c r="A1811" s="5">
        <v>1750</v>
      </c>
      <c r="B1811" s="138">
        <f>'Tax Sched 23'!E7</f>
        <v>138786</v>
      </c>
      <c r="D1811" s="2" t="str">
        <f t="shared" si="27"/>
        <v>Error?</v>
      </c>
    </row>
    <row r="1812" spans="1:4" x14ac:dyDescent="0.2">
      <c r="A1812" s="5">
        <v>1751</v>
      </c>
      <c r="B1812" s="138">
        <f>'Tax Sched 23'!E8</f>
        <v>75000</v>
      </c>
      <c r="D1812" s="2" t="str">
        <f t="shared" si="27"/>
        <v>Error?</v>
      </c>
    </row>
    <row r="1813" spans="1:4" x14ac:dyDescent="0.2">
      <c r="A1813" s="5">
        <v>1752</v>
      </c>
      <c r="B1813" s="138">
        <f>'Tax Sched 23'!E10</f>
        <v>34696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400001</v>
      </c>
      <c r="D1816" s="2" t="str">
        <f t="shared" si="27"/>
        <v>Error?</v>
      </c>
    </row>
    <row r="1817" spans="1:4" x14ac:dyDescent="0.2">
      <c r="A1817" s="5">
        <v>1756</v>
      </c>
      <c r="B1817" s="138">
        <f>'Tax Sched 23'!E12</f>
        <v>34696</v>
      </c>
      <c r="D1817" s="2" t="str">
        <f t="shared" si="27"/>
        <v>Error?</v>
      </c>
    </row>
    <row r="1818" spans="1:4" x14ac:dyDescent="0.2">
      <c r="A1818" s="5">
        <v>1757</v>
      </c>
      <c r="B1818" s="138">
        <f>'Tax Sched 23'!E14</f>
        <v>27757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2763633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26410</v>
      </c>
      <c r="D1972" s="2" t="str">
        <f t="shared" si="29"/>
        <v>Error?</v>
      </c>
    </row>
    <row r="1973" spans="1:5" x14ac:dyDescent="0.2">
      <c r="A1973" s="5">
        <v>1912</v>
      </c>
      <c r="B1973" s="138">
        <f>'Rest Tax Levies-Tort Im 25'!H6</f>
        <v>5</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26415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26415</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21576</v>
      </c>
      <c r="D2008" s="2" t="str">
        <f t="shared" si="30"/>
        <v>Error?</v>
      </c>
    </row>
    <row r="2009" spans="1:4" x14ac:dyDescent="0.2">
      <c r="A2009" s="5">
        <v>1948</v>
      </c>
      <c r="B2009" s="138">
        <f>'Cap Outlay Deprec 26'!C8</f>
        <v>2943396</v>
      </c>
      <c r="D2009" s="2" t="str">
        <f t="shared" si="30"/>
        <v>Error?</v>
      </c>
    </row>
    <row r="2010" spans="1:4" x14ac:dyDescent="0.2">
      <c r="A2010" s="5">
        <v>1949</v>
      </c>
      <c r="B2010" s="138">
        <f>'Cap Outlay Deprec 26'!C10</f>
        <v>267350</v>
      </c>
      <c r="D2010" s="2" t="str">
        <f t="shared" si="30"/>
        <v>Error?</v>
      </c>
    </row>
    <row r="2011" spans="1:4" x14ac:dyDescent="0.2">
      <c r="A2011" s="5">
        <v>1950</v>
      </c>
      <c r="B2011" s="138">
        <f>'Cap Outlay Deprec 26'!C12</f>
        <v>145484</v>
      </c>
      <c r="D2011" s="2" t="str">
        <f t="shared" si="30"/>
        <v>Error?</v>
      </c>
    </row>
    <row r="2012" spans="1:4" x14ac:dyDescent="0.2">
      <c r="A2012" s="5">
        <v>1951</v>
      </c>
      <c r="B2012" s="138">
        <f>'Cap Outlay Deprec 26'!C13</f>
        <v>697813</v>
      </c>
      <c r="D2012" s="2" t="str">
        <f t="shared" si="30"/>
        <v>Error?</v>
      </c>
    </row>
    <row r="2013" spans="1:4" x14ac:dyDescent="0.2">
      <c r="A2013" s="5">
        <v>1952</v>
      </c>
      <c r="B2013" s="138">
        <f>'Cap Outlay Deprec 26'!C16</f>
        <v>4395589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350326</v>
      </c>
      <c r="D2016" s="2" t="str">
        <f t="shared" si="30"/>
        <v>Error?</v>
      </c>
    </row>
    <row r="2017" spans="1:4" x14ac:dyDescent="0.2">
      <c r="A2017" s="5">
        <v>1956</v>
      </c>
      <c r="B2017" s="138">
        <f>'Cap Outlay Deprec 26'!D12</f>
        <v>38611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628522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807386</v>
      </c>
      <c r="D2021" s="2" t="str">
        <f t="shared" si="30"/>
        <v>Error?</v>
      </c>
    </row>
    <row r="2022" spans="1:4" x14ac:dyDescent="0.2">
      <c r="A2022" s="5">
        <v>1961</v>
      </c>
      <c r="B2022" s="138">
        <f>'Cap Outlay Deprec 26'!E10</f>
        <v>33346</v>
      </c>
      <c r="D2022" s="2" t="str">
        <f t="shared" si="30"/>
        <v>Error?</v>
      </c>
    </row>
    <row r="2023" spans="1:4" x14ac:dyDescent="0.2">
      <c r="A2023" s="5">
        <v>1962</v>
      </c>
      <c r="B2023" s="138">
        <f>'Cap Outlay Deprec 26'!E12</f>
        <v>6219</v>
      </c>
      <c r="D2023" s="2" t="str">
        <f t="shared" si="30"/>
        <v>Error?</v>
      </c>
    </row>
    <row r="2024" spans="1:4" x14ac:dyDescent="0.2">
      <c r="A2024" s="5">
        <v>1963</v>
      </c>
      <c r="B2024" s="138">
        <f>'Cap Outlay Deprec 26'!E13</f>
        <v>135003</v>
      </c>
      <c r="D2024" s="2" t="str">
        <f t="shared" si="30"/>
        <v>Error?</v>
      </c>
    </row>
    <row r="2025" spans="1:4" x14ac:dyDescent="0.2">
      <c r="A2025" s="5">
        <v>1964</v>
      </c>
      <c r="B2025" s="138">
        <f>'Cap Outlay Deprec 26'!E16</f>
        <v>1308717</v>
      </c>
      <c r="C2025" s="2" t="s">
        <v>573</v>
      </c>
      <c r="D2025" s="2" t="str">
        <f t="shared" si="30"/>
        <v>Error?</v>
      </c>
    </row>
    <row r="2026" spans="1:4" x14ac:dyDescent="0.2">
      <c r="A2026" s="5">
        <v>1965</v>
      </c>
      <c r="B2026" s="138">
        <f>'Cap Outlay Deprec 26'!F5</f>
        <v>21576</v>
      </c>
      <c r="C2026" s="2" t="s">
        <v>573</v>
      </c>
      <c r="D2026" s="2" t="str">
        <f t="shared" si="30"/>
        <v>Error?</v>
      </c>
    </row>
    <row r="2027" spans="1:4" x14ac:dyDescent="0.2">
      <c r="A2027" s="5">
        <v>1966</v>
      </c>
      <c r="B2027" s="138">
        <f>'Cap Outlay Deprec 26'!F8</f>
        <v>2136010</v>
      </c>
      <c r="C2027" s="2" t="s">
        <v>573</v>
      </c>
      <c r="D2027" s="2" t="str">
        <f t="shared" si="30"/>
        <v>Error?</v>
      </c>
    </row>
    <row r="2028" spans="1:4" x14ac:dyDescent="0.2">
      <c r="A2028" s="5">
        <v>1967</v>
      </c>
      <c r="B2028" s="138">
        <f>'Cap Outlay Deprec 26'!F10</f>
        <v>584330</v>
      </c>
      <c r="C2028" s="2" t="s">
        <v>573</v>
      </c>
      <c r="D2028" s="2" t="str">
        <f t="shared" si="30"/>
        <v>Error?</v>
      </c>
    </row>
    <row r="2029" spans="1:4" x14ac:dyDescent="0.2">
      <c r="A2029" s="5">
        <v>1968</v>
      </c>
      <c r="B2029" s="138">
        <f>'Cap Outlay Deprec 26'!F12</f>
        <v>177876</v>
      </c>
      <c r="C2029" s="2" t="s">
        <v>573</v>
      </c>
      <c r="D2029" s="2" t="str">
        <f t="shared" si="30"/>
        <v>Error?</v>
      </c>
    </row>
    <row r="2030" spans="1:4" x14ac:dyDescent="0.2">
      <c r="A2030" s="5">
        <v>1969</v>
      </c>
      <c r="B2030" s="138">
        <f>'Cap Outlay Deprec 26'!F13</f>
        <v>562810</v>
      </c>
      <c r="C2030" s="2" t="s">
        <v>573</v>
      </c>
      <c r="D2030" s="2" t="str">
        <f t="shared" si="30"/>
        <v>Error?</v>
      </c>
    </row>
    <row r="2031" spans="1:4" x14ac:dyDescent="0.2">
      <c r="A2031" s="5">
        <v>1970</v>
      </c>
      <c r="B2031" s="138">
        <f>'Cap Outlay Deprec 26'!F16</f>
        <v>3715394</v>
      </c>
      <c r="C2031" s="2" t="s">
        <v>573</v>
      </c>
      <c r="D2031" s="2" t="str">
        <f t="shared" si="30"/>
        <v>Error?</v>
      </c>
    </row>
    <row r="2032" spans="1:4" x14ac:dyDescent="0.2">
      <c r="A2032" s="10">
        <v>1971</v>
      </c>
      <c r="D2032" s="2" t="str">
        <f t="shared" si="30"/>
        <v>OK</v>
      </c>
    </row>
    <row r="2033" spans="1:4" x14ac:dyDescent="0.2">
      <c r="A2033" s="5">
        <v>1972</v>
      </c>
      <c r="B2033" s="138">
        <f>'Cap Outlay Deprec 26'!H8</f>
        <v>2721171</v>
      </c>
      <c r="D2033" s="2" t="str">
        <f t="shared" si="30"/>
        <v>Error?</v>
      </c>
    </row>
    <row r="2034" spans="1:4" x14ac:dyDescent="0.2">
      <c r="A2034" s="5">
        <v>1973</v>
      </c>
      <c r="B2034" s="138">
        <f>'Cap Outlay Deprec 26'!H10</f>
        <v>100141</v>
      </c>
      <c r="D2034" s="2" t="str">
        <f t="shared" si="30"/>
        <v>Error?</v>
      </c>
    </row>
    <row r="2035" spans="1:4" x14ac:dyDescent="0.2">
      <c r="A2035" s="5">
        <v>1974</v>
      </c>
      <c r="B2035" s="138">
        <f>'Cap Outlay Deprec 26'!H12</f>
        <v>105524</v>
      </c>
      <c r="D2035" s="2" t="str">
        <f t="shared" si="30"/>
        <v>Error?</v>
      </c>
    </row>
    <row r="2036" spans="1:4" x14ac:dyDescent="0.2">
      <c r="A2036" s="5">
        <v>1975</v>
      </c>
      <c r="B2036" s="138">
        <f>'Cap Outlay Deprec 26'!H13</f>
        <v>664356</v>
      </c>
      <c r="D2036" s="2" t="str">
        <f t="shared" si="30"/>
        <v>Error?</v>
      </c>
    </row>
    <row r="2037" spans="1:4" x14ac:dyDescent="0.2">
      <c r="A2037" s="5">
        <v>1976</v>
      </c>
      <c r="B2037" s="138">
        <f>'Cap Outlay Deprec 26'!H16</f>
        <v>3776883</v>
      </c>
      <c r="C2037" s="2" t="s">
        <v>573</v>
      </c>
      <c r="D2037" s="2" t="str">
        <f t="shared" si="30"/>
        <v>Error?</v>
      </c>
    </row>
    <row r="2038" spans="1:4" x14ac:dyDescent="0.2">
      <c r="A2038" s="10">
        <v>1977</v>
      </c>
      <c r="D2038" s="2" t="str">
        <f t="shared" si="30"/>
        <v>OK</v>
      </c>
    </row>
    <row r="2039" spans="1:4" x14ac:dyDescent="0.2">
      <c r="A2039" s="5">
        <v>1978</v>
      </c>
      <c r="B2039" s="138">
        <f>'Cap Outlay Deprec 26'!I8</f>
        <v>6467</v>
      </c>
      <c r="D2039" s="2" t="str">
        <f t="shared" si="30"/>
        <v>Error?</v>
      </c>
    </row>
    <row r="2040" spans="1:4" x14ac:dyDescent="0.2">
      <c r="A2040" s="5">
        <v>1979</v>
      </c>
      <c r="B2040" s="138">
        <f>'Cap Outlay Deprec 26'!I10</f>
        <v>20975</v>
      </c>
      <c r="D2040" s="2" t="str">
        <f t="shared" si="30"/>
        <v>Error?</v>
      </c>
    </row>
    <row r="2041" spans="1:4" x14ac:dyDescent="0.2">
      <c r="A2041" s="5">
        <v>1980</v>
      </c>
      <c r="B2041" s="138">
        <f>'Cap Outlay Deprec 26'!I12</f>
        <v>11489</v>
      </c>
      <c r="D2041" s="2" t="str">
        <f t="shared" si="30"/>
        <v>Error?</v>
      </c>
    </row>
    <row r="2042" spans="1:4" x14ac:dyDescent="0.2">
      <c r="A2042" s="5">
        <v>1981</v>
      </c>
      <c r="B2042" s="138">
        <f>'Cap Outlay Deprec 26'!I13</f>
        <v>14871</v>
      </c>
      <c r="D2042" s="2" t="str">
        <f t="shared" si="30"/>
        <v>Error?</v>
      </c>
    </row>
    <row r="2043" spans="1:4" x14ac:dyDescent="0.2">
      <c r="A2043" s="5">
        <v>1982</v>
      </c>
      <c r="B2043" s="138">
        <f>'Cap Outlay Deprec 26'!I16</f>
        <v>72415</v>
      </c>
      <c r="C2043" s="2" t="s">
        <v>573</v>
      </c>
      <c r="D2043" s="2" t="str">
        <f t="shared" si="30"/>
        <v>Error?</v>
      </c>
    </row>
    <row r="2044" spans="1:4" x14ac:dyDescent="0.2">
      <c r="A2044" s="10">
        <v>1983</v>
      </c>
      <c r="D2044" s="2" t="str">
        <f t="shared" si="30"/>
        <v>OK</v>
      </c>
    </row>
    <row r="2045" spans="1:4" x14ac:dyDescent="0.2">
      <c r="A2045" s="5">
        <v>1984</v>
      </c>
      <c r="B2045" s="138">
        <f>'Cap Outlay Deprec 26'!J8</f>
        <v>807145</v>
      </c>
      <c r="D2045" s="2" t="str">
        <f t="shared" si="30"/>
        <v>Error?</v>
      </c>
    </row>
    <row r="2046" spans="1:4" x14ac:dyDescent="0.2">
      <c r="A2046" s="5">
        <v>1985</v>
      </c>
      <c r="B2046" s="138">
        <f>'Cap Outlay Deprec 26'!J10</f>
        <v>33346</v>
      </c>
      <c r="D2046" s="2" t="str">
        <f t="shared" si="30"/>
        <v>Error?</v>
      </c>
    </row>
    <row r="2047" spans="1:4" x14ac:dyDescent="0.2">
      <c r="A2047" s="5">
        <v>1986</v>
      </c>
      <c r="B2047" s="138">
        <f>'Cap Outlay Deprec 26'!J12</f>
        <v>6219</v>
      </c>
      <c r="D2047" s="2" t="str">
        <f t="shared" ref="D2047:D2110" si="31">IF(ISBLANK(B2047),"OK",IF(A2047-B2047=0,"OK","Error?"))</f>
        <v>Error?</v>
      </c>
    </row>
    <row r="2048" spans="1:4" x14ac:dyDescent="0.2">
      <c r="A2048" s="5">
        <v>1987</v>
      </c>
      <c r="B2048" s="138">
        <f>'Cap Outlay Deprec 26'!J13</f>
        <v>135003</v>
      </c>
      <c r="D2048" s="2" t="str">
        <f t="shared" si="31"/>
        <v>Error?</v>
      </c>
    </row>
    <row r="2049" spans="1:4" x14ac:dyDescent="0.2">
      <c r="A2049" s="5">
        <v>1988</v>
      </c>
      <c r="B2049" s="138">
        <f>'Cap Outlay Deprec 26'!J16</f>
        <v>981713</v>
      </c>
      <c r="C2049" s="2" t="s">
        <v>573</v>
      </c>
      <c r="D2049" s="2" t="str">
        <f t="shared" si="31"/>
        <v>Error?</v>
      </c>
    </row>
    <row r="2050" spans="1:4" x14ac:dyDescent="0.2">
      <c r="A2050" s="10">
        <v>1989</v>
      </c>
      <c r="D2050" s="2" t="str">
        <f t="shared" si="31"/>
        <v>OK</v>
      </c>
    </row>
    <row r="2051" spans="1:4" x14ac:dyDescent="0.2">
      <c r="A2051" s="5">
        <v>1990</v>
      </c>
      <c r="B2051" s="138">
        <f>'Cap Outlay Deprec 26'!K8</f>
        <v>1920493</v>
      </c>
      <c r="C2051" s="2" t="s">
        <v>573</v>
      </c>
      <c r="D2051" s="2" t="str">
        <f t="shared" si="31"/>
        <v>Error?</v>
      </c>
    </row>
    <row r="2052" spans="1:4" x14ac:dyDescent="0.2">
      <c r="A2052" s="5">
        <v>1991</v>
      </c>
      <c r="B2052" s="138">
        <f>'Cap Outlay Deprec 26'!K10</f>
        <v>87770</v>
      </c>
      <c r="C2052" s="2" t="s">
        <v>573</v>
      </c>
      <c r="D2052" s="2" t="str">
        <f t="shared" si="31"/>
        <v>Error?</v>
      </c>
    </row>
    <row r="2053" spans="1:4" x14ac:dyDescent="0.2">
      <c r="A2053" s="5">
        <v>1992</v>
      </c>
      <c r="B2053" s="138">
        <f>'Cap Outlay Deprec 26'!K12</f>
        <v>110794</v>
      </c>
      <c r="C2053" s="2" t="s">
        <v>573</v>
      </c>
      <c r="D2053" s="2" t="str">
        <f t="shared" si="31"/>
        <v>Error?</v>
      </c>
    </row>
    <row r="2054" spans="1:4" x14ac:dyDescent="0.2">
      <c r="A2054" s="5">
        <v>1993</v>
      </c>
      <c r="B2054" s="138">
        <f>'Cap Outlay Deprec 26'!K13</f>
        <v>544224</v>
      </c>
      <c r="C2054" s="2" t="s">
        <v>573</v>
      </c>
      <c r="D2054" s="2" t="str">
        <f t="shared" si="31"/>
        <v>Error?</v>
      </c>
    </row>
    <row r="2055" spans="1:4" x14ac:dyDescent="0.2">
      <c r="A2055" s="5">
        <v>1994</v>
      </c>
      <c r="B2055" s="138">
        <f>'Cap Outlay Deprec 26'!K16</f>
        <v>2867585</v>
      </c>
      <c r="C2055" s="2" t="s">
        <v>573</v>
      </c>
      <c r="D2055" s="2" t="str">
        <f t="shared" si="31"/>
        <v>Error?</v>
      </c>
    </row>
    <row r="2056" spans="1:4" x14ac:dyDescent="0.2">
      <c r="A2056" s="5">
        <v>1995</v>
      </c>
      <c r="B2056" s="138">
        <f>'Cap Outlay Deprec 26'!L5</f>
        <v>21576</v>
      </c>
      <c r="C2056" s="2" t="s">
        <v>573</v>
      </c>
      <c r="D2056" s="2" t="str">
        <f t="shared" si="31"/>
        <v>Error?</v>
      </c>
    </row>
    <row r="2057" spans="1:4" x14ac:dyDescent="0.2">
      <c r="A2057" s="5">
        <v>1996</v>
      </c>
      <c r="B2057" s="138">
        <f>'Cap Outlay Deprec 26'!L8</f>
        <v>215517</v>
      </c>
      <c r="C2057" s="2" t="s">
        <v>573</v>
      </c>
      <c r="D2057" s="2" t="str">
        <f t="shared" si="31"/>
        <v>Error?</v>
      </c>
    </row>
    <row r="2058" spans="1:4" x14ac:dyDescent="0.2">
      <c r="A2058" s="5">
        <v>1997</v>
      </c>
      <c r="B2058" s="138">
        <f>'Cap Outlay Deprec 26'!L10</f>
        <v>496560</v>
      </c>
      <c r="C2058" s="2" t="s">
        <v>573</v>
      </c>
      <c r="D2058" s="2" t="str">
        <f t="shared" si="31"/>
        <v>Error?</v>
      </c>
    </row>
    <row r="2059" spans="1:4" x14ac:dyDescent="0.2">
      <c r="A2059" s="5">
        <v>1998</v>
      </c>
      <c r="B2059" s="138">
        <f>'Cap Outlay Deprec 26'!L12</f>
        <v>67082</v>
      </c>
      <c r="C2059" s="2" t="s">
        <v>573</v>
      </c>
      <c r="D2059" s="2" t="str">
        <f t="shared" si="31"/>
        <v>Error?</v>
      </c>
    </row>
    <row r="2060" spans="1:4" x14ac:dyDescent="0.2">
      <c r="A2060" s="5">
        <v>1999</v>
      </c>
      <c r="B2060" s="138">
        <f>'Cap Outlay Deprec 26'!L13</f>
        <v>18586</v>
      </c>
      <c r="C2060" s="2" t="s">
        <v>573</v>
      </c>
      <c r="D2060" s="2" t="str">
        <f t="shared" si="31"/>
        <v>Error?</v>
      </c>
    </row>
    <row r="2061" spans="1:4" x14ac:dyDescent="0.2">
      <c r="A2061" s="5">
        <v>2000</v>
      </c>
      <c r="B2061" s="138">
        <f>'Cap Outlay Deprec 26'!L16</f>
        <v>847809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356243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356243</v>
      </c>
      <c r="C2088" s="2" t="s">
        <v>573</v>
      </c>
      <c r="D2088" s="2" t="str">
        <f t="shared" si="31"/>
        <v>Error?</v>
      </c>
    </row>
    <row r="2089" spans="1:4" x14ac:dyDescent="0.2">
      <c r="A2089" s="5">
        <v>2028</v>
      </c>
      <c r="B2089" s="138">
        <f>'Expenditures 15-22'!K92</f>
        <v>2473</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15489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133380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61848</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1752139</v>
      </c>
      <c r="C2551" s="2" t="s">
        <v>573</v>
      </c>
      <c r="D2551" s="2" t="str">
        <f t="shared" si="38"/>
        <v>Error?</v>
      </c>
    </row>
    <row r="2552" spans="1:4" x14ac:dyDescent="0.2">
      <c r="A2552" s="10">
        <v>2491</v>
      </c>
      <c r="D2552" s="2" t="str">
        <f t="shared" si="38"/>
        <v>OK</v>
      </c>
    </row>
    <row r="2553" spans="1:4" x14ac:dyDescent="0.2">
      <c r="A2553" s="5">
        <v>2492</v>
      </c>
      <c r="B2553" s="138">
        <f>'Acct Summary 7-8'!C6</f>
        <v>2186760</v>
      </c>
      <c r="C2553" s="2" t="s">
        <v>573</v>
      </c>
      <c r="D2553" s="2" t="str">
        <f t="shared" si="38"/>
        <v>Error?</v>
      </c>
    </row>
    <row r="2554" spans="1:4" x14ac:dyDescent="0.2">
      <c r="A2554" s="5">
        <v>2493</v>
      </c>
      <c r="B2554" s="138">
        <f>'Acct Summary 7-8'!C7</f>
        <v>473906</v>
      </c>
      <c r="C2554" s="2" t="s">
        <v>573</v>
      </c>
      <c r="D2554" s="2" t="str">
        <f t="shared" si="38"/>
        <v>Error?</v>
      </c>
    </row>
    <row r="2555" spans="1:4" x14ac:dyDescent="0.2">
      <c r="A2555" s="5">
        <v>2494</v>
      </c>
      <c r="B2555" s="138">
        <f>'Acct Summary 7-8'!C8</f>
        <v>4412805</v>
      </c>
      <c r="C2555" s="2" t="s">
        <v>573</v>
      </c>
      <c r="D2555" s="2" t="str">
        <f t="shared" si="38"/>
        <v>Error?</v>
      </c>
    </row>
    <row r="2556" spans="1:4" x14ac:dyDescent="0.2">
      <c r="A2556" s="5">
        <v>2495</v>
      </c>
      <c r="B2556" s="138">
        <f>'Acct Summary 7-8'!C12</f>
        <v>2723035</v>
      </c>
      <c r="C2556" s="2" t="s">
        <v>573</v>
      </c>
      <c r="D2556" s="2" t="str">
        <f t="shared" si="38"/>
        <v>Error?</v>
      </c>
    </row>
    <row r="2557" spans="1:4" x14ac:dyDescent="0.2">
      <c r="A2557" s="5">
        <v>2496</v>
      </c>
      <c r="B2557" s="138">
        <f>'Acct Summary 7-8'!C13</f>
        <v>1306048</v>
      </c>
      <c r="C2557" s="2" t="s">
        <v>573</v>
      </c>
      <c r="D2557" s="2" t="str">
        <f t="shared" si="38"/>
        <v>Error?</v>
      </c>
    </row>
    <row r="2558" spans="1:4" x14ac:dyDescent="0.2">
      <c r="A2558" s="5">
        <v>2497</v>
      </c>
      <c r="B2558" s="138">
        <f>'Acct Summary 7-8'!C14</f>
        <v>1443</v>
      </c>
      <c r="C2558" s="2" t="s">
        <v>573</v>
      </c>
      <c r="D2558" s="2" t="str">
        <f t="shared" si="38"/>
        <v>Error?</v>
      </c>
    </row>
    <row r="2559" spans="1:4" x14ac:dyDescent="0.2">
      <c r="A2559" s="5">
        <v>2498</v>
      </c>
      <c r="B2559" s="138">
        <f>'Acct Summary 7-8'!C15</f>
        <v>358716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4389242</v>
      </c>
      <c r="C2561" s="2" t="s">
        <v>573</v>
      </c>
      <c r="D2561" s="2" t="str">
        <f t="shared" si="39"/>
        <v>Error?</v>
      </c>
    </row>
    <row r="2562" spans="1:4" x14ac:dyDescent="0.2">
      <c r="A2562" s="5">
        <v>2501</v>
      </c>
      <c r="B2562" s="138">
        <f>'Acct Summary 7-8'!C20</f>
        <v>23563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346057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346057</v>
      </c>
      <c r="C2568" s="2" t="s">
        <v>573</v>
      </c>
      <c r="D2568" s="2" t="str">
        <f t="shared" si="39"/>
        <v>Error?</v>
      </c>
    </row>
    <row r="2569" spans="1:4" x14ac:dyDescent="0.2">
      <c r="A2569" s="5">
        <v>2508</v>
      </c>
      <c r="B2569" s="138">
        <f>'Acct Summary 7-8'!D13</f>
        <v>360846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360846</v>
      </c>
      <c r="C2573" s="2" t="s">
        <v>573</v>
      </c>
      <c r="D2573" s="2" t="str">
        <f t="shared" si="39"/>
        <v>Error?</v>
      </c>
    </row>
    <row r="2574" spans="1:4" x14ac:dyDescent="0.2">
      <c r="A2574" s="5">
        <v>2513</v>
      </c>
      <c r="B2574" s="138">
        <f>'Acct Summary 7-8'!D20</f>
        <v>-14789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147189</v>
      </c>
      <c r="C2591" s="2" t="s">
        <v>573</v>
      </c>
      <c r="D2591" s="2" t="str">
        <f t="shared" si="39"/>
        <v>Error?</v>
      </c>
    </row>
    <row r="2592" spans="1:4" x14ac:dyDescent="0.2">
      <c r="A2592" s="10">
        <v>2531</v>
      </c>
      <c r="D2592" s="2" t="str">
        <f t="shared" si="39"/>
        <v>OK</v>
      </c>
    </row>
    <row r="2593" spans="1:4" x14ac:dyDescent="0.2">
      <c r="A2593" s="5">
        <v>2532</v>
      </c>
      <c r="B2593" s="138">
        <f>'Acct Summary 7-8'!F6</f>
        <v>395946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543135</v>
      </c>
      <c r="C2595" s="2" t="s">
        <v>573</v>
      </c>
      <c r="D2595" s="2" t="str">
        <f t="shared" si="39"/>
        <v>Error?</v>
      </c>
    </row>
    <row r="2596" spans="1:4" x14ac:dyDescent="0.2">
      <c r="A2596" s="5">
        <v>2535</v>
      </c>
      <c r="B2596" s="138">
        <f>'Acct Summary 7-8'!F13</f>
        <v>535405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535405</v>
      </c>
      <c r="C2600" s="2" t="s">
        <v>573</v>
      </c>
      <c r="D2600" s="2" t="str">
        <f t="shared" si="39"/>
        <v>Error?</v>
      </c>
    </row>
    <row r="2601" spans="1:4" x14ac:dyDescent="0.2">
      <c r="A2601" s="5">
        <v>2540</v>
      </c>
      <c r="B2601" s="138">
        <f>'Acct Summary 7-8'!F20</f>
        <v>7730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175936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175936</v>
      </c>
      <c r="C2606" s="2" t="s">
        <v>573</v>
      </c>
      <c r="D2606" s="2" t="str">
        <f t="shared" si="39"/>
        <v>Error?</v>
      </c>
    </row>
    <row r="2607" spans="1:4" x14ac:dyDescent="0.2">
      <c r="A2607" s="5">
        <v>2546</v>
      </c>
      <c r="B2607" s="138">
        <f>'Acct Summary 7-8'!G12</f>
        <v>64415</v>
      </c>
      <c r="C2607" s="2" t="s">
        <v>573</v>
      </c>
      <c r="D2607" s="2" t="str">
        <f t="shared" si="39"/>
        <v>Error?</v>
      </c>
    </row>
    <row r="2608" spans="1:4" x14ac:dyDescent="0.2">
      <c r="A2608" s="5">
        <v>2547</v>
      </c>
      <c r="B2608" s="138">
        <f>'Acct Summary 7-8'!G13</f>
        <v>148728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213143</v>
      </c>
      <c r="C2612" s="2" t="s">
        <v>573</v>
      </c>
      <c r="D2612" s="2" t="str">
        <f t="shared" si="39"/>
        <v>Error?</v>
      </c>
    </row>
    <row r="2613" spans="1:4" x14ac:dyDescent="0.2">
      <c r="A2613" s="5">
        <v>2552</v>
      </c>
      <c r="B2613" s="138">
        <f>'Acct Summary 7-8'!G20</f>
        <v>-37207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19833</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19833</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19833</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12550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80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12630</v>
      </c>
      <c r="C2724" s="2" t="s">
        <v>573</v>
      </c>
      <c r="D2724" s="2" t="str">
        <f t="shared" si="41"/>
        <v>Error?</v>
      </c>
    </row>
    <row r="2725" spans="1:4" x14ac:dyDescent="0.2">
      <c r="A2725" s="5">
        <v>2664</v>
      </c>
      <c r="B2725" s="138">
        <f>'Expenditures 15-22'!D247</f>
        <v>182</v>
      </c>
      <c r="D2725" s="2" t="str">
        <f t="shared" si="41"/>
        <v>Error?</v>
      </c>
    </row>
    <row r="2726" spans="1:4" x14ac:dyDescent="0.2">
      <c r="A2726" s="5">
        <v>2665</v>
      </c>
      <c r="B2726" s="138">
        <f>'Expenditures 15-22'!K247</f>
        <v>182</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8545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368603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24420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1755</v>
      </c>
      <c r="D2908" s="2" t="str">
        <f t="shared" si="44"/>
        <v>Error?</v>
      </c>
    </row>
    <row r="2909" spans="1:4" x14ac:dyDescent="0.2">
      <c r="A2909" s="10">
        <v>2848</v>
      </c>
      <c r="D2909" s="2" t="str">
        <f t="shared" si="44"/>
        <v>OK</v>
      </c>
    </row>
    <row r="2910" spans="1:4" x14ac:dyDescent="0.2">
      <c r="A2910" s="5">
        <v>2849</v>
      </c>
      <c r="B2910" s="138">
        <f>'Assets-Liab 5-6'!I34</f>
        <v>1755</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366848</v>
      </c>
      <c r="D2912" s="2" t="str">
        <f t="shared" si="44"/>
        <v>Error?</v>
      </c>
    </row>
    <row r="2913" spans="1:4" x14ac:dyDescent="0.2">
      <c r="A2913" s="5">
        <v>2852</v>
      </c>
      <c r="B2913" s="138">
        <f>'Assets-Liab 5-6'!I41</f>
        <v>368603</v>
      </c>
      <c r="C2913" s="2" t="s">
        <v>573</v>
      </c>
      <c r="D2913" s="2" t="str">
        <f t="shared" si="44"/>
        <v>Error?</v>
      </c>
    </row>
    <row r="2914" spans="1:4" x14ac:dyDescent="0.2">
      <c r="A2914" s="5">
        <v>2853</v>
      </c>
      <c r="B2914" s="138">
        <f>'Assets-Liab 5-6'!L33</f>
        <v>24420</v>
      </c>
      <c r="D2914" s="2" t="str">
        <f t="shared" si="44"/>
        <v>Error?</v>
      </c>
    </row>
    <row r="2915" spans="1:4" x14ac:dyDescent="0.2">
      <c r="A2915" s="10">
        <v>2854</v>
      </c>
      <c r="D2915" s="2" t="str">
        <f t="shared" si="44"/>
        <v>OK</v>
      </c>
    </row>
    <row r="2916" spans="1:4" x14ac:dyDescent="0.2">
      <c r="A2916" s="5">
        <v>2855</v>
      </c>
      <c r="B2916" s="138">
        <f>'Assets-Liab 5-6'!L34</f>
        <v>24420</v>
      </c>
      <c r="C2916" s="2" t="s">
        <v>573</v>
      </c>
      <c r="D2916" s="2" t="str">
        <f t="shared" si="44"/>
        <v>Error?</v>
      </c>
    </row>
    <row r="2917" spans="1:4" x14ac:dyDescent="0.2">
      <c r="A2917" s="5">
        <v>2856</v>
      </c>
      <c r="B2917" s="138">
        <f>'Assets-Liab 5-6'!L41</f>
        <v>24420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349803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6440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349803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6440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143982</v>
      </c>
      <c r="D3055" s="2" t="str">
        <f t="shared" si="46"/>
        <v>Error?</v>
      </c>
    </row>
    <row r="3056" spans="1:4" x14ac:dyDescent="0.2">
      <c r="A3056" s="5">
        <v>2995</v>
      </c>
      <c r="B3056" s="138">
        <f>'Expenditures 15-22'!D10</f>
        <v>30685</v>
      </c>
      <c r="D3056" s="2" t="str">
        <f t="shared" si="46"/>
        <v>Error?</v>
      </c>
    </row>
    <row r="3057" spans="1:4" x14ac:dyDescent="0.2">
      <c r="A3057" s="5">
        <v>2996</v>
      </c>
      <c r="B3057" s="138">
        <f>'Expenditures 15-22'!E10</f>
        <v>13000</v>
      </c>
      <c r="D3057" s="2" t="str">
        <f t="shared" si="46"/>
        <v>Error?</v>
      </c>
    </row>
    <row r="3058" spans="1:4" x14ac:dyDescent="0.2">
      <c r="A3058" s="5">
        <v>2997</v>
      </c>
      <c r="B3058" s="138">
        <f>'Expenditures 15-22'!F10</f>
        <v>61103</v>
      </c>
      <c r="D3058" s="2" t="str">
        <f t="shared" si="46"/>
        <v>Error?</v>
      </c>
    </row>
    <row r="3059" spans="1:4" x14ac:dyDescent="0.2">
      <c r="A3059" s="5">
        <v>2998</v>
      </c>
      <c r="B3059" s="138">
        <f>'Expenditures 15-22'!G10</f>
        <v>7722</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257738</v>
      </c>
      <c r="C3062" s="2" t="s">
        <v>573</v>
      </c>
      <c r="D3062" s="2" t="str">
        <f t="shared" si="46"/>
        <v>Error?</v>
      </c>
    </row>
    <row r="3063" spans="1:4" x14ac:dyDescent="0.2">
      <c r="A3063" s="10">
        <v>3002</v>
      </c>
      <c r="D3063" s="2" t="str">
        <f t="shared" si="46"/>
        <v>OK</v>
      </c>
    </row>
    <row r="3064" spans="1:4" x14ac:dyDescent="0.2">
      <c r="A3064" s="5">
        <v>3003</v>
      </c>
      <c r="B3064" s="138">
        <f>'Expenditures 15-22'!D219</f>
        <v>5161</v>
      </c>
      <c r="D3064" s="2" t="str">
        <f t="shared" si="46"/>
        <v>Error?</v>
      </c>
    </row>
    <row r="3065" spans="1:4" x14ac:dyDescent="0.2">
      <c r="A3065" s="5">
        <v>3004</v>
      </c>
      <c r="B3065" s="138">
        <f>'Expenditures 15-22'!K219</f>
        <v>5161</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37261</v>
      </c>
      <c r="C3225" s="2" t="s">
        <v>573</v>
      </c>
      <c r="D3225" s="2" t="str">
        <f t="shared" si="49"/>
        <v>Error?</v>
      </c>
    </row>
    <row r="3226" spans="1:4" x14ac:dyDescent="0.2">
      <c r="A3226" s="5">
        <v>3165</v>
      </c>
      <c r="B3226" s="138">
        <f>'Acct Summary 7-8'!I8</f>
        <v>37261</v>
      </c>
      <c r="C3226" s="2" t="s">
        <v>573</v>
      </c>
      <c r="D3226" s="2" t="str">
        <f t="shared" si="49"/>
        <v>Error?</v>
      </c>
    </row>
    <row r="3227" spans="1:4" x14ac:dyDescent="0.2">
      <c r="A3227" s="5">
        <v>3166</v>
      </c>
      <c r="B3227" s="138">
        <f>'Acct Summary 7-8'!I20</f>
        <v>37261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23563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-14789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7730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-37207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19833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37261</v>
      </c>
      <c r="C3320" s="2" t="s">
        <v>573</v>
      </c>
      <c r="D3320" s="2" t="str">
        <f t="shared" si="50"/>
        <v>Error?</v>
      </c>
    </row>
    <row r="3321" spans="1:4" x14ac:dyDescent="0.2">
      <c r="A3321" s="5">
        <v>3260</v>
      </c>
      <c r="B3321" s="138">
        <f>'Acct Summary 7-8'!I79</f>
        <v>329587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366848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332206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101311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22374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1150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455891</v>
      </c>
      <c r="C3380" s="2" t="s">
        <v>573</v>
      </c>
      <c r="D3380" s="2" t="str">
        <f t="shared" si="51"/>
        <v>Error?</v>
      </c>
    </row>
    <row r="3381" spans="1:4" x14ac:dyDescent="0.2">
      <c r="A3381" s="5">
        <v>3320</v>
      </c>
      <c r="B3381" s="138">
        <f>'Expenditures 15-22'!K19</f>
        <v>1150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23172</v>
      </c>
      <c r="D3387" s="2" t="str">
        <f t="shared" si="51"/>
        <v>Error?</v>
      </c>
    </row>
    <row r="3388" spans="1:4" x14ac:dyDescent="0.2">
      <c r="A3388" s="5">
        <v>3327</v>
      </c>
      <c r="B3388" s="138">
        <f>'Expenditures 15-22'!D217</f>
        <v>25730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23172</v>
      </c>
      <c r="C3390" s="2" t="s">
        <v>573</v>
      </c>
      <c r="D3390" s="2" t="str">
        <f t="shared" si="51"/>
        <v>Error?</v>
      </c>
    </row>
    <row r="3391" spans="1:4" x14ac:dyDescent="0.2">
      <c r="A3391" s="5">
        <v>3330</v>
      </c>
      <c r="B3391" s="138">
        <f>'Expenditures 15-22'!K217</f>
        <v>25730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351257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1268146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101635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301592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71987</v>
      </c>
      <c r="D3425" s="2" t="str">
        <f t="shared" si="52"/>
        <v>Error?</v>
      </c>
    </row>
    <row r="3426" spans="1:4" x14ac:dyDescent="0.2">
      <c r="A3426" s="10">
        <v>3365</v>
      </c>
      <c r="D3426" s="2" t="str">
        <f t="shared" si="52"/>
        <v>OK</v>
      </c>
    </row>
    <row r="3427" spans="1:4" x14ac:dyDescent="0.2">
      <c r="A3427" s="5">
        <v>3366</v>
      </c>
      <c r="B3427" s="138">
        <f>'Assets-Liab 5-6'!I4</f>
        <v>368603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24420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84803</v>
      </c>
      <c r="C3446" s="2" t="s">
        <v>573</v>
      </c>
      <c r="D3446" s="2" t="str">
        <f t="shared" si="52"/>
        <v>Error?</v>
      </c>
    </row>
    <row r="3447" spans="1:4" x14ac:dyDescent="0.2">
      <c r="A3447" s="5">
        <v>3386</v>
      </c>
      <c r="B3447" s="138">
        <f>'Tax Sched 23'!D16</f>
        <v>84803</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75000</v>
      </c>
      <c r="C3449" s="2" t="s">
        <v>573</v>
      </c>
      <c r="D3449" s="2" t="str">
        <f t="shared" si="52"/>
        <v>Error?</v>
      </c>
    </row>
    <row r="3450" spans="1:4" x14ac:dyDescent="0.2">
      <c r="A3450" s="5">
        <v>3389</v>
      </c>
      <c r="B3450" s="138">
        <f>'Tax Sched 23'!E16</f>
        <v>75000</v>
      </c>
      <c r="D3450" s="2" t="str">
        <f t="shared" si="52"/>
        <v>Error?</v>
      </c>
    </row>
    <row r="3451" spans="1:4" x14ac:dyDescent="0.2">
      <c r="A3451" s="5">
        <v>3390</v>
      </c>
      <c r="B3451" s="138">
        <f>'Cap Outlay Deprec 26'!C15</f>
        <v>103445</v>
      </c>
      <c r="D3451" s="2" t="str">
        <f t="shared" si="52"/>
        <v>Error?</v>
      </c>
    </row>
    <row r="3452" spans="1:4" x14ac:dyDescent="0.2">
      <c r="A3452" s="5">
        <v>3391</v>
      </c>
      <c r="B3452" s="138">
        <f>'Cap Outlay Deprec 26'!D15</f>
        <v>231863</v>
      </c>
      <c r="D3452" s="2" t="str">
        <f t="shared" si="52"/>
        <v>Error?</v>
      </c>
    </row>
    <row r="3453" spans="1:4" x14ac:dyDescent="0.2">
      <c r="A3453" s="5">
        <v>3392</v>
      </c>
      <c r="B3453" s="138">
        <f>'Cap Outlay Deprec 26'!E15</f>
        <v>326763</v>
      </c>
      <c r="D3453" s="2" t="str">
        <f t="shared" si="52"/>
        <v>Error?</v>
      </c>
    </row>
    <row r="3454" spans="1:4" x14ac:dyDescent="0.2">
      <c r="A3454" s="5">
        <v>3393</v>
      </c>
      <c r="B3454" s="138">
        <f>'Cap Outlay Deprec 26'!F15</f>
        <v>8545</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8545</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44572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44572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1755</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1755</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42817</v>
      </c>
      <c r="D3567" s="2" t="str">
        <f t="shared" si="54"/>
        <v>Error?</v>
      </c>
    </row>
    <row r="3568" spans="1:4" x14ac:dyDescent="0.2">
      <c r="A3568" s="5">
        <v>3507</v>
      </c>
      <c r="B3568" s="138">
        <f>'Assets-Liab 5-6'!K41</f>
        <v>44572</v>
      </c>
      <c r="C3568" s="2" t="s">
        <v>573</v>
      </c>
      <c r="D3568" s="2" t="str">
        <f t="shared" si="54"/>
        <v>Error?</v>
      </c>
    </row>
    <row r="3569" spans="1:4" x14ac:dyDescent="0.2">
      <c r="A3569" s="5">
        <v>3508</v>
      </c>
      <c r="B3569" s="138">
        <f>'Acct Summary 7-8'!K4</f>
        <v>33657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33657</v>
      </c>
      <c r="C3571" s="2" t="s">
        <v>573</v>
      </c>
      <c r="D3571" s="2" t="str">
        <f t="shared" si="54"/>
        <v>Error?</v>
      </c>
    </row>
    <row r="3572" spans="1:4" x14ac:dyDescent="0.2">
      <c r="A3572" s="5">
        <v>3511</v>
      </c>
      <c r="B3572" s="138">
        <f>'Acct Summary 7-8'!K13</f>
        <v>225591</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225591</v>
      </c>
      <c r="C3575" s="2" t="s">
        <v>573</v>
      </c>
      <c r="D3575" s="2" t="str">
        <f t="shared" si="54"/>
        <v>Error?</v>
      </c>
    </row>
    <row r="3576" spans="1:4" x14ac:dyDescent="0.2">
      <c r="A3576" s="5">
        <v>3515</v>
      </c>
      <c r="B3576" s="138">
        <f>'Acct Summary 7-8'!K20</f>
        <v>-191934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-191934</v>
      </c>
      <c r="C3588" s="2" t="s">
        <v>573</v>
      </c>
      <c r="D3588" s="2" t="str">
        <f t="shared" si="55"/>
        <v>Error?</v>
      </c>
    </row>
    <row r="3589" spans="1:4" x14ac:dyDescent="0.2">
      <c r="A3589" s="5">
        <v>3528</v>
      </c>
      <c r="B3589" s="138">
        <f>'Acct Summary 7-8'!K79</f>
        <v>234751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42817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2273</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2273</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2273</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223318</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223318</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223318</v>
      </c>
      <c r="C3649" s="2" t="s">
        <v>573</v>
      </c>
      <c r="D3649" s="2" t="str">
        <f t="shared" si="56"/>
        <v>Error?</v>
      </c>
    </row>
    <row r="3650" spans="1:4" x14ac:dyDescent="0.2">
      <c r="A3650" s="5">
        <v>3589</v>
      </c>
      <c r="B3650" s="138">
        <f>'Expenditures 15-22'!G367</f>
        <v>223318</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225591</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225591</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225591</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225591</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-191934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33011</v>
      </c>
      <c r="C3725" s="2" t="s">
        <v>573</v>
      </c>
      <c r="D3725" s="2" t="str">
        <f t="shared" si="57"/>
        <v>Error?</v>
      </c>
    </row>
    <row r="3726" spans="1:4" x14ac:dyDescent="0.2">
      <c r="A3726" s="5">
        <v>3665</v>
      </c>
      <c r="B3726" s="138">
        <f>'Tax Sched 23'!D13</f>
        <v>33011</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34697</v>
      </c>
      <c r="C3728" s="2" t="s">
        <v>573</v>
      </c>
      <c r="D3728" s="2" t="str">
        <f t="shared" si="57"/>
        <v>Error?</v>
      </c>
    </row>
    <row r="3729" spans="1:4" x14ac:dyDescent="0.2">
      <c r="A3729" s="5">
        <v>3668</v>
      </c>
      <c r="B3729" s="138">
        <f>'Tax Sched 23'!E13</f>
        <v>34697</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1599543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6012348</v>
      </c>
      <c r="C4122" s="2" t="s">
        <v>573</v>
      </c>
      <c r="D4122" s="2" t="str">
        <f t="shared" si="63"/>
        <v>Error?</v>
      </c>
    </row>
    <row r="4123" spans="1:4" x14ac:dyDescent="0.2">
      <c r="A4123" s="5">
        <v>4062</v>
      </c>
      <c r="B4123" s="138">
        <f>'Acct Summary 7-8'!D10</f>
        <v>346057</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543135</v>
      </c>
      <c r="C4125" s="2" t="s">
        <v>573</v>
      </c>
      <c r="D4125" s="2" t="str">
        <f t="shared" si="63"/>
        <v>Error?</v>
      </c>
    </row>
    <row r="4126" spans="1:4" x14ac:dyDescent="0.2">
      <c r="A4126" s="5">
        <v>4065</v>
      </c>
      <c r="B4126" s="138">
        <f>'Acct Summary 7-8'!G10</f>
        <v>175936</v>
      </c>
      <c r="C4126" s="2" t="s">
        <v>573</v>
      </c>
      <c r="D4126" s="2" t="str">
        <f t="shared" si="63"/>
        <v>Error?</v>
      </c>
    </row>
    <row r="4127" spans="1:4" x14ac:dyDescent="0.2">
      <c r="A4127" s="5">
        <v>4066</v>
      </c>
      <c r="B4127" s="138">
        <f>'Acct Summary 7-8'!H10</f>
        <v>19833</v>
      </c>
      <c r="C4127" s="2" t="s">
        <v>573</v>
      </c>
      <c r="D4127" s="2" t="str">
        <f t="shared" si="63"/>
        <v>Error?</v>
      </c>
    </row>
    <row r="4128" spans="1:4" x14ac:dyDescent="0.2">
      <c r="A4128" s="5">
        <v>4067</v>
      </c>
      <c r="B4128" s="138">
        <f>'Acct Summary 7-8'!I10</f>
        <v>37261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33657</v>
      </c>
      <c r="C4130" s="2" t="s">
        <v>573</v>
      </c>
      <c r="D4130" s="2" t="str">
        <f t="shared" si="63"/>
        <v>Error?</v>
      </c>
    </row>
    <row r="4131" spans="1:4" x14ac:dyDescent="0.2">
      <c r="A4131" s="5">
        <v>4070</v>
      </c>
      <c r="B4131" s="138">
        <f>'Acct Summary 7-8'!C18</f>
        <v>1599543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5988785</v>
      </c>
      <c r="C4136" s="2" t="s">
        <v>573</v>
      </c>
      <c r="D4136" s="2" t="str">
        <f t="shared" si="63"/>
        <v>Error?</v>
      </c>
    </row>
    <row r="4137" spans="1:4" x14ac:dyDescent="0.2">
      <c r="A4137" s="5">
        <v>4076</v>
      </c>
      <c r="B4137" s="138">
        <f>'Acct Summary 7-8'!D19</f>
        <v>360846</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535405</v>
      </c>
      <c r="C4139" s="2" t="s">
        <v>573</v>
      </c>
      <c r="D4139" s="2" t="str">
        <f t="shared" si="63"/>
        <v>Error?</v>
      </c>
    </row>
    <row r="4140" spans="1:4" x14ac:dyDescent="0.2">
      <c r="A4140" s="5">
        <v>4079</v>
      </c>
      <c r="B4140" s="138">
        <f>'Acct Summary 7-8'!G19</f>
        <v>213143</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225591</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2300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3000</v>
      </c>
      <c r="C4268" s="2" t="s">
        <v>573</v>
      </c>
      <c r="D4268" s="2" t="str">
        <f t="shared" si="65"/>
        <v>Error?</v>
      </c>
    </row>
    <row r="4269" spans="1:5" x14ac:dyDescent="0.2">
      <c r="A4269" s="12">
        <v>4208</v>
      </c>
      <c r="B4269" s="138">
        <f>'FP Info 3'!J16</f>
        <v>1979339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12435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23043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8697</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8697</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29225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69392870</v>
      </c>
      <c r="D4995" s="2" t="str">
        <f t="shared" si="77"/>
        <v>Error?</v>
      </c>
    </row>
    <row r="4996" spans="1:4" x14ac:dyDescent="0.2">
      <c r="A4996" s="12">
        <v>4935</v>
      </c>
      <c r="B4996" s="138">
        <f>'FP Info 3'!H31</f>
        <v>9576216.0600000005</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33011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1518534</v>
      </c>
      <c r="D5061" s="2" t="str">
        <f t="shared" si="78"/>
        <v>Error?</v>
      </c>
    </row>
    <row r="5062" spans="1:4" x14ac:dyDescent="0.2">
      <c r="A5062" s="10">
        <v>5001</v>
      </c>
      <c r="D5062" s="2" t="str">
        <f t="shared" si="78"/>
        <v>OK</v>
      </c>
    </row>
    <row r="5063" spans="1:4" x14ac:dyDescent="0.2">
      <c r="A5063" s="5">
        <v>5002</v>
      </c>
      <c r="B5063" s="138">
        <f>'Revenues 9-14'!C7</f>
        <v>26410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1577955</v>
      </c>
      <c r="C5066" s="2" t="s">
        <v>573</v>
      </c>
      <c r="D5066" s="2" t="str">
        <f t="shared" si="78"/>
        <v>Error?</v>
      </c>
    </row>
    <row r="5067" spans="1:4" x14ac:dyDescent="0.2">
      <c r="A5067" s="5">
        <v>5006</v>
      </c>
      <c r="B5067" s="138">
        <f>'Revenues 9-14'!C14</f>
        <v>287</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64468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64755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7826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7826</v>
      </c>
      <c r="C5090" s="2" t="s">
        <v>573</v>
      </c>
      <c r="D5090" s="2" t="str">
        <f t="shared" si="78"/>
        <v>Error?</v>
      </c>
    </row>
    <row r="5091" spans="1:4" x14ac:dyDescent="0.2">
      <c r="A5091" s="5">
        <v>5030</v>
      </c>
      <c r="B5091" s="138">
        <f>'Revenues 9-14'!C70</f>
        <v>4568</v>
      </c>
      <c r="D5091" s="2" t="str">
        <f t="shared" si="78"/>
        <v>Error?</v>
      </c>
    </row>
    <row r="5092" spans="1:4" x14ac:dyDescent="0.2">
      <c r="A5092" s="5">
        <v>5031</v>
      </c>
      <c r="B5092" s="138">
        <f>'Revenues 9-14'!C71</f>
        <v>1229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5668</v>
      </c>
      <c r="D5094" s="2" t="str">
        <f t="shared" si="78"/>
        <v>Error?</v>
      </c>
    </row>
    <row r="5095" spans="1:4" x14ac:dyDescent="0.2">
      <c r="A5095" s="5">
        <v>5034</v>
      </c>
      <c r="B5095" s="138">
        <f>'Revenues 9-14'!C74</f>
        <v>36</v>
      </c>
      <c r="D5095" s="2" t="str">
        <f t="shared" si="78"/>
        <v>Error?</v>
      </c>
    </row>
    <row r="5096" spans="1:4" x14ac:dyDescent="0.2">
      <c r="A5096" s="5">
        <v>5035</v>
      </c>
      <c r="B5096" s="138">
        <f>'Revenues 9-14'!C75</f>
        <v>52912</v>
      </c>
      <c r="C5096" s="2" t="s">
        <v>573</v>
      </c>
      <c r="D5096" s="2" t="str">
        <f t="shared" si="78"/>
        <v>Error?</v>
      </c>
    </row>
    <row r="5097" spans="1:4" x14ac:dyDescent="0.2">
      <c r="A5097" s="5">
        <v>5036</v>
      </c>
      <c r="B5097" s="138">
        <f>'Revenues 9-14'!C77</f>
        <v>18781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18781</v>
      </c>
      <c r="C5102" s="2" t="s">
        <v>573</v>
      </c>
      <c r="D5102" s="2" t="str">
        <f t="shared" si="78"/>
        <v>Error?</v>
      </c>
    </row>
    <row r="5103" spans="1:4" x14ac:dyDescent="0.2">
      <c r="A5103" s="5">
        <v>5042</v>
      </c>
      <c r="B5103" s="138">
        <f>'Revenues 9-14'!C84</f>
        <v>11555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11555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5441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5889</v>
      </c>
      <c r="D5119" s="2" t="str">
        <f t="shared" ref="D5119:D5182" si="79">IF(ISBLANK(B5119),"OK",IF(A5119-B5119=0,"OK","Error?"))</f>
        <v>Error?</v>
      </c>
    </row>
    <row r="5120" spans="1:4" x14ac:dyDescent="0.2">
      <c r="A5120" s="5">
        <v>5059</v>
      </c>
      <c r="B5120" s="138">
        <f>'Revenues 9-14'!C108</f>
        <v>18355</v>
      </c>
      <c r="C5120" s="2" t="s">
        <v>573</v>
      </c>
      <c r="D5120" s="2" t="str">
        <f t="shared" si="79"/>
        <v>Error?</v>
      </c>
    </row>
    <row r="5121" spans="1:4" x14ac:dyDescent="0.2">
      <c r="A5121" s="5">
        <v>5060</v>
      </c>
      <c r="B5121" s="138">
        <f>'Revenues 9-14'!C109</f>
        <v>1752139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1943091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1943091</v>
      </c>
      <c r="C5132" s="2" t="s">
        <v>573</v>
      </c>
      <c r="D5132" s="2" t="str">
        <f t="shared" si="79"/>
        <v>Error?</v>
      </c>
    </row>
    <row r="5133" spans="1:4" x14ac:dyDescent="0.2">
      <c r="A5133" s="5">
        <v>5072</v>
      </c>
      <c r="B5133" s="138">
        <f>'Revenues 9-14'!C125</f>
        <v>42459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42459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12517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32390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3131</v>
      </c>
      <c r="D5167" s="2" t="str">
        <f t="shared" si="79"/>
        <v>Error?</v>
      </c>
    </row>
    <row r="5168" spans="1:4" x14ac:dyDescent="0.2">
      <c r="A5168" s="5">
        <v>5107</v>
      </c>
      <c r="B5168" s="138">
        <f>'Revenues 9-14'!C148</f>
        <v>7838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128626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243669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2186760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119296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47476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166772</v>
      </c>
      <c r="C5246" s="2" t="s">
        <v>573</v>
      </c>
      <c r="D5246" s="2" t="str">
        <f t="shared" si="80"/>
        <v>Error?</v>
      </c>
    </row>
    <row r="5247" spans="1:4" x14ac:dyDescent="0.2">
      <c r="A5247" s="5">
        <v>5186</v>
      </c>
      <c r="B5247" s="138">
        <f>'Revenues 9-14'!C200</f>
        <v>262959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262959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473906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473906</v>
      </c>
      <c r="C5326" s="2" t="s">
        <v>573</v>
      </c>
      <c r="D5326" s="2" t="str">
        <f t="shared" si="82"/>
        <v>Error?</v>
      </c>
    </row>
    <row r="5327" spans="1:5" x14ac:dyDescent="0.2">
      <c r="A5327" s="5">
        <v>5266</v>
      </c>
      <c r="B5327" s="138">
        <f>'Revenues 9-14'!C268</f>
        <v>4412805</v>
      </c>
      <c r="C5327" s="2" t="s">
        <v>573</v>
      </c>
      <c r="D5327" s="2" t="str">
        <f t="shared" si="82"/>
        <v>Error?</v>
      </c>
    </row>
    <row r="5328" spans="1:5" x14ac:dyDescent="0.2">
      <c r="A5328" s="5">
        <v>5267</v>
      </c>
      <c r="B5328" s="138">
        <f>'Revenues 9-14'!D5</f>
        <v>330115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330115</v>
      </c>
      <c r="C5334" s="2" t="s">
        <v>573</v>
      </c>
      <c r="D5334" s="2" t="str">
        <f t="shared" si="82"/>
        <v>Error?</v>
      </c>
    </row>
    <row r="5335" spans="1:4" x14ac:dyDescent="0.2">
      <c r="A5335" s="5">
        <v>5274</v>
      </c>
      <c r="B5335" s="138">
        <f>'Revenues 9-14'!D14</f>
        <v>60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60</v>
      </c>
      <c r="C5339" s="2" t="s">
        <v>573</v>
      </c>
      <c r="D5339" s="2" t="str">
        <f t="shared" si="82"/>
        <v>Error?</v>
      </c>
    </row>
    <row r="5340" spans="1:4" x14ac:dyDescent="0.2">
      <c r="A5340" s="5">
        <v>5279</v>
      </c>
      <c r="B5340" s="138">
        <f>'Revenues 9-14'!D65</f>
        <v>15844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15844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38</v>
      </c>
      <c r="D5354" s="2" t="str">
        <f t="shared" si="82"/>
        <v>Error?</v>
      </c>
    </row>
    <row r="5355" spans="1:4" x14ac:dyDescent="0.2">
      <c r="A5355" s="5">
        <v>5294</v>
      </c>
      <c r="B5355" s="138">
        <f>'Revenues 9-14'!D108</f>
        <v>38</v>
      </c>
      <c r="C5355" s="2" t="s">
        <v>573</v>
      </c>
      <c r="D5355" s="2" t="str">
        <f t="shared" si="82"/>
        <v>Error?</v>
      </c>
    </row>
    <row r="5356" spans="1:4" x14ac:dyDescent="0.2">
      <c r="A5356" s="5">
        <v>5295</v>
      </c>
      <c r="B5356" s="138">
        <f>'Revenues 9-14'!D109</f>
        <v>346057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346057</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132047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132047</v>
      </c>
      <c r="C5557" s="2" t="s">
        <v>573</v>
      </c>
      <c r="D5557" s="2" t="str">
        <f t="shared" si="85"/>
        <v>Error?</v>
      </c>
    </row>
    <row r="5558" spans="1:4" x14ac:dyDescent="0.2">
      <c r="A5558" s="5">
        <v>5497</v>
      </c>
      <c r="B5558" s="138">
        <f>'Revenues 9-14'!F14</f>
        <v>25</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25</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13825</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13825</v>
      </c>
      <c r="C5579" s="2" t="s">
        <v>573</v>
      </c>
      <c r="D5579" s="2" t="str">
        <f t="shared" si="86"/>
        <v>Error?</v>
      </c>
    </row>
    <row r="5580" spans="1:4" x14ac:dyDescent="0.2">
      <c r="A5580" s="5">
        <v>5519</v>
      </c>
      <c r="B5580" s="138">
        <f>'Revenues 9-14'!F65</f>
        <v>478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478</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814</v>
      </c>
      <c r="D5586" s="2" t="str">
        <f t="shared" si="86"/>
        <v>Error?</v>
      </c>
    </row>
    <row r="5587" spans="1:4" x14ac:dyDescent="0.2">
      <c r="A5587" s="5">
        <v>5526</v>
      </c>
      <c r="B5587" s="138">
        <f>'Revenues 9-14'!F108</f>
        <v>814</v>
      </c>
      <c r="C5587" s="2" t="s">
        <v>573</v>
      </c>
      <c r="D5587" s="2" t="str">
        <f t="shared" si="86"/>
        <v>Error?</v>
      </c>
    </row>
    <row r="5588" spans="1:4" x14ac:dyDescent="0.2">
      <c r="A5588" s="5">
        <v>5527</v>
      </c>
      <c r="B5588" s="138">
        <f>'Revenues 9-14'!F109</f>
        <v>147189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210624</v>
      </c>
      <c r="D5615" s="2" t="str">
        <f t="shared" si="86"/>
        <v>Error?</v>
      </c>
    </row>
    <row r="5616" spans="1:4" x14ac:dyDescent="0.2">
      <c r="A5616" s="10">
        <v>5555</v>
      </c>
      <c r="D5616" s="2" t="str">
        <f t="shared" si="86"/>
        <v>OK</v>
      </c>
    </row>
    <row r="5617" spans="1:5" x14ac:dyDescent="0.2">
      <c r="A5617" s="5">
        <v>5556</v>
      </c>
      <c r="B5617" s="138">
        <f>'Revenues 9-14'!F153</f>
        <v>185322</v>
      </c>
      <c r="D5617" s="2" t="str">
        <f t="shared" si="86"/>
        <v>Error?</v>
      </c>
    </row>
    <row r="5618" spans="1:5" x14ac:dyDescent="0.2">
      <c r="A5618" s="5">
        <v>5557</v>
      </c>
      <c r="B5618" s="138">
        <f>'Revenues 9-14'!F155</f>
        <v>395946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395946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395946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543135</v>
      </c>
      <c r="C5720" s="2" t="s">
        <v>573</v>
      </c>
      <c r="D5720" s="2" t="str">
        <f t="shared" si="88"/>
        <v>Error?</v>
      </c>
    </row>
    <row r="5721" spans="1:4" x14ac:dyDescent="0.2">
      <c r="A5721" s="5">
        <v>5660</v>
      </c>
      <c r="B5721" s="138">
        <f>'Revenues 9-14'!G5</f>
        <v>84803</v>
      </c>
      <c r="D5721" s="2" t="str">
        <f t="shared" si="88"/>
        <v>Error?</v>
      </c>
    </row>
    <row r="5722" spans="1:4" x14ac:dyDescent="0.2">
      <c r="A5722" s="5">
        <v>5661</v>
      </c>
      <c r="B5722" s="138">
        <f>'Revenues 9-14'!G7</f>
        <v>0</v>
      </c>
      <c r="D5722" s="2" t="str">
        <f t="shared" si="88"/>
        <v>Error?</v>
      </c>
    </row>
    <row r="5723" spans="1:4" x14ac:dyDescent="0.2">
      <c r="A5723" s="5">
        <v>5662</v>
      </c>
      <c r="B5723" s="138">
        <f>'Revenues 9-14'!G8</f>
        <v>84803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169606</v>
      </c>
      <c r="C5725" s="2" t="s">
        <v>573</v>
      </c>
      <c r="D5725" s="2" t="str">
        <f t="shared" si="88"/>
        <v>Error?</v>
      </c>
    </row>
    <row r="5726" spans="1:4" x14ac:dyDescent="0.2">
      <c r="A5726" s="5">
        <v>5665</v>
      </c>
      <c r="B5726" s="138">
        <f>'Revenues 9-14'!G14</f>
        <v>59</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2059</v>
      </c>
      <c r="C5730" s="2" t="s">
        <v>573</v>
      </c>
      <c r="D5730" s="2" t="str">
        <f t="shared" si="88"/>
        <v>Error?</v>
      </c>
    </row>
    <row r="5731" spans="1:4" x14ac:dyDescent="0.2">
      <c r="A5731" s="5">
        <v>5670</v>
      </c>
      <c r="B5731" s="138">
        <f>'Revenues 9-14'!G65</f>
        <v>4271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4271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175936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747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747</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19086</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19833</v>
      </c>
      <c r="C5915" s="2" t="s">
        <v>573</v>
      </c>
      <c r="D5915" s="2" t="str">
        <f t="shared" si="91"/>
        <v>Error?</v>
      </c>
    </row>
    <row r="5916" spans="1:4" x14ac:dyDescent="0.2">
      <c r="A5916" s="5">
        <v>5855</v>
      </c>
      <c r="B5916" s="138">
        <f>'Revenues 9-14'!I5</f>
        <v>33010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33010</v>
      </c>
      <c r="C5918" s="2" t="s">
        <v>573</v>
      </c>
      <c r="D5918" s="2" t="str">
        <f t="shared" si="91"/>
        <v>Error?</v>
      </c>
    </row>
    <row r="5919" spans="1:4" x14ac:dyDescent="0.2">
      <c r="A5919" s="5">
        <v>5858</v>
      </c>
      <c r="B5919" s="138">
        <f>'Revenues 9-14'!I14</f>
        <v>6</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6</v>
      </c>
      <c r="C5923" s="2" t="s">
        <v>573</v>
      </c>
      <c r="D5923" s="2" t="str">
        <f t="shared" si="91"/>
        <v>Error?</v>
      </c>
    </row>
    <row r="5924" spans="1:4" x14ac:dyDescent="0.2">
      <c r="A5924" s="5">
        <v>5863</v>
      </c>
      <c r="B5924" s="138">
        <f>'Revenues 9-14'!I65</f>
        <v>4245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4245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37261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33010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33010</v>
      </c>
      <c r="C5987" s="2" t="s">
        <v>573</v>
      </c>
      <c r="D5987" s="2" t="str">
        <f t="shared" si="92"/>
        <v>Error?</v>
      </c>
    </row>
    <row r="5988" spans="1:4" x14ac:dyDescent="0.2">
      <c r="A5988" s="5">
        <v>5927</v>
      </c>
      <c r="B5988" s="138">
        <f>'Revenues 9-14'!K14</f>
        <v>6</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6</v>
      </c>
      <c r="C5992" s="2" t="s">
        <v>573</v>
      </c>
      <c r="D5992" s="2" t="str">
        <f t="shared" si="92"/>
        <v>Error?</v>
      </c>
    </row>
    <row r="5993" spans="1:4" x14ac:dyDescent="0.2">
      <c r="A5993" s="5">
        <v>5932</v>
      </c>
      <c r="B5993" s="138">
        <f>'Revenues 9-14'!K65</f>
        <v>641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641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33657</v>
      </c>
      <c r="C6023" s="2" t="s">
        <v>573</v>
      </c>
      <c r="D6023" s="2" t="str">
        <f t="shared" si="93"/>
        <v>Error?</v>
      </c>
    </row>
    <row r="6024" spans="1:5" x14ac:dyDescent="0.2">
      <c r="A6024" s="5">
        <v>5963</v>
      </c>
      <c r="B6024" s="138">
        <f>'Revenues 9-14'!G109</f>
        <v>175936</v>
      </c>
      <c r="C6024" s="2" t="s">
        <v>573</v>
      </c>
      <c r="D6024" s="2" t="str">
        <f t="shared" si="93"/>
        <v>Error?</v>
      </c>
    </row>
    <row r="6025" spans="1:5" x14ac:dyDescent="0.2">
      <c r="A6025" s="5">
        <v>5964</v>
      </c>
      <c r="B6025" s="138">
        <f>'Revenues 9-14'!H109</f>
        <v>19833</v>
      </c>
      <c r="C6025" s="2" t="s">
        <v>573</v>
      </c>
      <c r="D6025" s="2" t="str">
        <f t="shared" si="93"/>
        <v>Error?</v>
      </c>
    </row>
    <row r="6026" spans="1:5" x14ac:dyDescent="0.2">
      <c r="A6026" s="5">
        <v>5965</v>
      </c>
      <c r="B6026" s="138">
        <f>'Revenues 9-14'!I109</f>
        <v>37261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33657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41411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23362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425.4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367969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19283</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19283</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348686</v>
      </c>
      <c r="D6215" s="2" t="str">
        <f t="shared" si="96"/>
        <v>Error?</v>
      </c>
      <c r="E6215" s="2" t="s">
        <v>190</v>
      </c>
    </row>
    <row r="6216" spans="1:5" x14ac:dyDescent="0.2">
      <c r="A6216">
        <v>6155</v>
      </c>
      <c r="B6216" s="138">
        <f>'Assets-Liab 5-6'!J41</f>
        <v>367969</v>
      </c>
      <c r="D6216" s="2" t="str">
        <f t="shared" si="96"/>
        <v>Error?</v>
      </c>
      <c r="E6216" s="2" t="s">
        <v>190</v>
      </c>
    </row>
    <row r="6217" spans="1:5" x14ac:dyDescent="0.2">
      <c r="A6217">
        <v>6156</v>
      </c>
      <c r="B6217" s="138">
        <f>'Assets-Liab 5-6'!J4</f>
        <v>367969</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457053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457053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457053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374660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374660</v>
      </c>
      <c r="D6229" s="2" t="str">
        <f t="shared" si="96"/>
        <v>Error?</v>
      </c>
      <c r="E6229" s="2" t="s">
        <v>190</v>
      </c>
    </row>
    <row r="6230" spans="1:5" x14ac:dyDescent="0.2">
      <c r="A6230">
        <v>6169</v>
      </c>
      <c r="B6230" s="138">
        <f>'Acct Summary 7-8'!J20</f>
        <v>82393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82393</v>
      </c>
      <c r="D6263" s="2" t="str">
        <f t="shared" si="96"/>
        <v>Error?</v>
      </c>
      <c r="E6263" s="2" t="s">
        <v>190</v>
      </c>
    </row>
    <row r="6264" spans="1:5" x14ac:dyDescent="0.2">
      <c r="A6264">
        <v>6203</v>
      </c>
      <c r="B6264" s="138">
        <f>'Acct Summary 7-8'!J79</f>
        <v>266293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348686</v>
      </c>
      <c r="D6266" s="2" t="str">
        <f t="shared" si="96"/>
        <v>Error?</v>
      </c>
      <c r="E6266" s="2" t="s">
        <v>190</v>
      </c>
    </row>
    <row r="6267" spans="1:5" x14ac:dyDescent="0.2">
      <c r="A6267">
        <v>6206</v>
      </c>
      <c r="B6267" s="138">
        <f>'Acct Summary 7-8'!C82</f>
        <v>23563</v>
      </c>
      <c r="D6267" s="2" t="str">
        <f t="shared" si="96"/>
        <v>Error?</v>
      </c>
      <c r="E6267" s="2" t="s">
        <v>190</v>
      </c>
    </row>
    <row r="6268" spans="1:5" x14ac:dyDescent="0.2">
      <c r="A6268">
        <v>6207</v>
      </c>
      <c r="B6268" s="138">
        <f>'Acct Summary 7-8'!D82</f>
        <v>-14789</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7730</v>
      </c>
      <c r="D6270" s="2" t="str">
        <f t="shared" si="96"/>
        <v>Error?</v>
      </c>
      <c r="E6270" s="2" t="s">
        <v>190</v>
      </c>
    </row>
    <row r="6271" spans="1:5" x14ac:dyDescent="0.2">
      <c r="A6271">
        <v>6210</v>
      </c>
      <c r="B6271" s="138">
        <f>'Acct Summary 7-8'!G82</f>
        <v>-37207</v>
      </c>
      <c r="D6271" s="2" t="str">
        <f t="shared" ref="D6271:D6334" si="97">IF(ISBLANK(B6271),"OK",IF(A6271-B6271=0,"OK","Error?"))</f>
        <v>Error?</v>
      </c>
      <c r="E6271" s="2" t="s">
        <v>190</v>
      </c>
    </row>
    <row r="6272" spans="1:5" x14ac:dyDescent="0.2">
      <c r="A6272">
        <v>6211</v>
      </c>
      <c r="B6272" s="138">
        <f>'Acct Summary 7-8'!H82</f>
        <v>19833</v>
      </c>
      <c r="D6272" s="2" t="str">
        <f t="shared" si="97"/>
        <v>Error?</v>
      </c>
      <c r="E6272" s="2" t="s">
        <v>190</v>
      </c>
    </row>
    <row r="6273" spans="1:5" x14ac:dyDescent="0.2">
      <c r="A6273">
        <v>6212</v>
      </c>
      <c r="B6273" s="138">
        <f>'Acct Summary 7-8'!I82</f>
        <v>37261</v>
      </c>
      <c r="D6273" s="2" t="str">
        <f t="shared" si="97"/>
        <v>Error?</v>
      </c>
      <c r="E6273" s="2" t="s">
        <v>190</v>
      </c>
    </row>
    <row r="6274" spans="1:5" x14ac:dyDescent="0.2">
      <c r="A6274">
        <v>6213</v>
      </c>
      <c r="B6274" s="138">
        <f>'Acct Summary 7-8'!J82</f>
        <v>82393</v>
      </c>
      <c r="D6274" s="2" t="str">
        <f t="shared" si="97"/>
        <v>Error?</v>
      </c>
      <c r="E6274" s="2" t="s">
        <v>190</v>
      </c>
    </row>
    <row r="6275" spans="1:5" x14ac:dyDescent="0.2">
      <c r="A6275">
        <v>6214</v>
      </c>
      <c r="B6275" s="138">
        <f>'Acct Summary 7-8'!K82</f>
        <v>-191934</v>
      </c>
      <c r="D6275" s="2" t="str">
        <f t="shared" si="97"/>
        <v>Error?</v>
      </c>
      <c r="E6275" s="2" t="s">
        <v>190</v>
      </c>
    </row>
    <row r="6276" spans="1:5" x14ac:dyDescent="0.2">
      <c r="A6276">
        <v>6215</v>
      </c>
      <c r="B6276" s="138">
        <f>'Acct Summary 7-8'!C83</f>
        <v>8.8158485483388213E-2</v>
      </c>
      <c r="D6276" s="2" t="str">
        <f t="shared" si="97"/>
        <v>Error?</v>
      </c>
      <c r="E6276" s="2" t="s">
        <v>190</v>
      </c>
    </row>
    <row r="6277" spans="1:5" x14ac:dyDescent="0.2">
      <c r="A6277">
        <v>6216</v>
      </c>
      <c r="B6277" s="138">
        <f>'Acct Summary 7-8'!D83</f>
        <v>-1.1825561572242354E-2</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8.1699519103736198E-2</v>
      </c>
      <c r="D6279" s="2" t="str">
        <f t="shared" si="97"/>
        <v>Error?</v>
      </c>
      <c r="E6279" s="2" t="s">
        <v>190</v>
      </c>
    </row>
    <row r="6280" spans="1:5" x14ac:dyDescent="0.2">
      <c r="A6280">
        <v>6219</v>
      </c>
      <c r="B6280" s="138">
        <f>'Acct Summary 7-8'!G83</f>
        <v>-0.1257435044745451</v>
      </c>
      <c r="D6280" s="2" t="str">
        <f t="shared" si="97"/>
        <v>Error?</v>
      </c>
      <c r="E6280" s="2" t="s">
        <v>190</v>
      </c>
    </row>
    <row r="6281" spans="1:5" x14ac:dyDescent="0.2">
      <c r="A6281">
        <v>6220</v>
      </c>
      <c r="B6281" s="138">
        <f>'Acct Summary 7-8'!H83</f>
        <v>0.27550807784738912</v>
      </c>
      <c r="D6281" s="2" t="str">
        <f t="shared" si="97"/>
        <v>Error?</v>
      </c>
      <c r="E6281" s="2" t="s">
        <v>190</v>
      </c>
    </row>
    <row r="6282" spans="1:5" x14ac:dyDescent="0.2">
      <c r="A6282">
        <v>6221</v>
      </c>
      <c r="B6282" s="138">
        <f>'Acct Summary 7-8'!I83</f>
        <v>0.10157067777390091</v>
      </c>
      <c r="D6282" s="2" t="str">
        <f t="shared" si="97"/>
        <v>Error?</v>
      </c>
      <c r="E6282" s="2" t="s">
        <v>190</v>
      </c>
    </row>
    <row r="6283" spans="1:5" x14ac:dyDescent="0.2">
      <c r="A6283">
        <v>6222</v>
      </c>
      <c r="B6283" s="138">
        <f>'Acct Summary 7-8'!J83</f>
        <v>0.23629569297304739</v>
      </c>
      <c r="D6283" s="2" t="str">
        <f t="shared" si="97"/>
        <v>Error?</v>
      </c>
      <c r="E6283" s="2" t="s">
        <v>190</v>
      </c>
    </row>
    <row r="6284" spans="1:5" x14ac:dyDescent="0.2">
      <c r="A6284">
        <v>6223</v>
      </c>
      <c r="B6284" s="138">
        <f>'Acct Summary 7-8'!K83</f>
        <v>-4.4826587570357566</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452263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452263</v>
      </c>
      <c r="D6301" s="2" t="str">
        <f t="shared" si="97"/>
        <v>Error?</v>
      </c>
      <c r="E6301" s="2" t="s">
        <v>190</v>
      </c>
    </row>
    <row r="6302" spans="1:5" x14ac:dyDescent="0.2">
      <c r="A6302">
        <v>6241</v>
      </c>
      <c r="B6302" s="138">
        <f>'Revenues 9-14'!J14</f>
        <v>161</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161</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4629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4629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1025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457053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19873</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56503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672</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80106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1246</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15648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1918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2550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2550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2550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2550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5100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2473</v>
      </c>
      <c r="D6987" s="2" t="str">
        <f t="shared" si="108"/>
        <v>Error?</v>
      </c>
    </row>
    <row r="6988" spans="1:4" x14ac:dyDescent="0.2">
      <c r="A6988">
        <v>6927</v>
      </c>
      <c r="B6988" s="138">
        <f>'Expenditures 15-22'!K88</f>
        <v>2473</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2473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1918</v>
      </c>
      <c r="D7020" s="2" t="str">
        <f t="shared" si="108"/>
        <v>Error?</v>
      </c>
    </row>
    <row r="7021" spans="1:4" x14ac:dyDescent="0.2">
      <c r="A7021">
        <v>6960</v>
      </c>
      <c r="B7021" s="138">
        <f>'Expenditures 15-22'!J114</f>
        <v>5100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956</v>
      </c>
      <c r="D7028" s="2" t="str">
        <f t="shared" si="108"/>
        <v>Error?</v>
      </c>
    </row>
    <row r="7029" spans="1:4" x14ac:dyDescent="0.2">
      <c r="A7029">
        <v>6968</v>
      </c>
      <c r="B7029" s="138">
        <f>'Expenditures 15-22'!J124</f>
        <v>6000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956</v>
      </c>
      <c r="D7033" s="2" t="str">
        <f t="shared" si="108"/>
        <v>Error?</v>
      </c>
    </row>
    <row r="7034" spans="1:4" x14ac:dyDescent="0.2">
      <c r="A7034">
        <v>6973</v>
      </c>
      <c r="B7034" s="138">
        <f>'Expenditures 15-22'!J127</f>
        <v>6000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956</v>
      </c>
      <c r="D7037" s="2" t="str">
        <f t="shared" si="108"/>
        <v>Error?</v>
      </c>
    </row>
    <row r="7038" spans="1:4" x14ac:dyDescent="0.2">
      <c r="A7038">
        <v>6977</v>
      </c>
      <c r="B7038" s="138">
        <f>'Expenditures 15-22'!J129</f>
        <v>6000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374660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956</v>
      </c>
      <c r="D7051" s="2" t="str">
        <f t="shared" si="109"/>
        <v>Error?</v>
      </c>
    </row>
    <row r="7052" spans="1:5" x14ac:dyDescent="0.2">
      <c r="A7052">
        <v>6991</v>
      </c>
      <c r="B7052" s="138">
        <f>'Expenditures 15-22'!J151</f>
        <v>6000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457053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1763</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1763</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1763</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4969</v>
      </c>
      <c r="D7073" s="2" t="str">
        <f t="shared" si="109"/>
        <v>Error?</v>
      </c>
    </row>
    <row r="7074" spans="1:4" x14ac:dyDescent="0.2">
      <c r="A7074">
        <v>7013</v>
      </c>
      <c r="B7074" s="138">
        <f>'Expenditures 15-22'!K216</f>
        <v>4969</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202</v>
      </c>
      <c r="D7079" s="2" t="str">
        <f t="shared" si="109"/>
        <v>Error?</v>
      </c>
    </row>
    <row r="7080" spans="1:4" x14ac:dyDescent="0.2">
      <c r="A7080">
        <v>7019</v>
      </c>
      <c r="B7080" s="138">
        <f>'Expenditures 15-22'!K226</f>
        <v>202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14958</v>
      </c>
      <c r="D7093" s="2" t="str">
        <f t="shared" si="109"/>
        <v>Error?</v>
      </c>
    </row>
    <row r="7094" spans="1:4" x14ac:dyDescent="0.2">
      <c r="A7094">
        <v>7033</v>
      </c>
      <c r="B7094" s="138">
        <f>'Expenditures 15-22'!K254</f>
        <v>14958</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45730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45730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40727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40727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167120</v>
      </c>
      <c r="D7172" s="2" t="str">
        <f t="shared" si="111"/>
        <v>Error?</v>
      </c>
    </row>
    <row r="7173" spans="1:4" x14ac:dyDescent="0.2">
      <c r="A7173">
        <v>7112</v>
      </c>
      <c r="B7173" s="138">
        <f>'Expenditures 15-22'!D325</f>
        <v>36180</v>
      </c>
      <c r="D7173" s="2" t="str">
        <f t="shared" si="111"/>
        <v>Error?</v>
      </c>
    </row>
    <row r="7174" spans="1:4" x14ac:dyDescent="0.2">
      <c r="A7174">
        <v>7113</v>
      </c>
      <c r="B7174" s="138">
        <f>'Expenditures 15-22'!E325</f>
        <v>5816</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35453</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244569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18425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8545</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26970</v>
      </c>
      <c r="D7198" s="2" t="str">
        <f t="shared" si="111"/>
        <v>Error?</v>
      </c>
    </row>
    <row r="7199" spans="1:4" x14ac:dyDescent="0.2">
      <c r="A7199">
        <v>7138</v>
      </c>
      <c r="B7199" s="138">
        <f>'Expenditures 15-22'!C330</f>
        <v>167120</v>
      </c>
      <c r="D7199" s="2" t="str">
        <f t="shared" si="111"/>
        <v>Error?</v>
      </c>
    </row>
    <row r="7200" spans="1:4" x14ac:dyDescent="0.2">
      <c r="A7200">
        <v>7139</v>
      </c>
      <c r="B7200" s="138">
        <f>'Expenditures 15-22'!D330</f>
        <v>36180</v>
      </c>
      <c r="D7200" s="2" t="str">
        <f t="shared" si="111"/>
        <v>Error?</v>
      </c>
    </row>
    <row r="7201" spans="1:4" x14ac:dyDescent="0.2">
      <c r="A7201">
        <v>7140</v>
      </c>
      <c r="B7201" s="138">
        <f>'Expenditures 15-22'!E330</f>
        <v>127362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43998</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374660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167120</v>
      </c>
      <c r="D7216" s="2" t="str">
        <f t="shared" si="111"/>
        <v>Error?</v>
      </c>
    </row>
    <row r="7217" spans="1:4" x14ac:dyDescent="0.2">
      <c r="A7217">
        <v>7156</v>
      </c>
      <c r="B7217" s="138">
        <f>'Expenditures 15-22'!D342</f>
        <v>36180</v>
      </c>
      <c r="D7217" s="2" t="str">
        <f t="shared" si="111"/>
        <v>Error?</v>
      </c>
    </row>
    <row r="7218" spans="1:4" x14ac:dyDescent="0.2">
      <c r="A7218">
        <v>7157</v>
      </c>
      <c r="B7218" s="138">
        <f>'Expenditures 15-22'!E342</f>
        <v>127362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43998</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374660</v>
      </c>
      <c r="D7224" s="2" t="str">
        <f t="shared" si="111"/>
        <v>Error?</v>
      </c>
    </row>
    <row r="7225" spans="1:4" x14ac:dyDescent="0.2">
      <c r="A7225">
        <v>7164</v>
      </c>
      <c r="B7225" s="138">
        <f>'Expenditures 15-22'!K343</f>
        <v>82393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20076</v>
      </c>
      <c r="D7246" s="2" t="str">
        <f t="shared" si="112"/>
        <v>Error?</v>
      </c>
    </row>
    <row r="7247" spans="1:4" x14ac:dyDescent="0.2">
      <c r="A7247">
        <f t="shared" si="113"/>
        <v>7186</v>
      </c>
      <c r="B7247" s="138">
        <f>'Expenditures 15-22'!E7</f>
        <v>878</v>
      </c>
      <c r="D7247" s="2" t="str">
        <f t="shared" si="112"/>
        <v>Error?</v>
      </c>
    </row>
    <row r="7248" spans="1:4" x14ac:dyDescent="0.2">
      <c r="A7248">
        <f t="shared" si="113"/>
        <v>7187</v>
      </c>
      <c r="B7248" s="138">
        <f>'Expenditures 15-22'!F7</f>
        <v>2649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13960</v>
      </c>
      <c r="D7263" s="2" t="str">
        <f t="shared" si="112"/>
        <v>Error?</v>
      </c>
    </row>
    <row r="7264" spans="1:4" x14ac:dyDescent="0.2">
      <c r="A7264">
        <f t="shared" si="113"/>
        <v>7203</v>
      </c>
      <c r="B7264" s="138">
        <f>'Expenditures 15-22'!D17</f>
        <v>1613</v>
      </c>
      <c r="D7264" s="2" t="str">
        <f t="shared" si="112"/>
        <v>Error?</v>
      </c>
    </row>
    <row r="7265" spans="1:5" x14ac:dyDescent="0.2">
      <c r="A7265">
        <f t="shared" si="113"/>
        <v>7204</v>
      </c>
      <c r="B7265" s="138">
        <f>'Expenditures 15-22'!E17</f>
        <v>75</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216525</v>
      </c>
      <c r="D7615" s="2" t="str">
        <f t="shared" ref="D7615:D7678" si="124">IF(ISBLANK(B7615),"OK",IF(A7615-B7615=0,"OK","Error?"))</f>
        <v>Error?</v>
      </c>
      <c r="E7615" s="2" t="s">
        <v>19</v>
      </c>
    </row>
    <row r="7616" spans="1:5" x14ac:dyDescent="0.2">
      <c r="A7616">
        <f t="shared" si="123"/>
        <v>7555</v>
      </c>
      <c r="B7616" s="138">
        <f>'Cap Outlay Deprec 26'!D14</f>
        <v>7722</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224247</v>
      </c>
      <c r="D7618" s="2" t="str">
        <f t="shared" si="124"/>
        <v>Error?</v>
      </c>
      <c r="E7618" s="2" t="s">
        <v>19</v>
      </c>
    </row>
    <row r="7619" spans="1:5" x14ac:dyDescent="0.2">
      <c r="A7619">
        <f t="shared" si="123"/>
        <v>7558</v>
      </c>
      <c r="B7619" s="138">
        <f>'Cap Outlay Deprec 26'!H14</f>
        <v>185691</v>
      </c>
      <c r="D7619" s="2" t="str">
        <f t="shared" si="124"/>
        <v>Error?</v>
      </c>
      <c r="E7619" s="2" t="s">
        <v>19</v>
      </c>
    </row>
    <row r="7620" spans="1:5" x14ac:dyDescent="0.2">
      <c r="A7620">
        <f t="shared" si="123"/>
        <v>7559</v>
      </c>
      <c r="B7620" s="138">
        <f>'Cap Outlay Deprec 26'!I14</f>
        <v>18613</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204304</v>
      </c>
      <c r="D7622" s="2" t="str">
        <f t="shared" si="124"/>
        <v>Error?</v>
      </c>
      <c r="E7622" s="2" t="s">
        <v>19</v>
      </c>
    </row>
    <row r="7623" spans="1:5" x14ac:dyDescent="0.2">
      <c r="A7623">
        <f t="shared" si="123"/>
        <v>7562</v>
      </c>
      <c r="B7623" s="138">
        <f>'Cap Outlay Deprec 26'!L14</f>
        <v>19943</v>
      </c>
      <c r="D7623" s="2" t="str">
        <f t="shared" si="124"/>
        <v>Error?</v>
      </c>
      <c r="E7623" s="2" t="s">
        <v>19</v>
      </c>
    </row>
    <row r="7624" spans="1:5" x14ac:dyDescent="0.2">
      <c r="A7624">
        <f t="shared" si="123"/>
        <v>7563</v>
      </c>
      <c r="B7624" s="138">
        <f>'Cap Outlay Deprec 26'!F17</f>
        <v>4637</v>
      </c>
      <c r="D7624" s="2" t="str">
        <f t="shared" si="124"/>
        <v>Error?</v>
      </c>
      <c r="E7624" s="2" t="s">
        <v>19</v>
      </c>
    </row>
    <row r="7625" spans="1:5" x14ac:dyDescent="0.2">
      <c r="A7625">
        <f t="shared" si="123"/>
        <v>7564</v>
      </c>
      <c r="B7625" s="138">
        <f>'Cap Outlay Deprec 26'!I17</f>
        <v>463.7</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72878.7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16664</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16664</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42762</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1025</v>
      </c>
      <c r="D7712" s="2" t="str">
        <f t="shared" si="126"/>
        <v>Error?</v>
      </c>
      <c r="E7712" s="2" t="s">
        <v>827</v>
      </c>
    </row>
    <row r="7713" spans="1:6" x14ac:dyDescent="0.2">
      <c r="A7713">
        <v>7652</v>
      </c>
      <c r="B7713" s="138">
        <f>'Rest Tax Levies-Tort Im 25'!J8</f>
        <v>19086</v>
      </c>
      <c r="D7713" s="2" t="str">
        <f t="shared" si="126"/>
        <v>Error?</v>
      </c>
      <c r="E7713" s="2" t="s">
        <v>827</v>
      </c>
    </row>
    <row r="7714" spans="1:6" x14ac:dyDescent="0.2">
      <c r="A7714">
        <v>7653</v>
      </c>
      <c r="B7714" s="138">
        <f>'Rest Tax Levies-Tort Im 25'!K9</f>
        <v>7838</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19086</v>
      </c>
      <c r="D7718" s="2" t="str">
        <f t="shared" si="126"/>
        <v>Error?</v>
      </c>
      <c r="E7718" s="2" t="s">
        <v>827</v>
      </c>
    </row>
    <row r="7719" spans="1:6" x14ac:dyDescent="0.2">
      <c r="A7719">
        <v>7658</v>
      </c>
      <c r="B7719" s="138">
        <f>'Rest Tax Levies-Tort Im 25'!K12</f>
        <v>8863</v>
      </c>
      <c r="D7719" s="2" t="str">
        <f t="shared" si="126"/>
        <v>Error?</v>
      </c>
      <c r="E7719" s="2" t="s">
        <v>827</v>
      </c>
    </row>
    <row r="7720" spans="1:6" x14ac:dyDescent="0.2">
      <c r="A7720">
        <v>7659</v>
      </c>
      <c r="B7720" s="138">
        <f>'Rest Tax Levies-Tort Im 25'!H14</f>
        <v>26415</v>
      </c>
      <c r="D7720" s="2" t="str">
        <f t="shared" si="126"/>
        <v>Error?</v>
      </c>
      <c r="E7720" s="2" t="s">
        <v>827</v>
      </c>
    </row>
    <row r="7721" spans="1:6" x14ac:dyDescent="0.2">
      <c r="A7721">
        <v>7660</v>
      </c>
      <c r="B7721" s="138">
        <f>'Rest Tax Levies-Tort Im 25'!K14</f>
        <v>8863</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19086</v>
      </c>
      <c r="D7731" s="2" t="str">
        <f t="shared" si="126"/>
        <v>Error?</v>
      </c>
      <c r="E7731" s="2" t="s">
        <v>827</v>
      </c>
    </row>
    <row r="7732" spans="1:6" x14ac:dyDescent="0.2">
      <c r="A7732">
        <v>7671</v>
      </c>
      <c r="B7732" s="138">
        <f>'Rest Tax Levies-Tort Im 25'!J24</f>
        <v>61848</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61848</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224121</v>
      </c>
      <c r="D7797" s="2" t="str">
        <f t="shared" si="127"/>
        <v>Error?</v>
      </c>
      <c r="E7797" s="4" t="s">
        <v>1903</v>
      </c>
    </row>
    <row r="7798" spans="1:5" x14ac:dyDescent="0.2">
      <c r="A7798">
        <v>7737</v>
      </c>
      <c r="B7798" s="138">
        <f>'Contracts Paid in CY 29'!F141</f>
        <v>100000</v>
      </c>
      <c r="D7798" s="2" t="str">
        <f t="shared" si="127"/>
        <v>Error?</v>
      </c>
      <c r="E7798" s="4" t="s">
        <v>1903</v>
      </c>
    </row>
    <row r="7799" spans="1:5" x14ac:dyDescent="0.2">
      <c r="A7799">
        <v>7738</v>
      </c>
      <c r="B7799" s="138">
        <f>'Contracts Paid in CY 29'!G141</f>
        <v>124121</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4" t="s">
        <v>1191</v>
      </c>
      <c r="B2" s="2404"/>
      <c r="C2" s="2404"/>
      <c r="D2" s="2404"/>
      <c r="E2" s="2404"/>
      <c r="F2" s="2404"/>
      <c r="G2" s="2404"/>
      <c r="H2" s="2404"/>
      <c r="I2" s="2404"/>
      <c r="J2" s="2404"/>
      <c r="K2" s="2404"/>
      <c r="L2" s="2404"/>
    </row>
    <row r="3" spans="1:29" ht="13.5" customHeight="1" x14ac:dyDescent="0.2">
      <c r="A3" s="2390" t="s">
        <v>1190</v>
      </c>
      <c r="B3" s="2390"/>
      <c r="C3" s="2390"/>
      <c r="D3" s="2390"/>
      <c r="E3" s="2390"/>
      <c r="F3" s="2390"/>
      <c r="G3" s="2390"/>
      <c r="H3" s="2390"/>
      <c r="I3" s="2390"/>
      <c r="J3" s="2390"/>
      <c r="K3" s="2390"/>
      <c r="L3" s="2390"/>
    </row>
    <row r="4" spans="1:29" ht="13.5" customHeight="1" x14ac:dyDescent="0.2">
      <c r="A4" s="2404" t="s">
        <v>1988</v>
      </c>
      <c r="B4" s="2421"/>
      <c r="C4" s="2421"/>
      <c r="D4" s="2421"/>
      <c r="E4" s="2421"/>
      <c r="F4" s="2421"/>
      <c r="G4" s="2421"/>
      <c r="H4" s="2421"/>
      <c r="I4" s="2421"/>
      <c r="J4" s="2421"/>
      <c r="K4" s="2421"/>
      <c r="L4" s="242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4" t="str">
        <f>COVER!A17</f>
        <v>Southeastern CUSD 337</v>
      </c>
      <c r="B7" s="2385"/>
      <c r="C7" s="2385"/>
      <c r="D7" s="2422"/>
      <c r="E7" s="2423">
        <f>COVER!A13</f>
        <v>26034337026</v>
      </c>
      <c r="F7" s="2424"/>
      <c r="G7" s="2391" t="str">
        <f>COVER!T23</f>
        <v>066-004769</v>
      </c>
      <c r="H7" s="2392"/>
      <c r="I7" s="2392"/>
      <c r="J7" s="2392"/>
      <c r="K7" s="2392"/>
      <c r="L7" s="239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4"/>
      <c r="B9" s="2395"/>
      <c r="C9" s="2395"/>
      <c r="D9" s="2395"/>
      <c r="E9" s="2395"/>
      <c r="F9" s="2396"/>
      <c r="G9" s="2397" t="str">
        <f>COVER!T13</f>
        <v>Meister, Hilton, Chitwood &amp; Associates, Inc.</v>
      </c>
      <c r="H9" s="2398"/>
      <c r="I9" s="2398"/>
      <c r="J9" s="2398"/>
      <c r="K9" s="2398"/>
      <c r="L9" s="2399"/>
    </row>
    <row r="10" spans="1:29" ht="13.5" customHeight="1" x14ac:dyDescent="0.2">
      <c r="A10" s="2381" t="str">
        <f>COVER!A38</f>
        <v>D. Todd Fox</v>
      </c>
      <c r="B10" s="2382"/>
      <c r="C10" s="2382"/>
      <c r="D10" s="2382"/>
      <c r="E10" s="2382"/>
      <c r="F10" s="2383"/>
      <c r="G10" s="2397" t="str">
        <f>COVER!T17</f>
        <v>809 W. Detweiller Drive, Suite 806</v>
      </c>
      <c r="H10" s="2410"/>
      <c r="I10" s="2410"/>
      <c r="J10" s="2410"/>
      <c r="K10" s="2410"/>
      <c r="L10" s="2411"/>
    </row>
    <row r="11" spans="1:29" ht="13.5" customHeight="1" x14ac:dyDescent="0.2">
      <c r="A11" s="1184" t="s">
        <v>1519</v>
      </c>
      <c r="B11" s="1185"/>
      <c r="C11" s="1186"/>
      <c r="D11" s="1191"/>
      <c r="E11" s="1186"/>
      <c r="F11" s="1190"/>
      <c r="G11" s="2397" t="str">
        <f>COVER!T19</f>
        <v>Peoria</v>
      </c>
      <c r="H11" s="2410"/>
      <c r="I11" s="2410"/>
      <c r="J11" s="2410"/>
      <c r="K11" s="2410"/>
      <c r="L11" s="2411"/>
    </row>
    <row r="12" spans="1:29" ht="13.5" customHeight="1" x14ac:dyDescent="0.2">
      <c r="A12" s="2415" t="s">
        <v>1518</v>
      </c>
      <c r="B12" s="2416"/>
      <c r="C12" s="2416"/>
      <c r="D12" s="2416"/>
      <c r="E12" s="2416"/>
      <c r="F12" s="2417"/>
      <c r="G12" s="2412"/>
      <c r="H12" s="2413"/>
      <c r="I12" s="2413"/>
      <c r="J12" s="2413"/>
      <c r="K12" s="2413"/>
      <c r="L12" s="2414"/>
    </row>
    <row r="13" spans="1:29" ht="13.5" customHeight="1" x14ac:dyDescent="0.2">
      <c r="A13" s="2397"/>
      <c r="B13" s="2410"/>
      <c r="C13" s="2410"/>
      <c r="D13" s="2410"/>
      <c r="E13" s="2410"/>
      <c r="F13" s="2411"/>
      <c r="G13" s="2405" t="s">
        <v>1520</v>
      </c>
      <c r="H13" s="2406"/>
      <c r="I13" s="2418" t="str">
        <f>COVER!T25</f>
        <v>ron.hilton!@comcast.net</v>
      </c>
      <c r="J13" s="2419"/>
      <c r="K13" s="2419"/>
      <c r="L13" s="2420"/>
    </row>
    <row r="14" spans="1:29" ht="13.5" customHeight="1" x14ac:dyDescent="0.2">
      <c r="A14" s="2397" t="str">
        <f>COVER!A19</f>
        <v>90 W. Green Street, P.O. Box 155</v>
      </c>
      <c r="B14" s="2410"/>
      <c r="C14" s="2410"/>
      <c r="D14" s="2410"/>
      <c r="E14" s="2410"/>
      <c r="F14" s="2411"/>
      <c r="G14" s="1195" t="s">
        <v>1185</v>
      </c>
      <c r="H14" s="1193"/>
      <c r="I14" s="1193"/>
      <c r="J14" s="1193"/>
      <c r="K14" s="1193"/>
      <c r="L14" s="1194"/>
    </row>
    <row r="15" spans="1:29" ht="13.5" customHeight="1" x14ac:dyDescent="0.2">
      <c r="A15" s="2397" t="str">
        <f>COVER!A21</f>
        <v>Augusta</v>
      </c>
      <c r="B15" s="2410"/>
      <c r="C15" s="2410"/>
      <c r="D15" s="2410"/>
      <c r="E15" s="2410"/>
      <c r="F15" s="2411"/>
      <c r="G15" s="2407" t="str">
        <f>COVER!T15</f>
        <v>Ron Hilton</v>
      </c>
      <c r="H15" s="2408"/>
      <c r="I15" s="2408"/>
      <c r="J15" s="2408"/>
      <c r="K15" s="2408"/>
      <c r="L15" s="2409"/>
    </row>
    <row r="16" spans="1:29" ht="12.2" customHeight="1" x14ac:dyDescent="0.2">
      <c r="A16" s="2387">
        <f>COVER!A25</f>
        <v>62311</v>
      </c>
      <c r="B16" s="2388"/>
      <c r="C16" s="2388"/>
      <c r="D16" s="2388"/>
      <c r="E16" s="2388"/>
      <c r="F16" s="2389"/>
      <c r="G16" s="2400"/>
      <c r="H16" s="2401"/>
      <c r="I16" s="2401"/>
      <c r="J16" s="2401"/>
      <c r="K16" s="2401"/>
      <c r="L16" s="2402"/>
    </row>
    <row r="17" spans="1:13" ht="12.2" customHeight="1" x14ac:dyDescent="0.2">
      <c r="A17" s="2403"/>
      <c r="B17" s="2388"/>
      <c r="C17" s="2388"/>
      <c r="D17" s="2388"/>
      <c r="E17" s="2388"/>
      <c r="F17" s="2389"/>
      <c r="G17" s="1195" t="s">
        <v>1184</v>
      </c>
      <c r="H17" s="1193"/>
      <c r="I17" s="1193"/>
      <c r="J17" s="1193"/>
      <c r="K17" s="1197" t="s">
        <v>1183</v>
      </c>
      <c r="L17" s="1190"/>
      <c r="M17" s="1183"/>
    </row>
    <row r="18" spans="1:13" ht="12.2" customHeight="1" x14ac:dyDescent="0.2">
      <c r="A18" s="2381"/>
      <c r="B18" s="2382"/>
      <c r="C18" s="2382"/>
      <c r="D18" s="2382"/>
      <c r="E18" s="2382"/>
      <c r="F18" s="2383"/>
      <c r="G18" s="2384" t="str">
        <f>COVER!T21</f>
        <v>(309) 683-0441</v>
      </c>
      <c r="H18" s="2385"/>
      <c r="I18" s="2385"/>
      <c r="J18" s="2385"/>
      <c r="K18" s="2384" t="str">
        <f>COVER!X21</f>
        <v>(309) 692-0492</v>
      </c>
      <c r="L18" s="238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Southeastern CUSD 337</v>
      </c>
      <c r="B1" s="2421"/>
      <c r="C1" s="2421"/>
      <c r="D1" s="2421"/>
    </row>
    <row r="2" spans="1:11" s="1212" customFormat="1" ht="12.75" x14ac:dyDescent="0.2">
      <c r="A2" s="2426">
        <f>'Single Audit Cover'!E7</f>
        <v>26034337026</v>
      </c>
      <c r="B2" s="2427"/>
      <c r="C2" s="2427"/>
      <c r="D2" s="2427"/>
    </row>
    <row r="3" spans="1:11" s="1212" customFormat="1" ht="12.75" x14ac:dyDescent="0.2">
      <c r="A3" s="2425" t="s">
        <v>1513</v>
      </c>
      <c r="B3" s="2421"/>
      <c r="C3" s="2421"/>
      <c r="D3" s="242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Southeastern CUSD 337</v>
      </c>
      <c r="B1" s="2429"/>
      <c r="C1" s="2429"/>
      <c r="D1" s="2429"/>
      <c r="E1" s="2429"/>
    </row>
    <row r="2" spans="1:5" x14ac:dyDescent="0.2">
      <c r="A2" s="2430">
        <f>'Single Audit Cover'!E7</f>
        <v>26034337026</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473906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23362</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-23043</v>
      </c>
    </row>
    <row r="19" spans="1:4" ht="13.5" thickBot="1" x14ac:dyDescent="0.25">
      <c r="A19" s="1262" t="s">
        <v>1235</v>
      </c>
      <c r="D19" s="1263">
        <f>SUM(D10:D17)</f>
        <v>474225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474225</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0</v>
      </c>
    </row>
    <row r="49" spans="2:4" x14ac:dyDescent="0.2">
      <c r="B49" s="1269" t="s">
        <v>1226</v>
      </c>
      <c r="C49" s="1269"/>
      <c r="D49" s="1270">
        <f>D32-D47</f>
        <v>474225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0" t="str">
        <f>'Single Audit Cover'!A7</f>
        <v>Southeastern CUSD 337</v>
      </c>
      <c r="C1" s="2433"/>
      <c r="D1" s="2433"/>
      <c r="E1" s="2433"/>
      <c r="F1" s="2433"/>
      <c r="G1" s="2433"/>
      <c r="H1" s="2433"/>
      <c r="I1" s="2433"/>
      <c r="J1" s="2433"/>
      <c r="K1" s="2433"/>
      <c r="L1" s="2433"/>
      <c r="M1" s="2433"/>
    </row>
    <row r="2" spans="2:14" ht="15" x14ac:dyDescent="0.2">
      <c r="B2" s="2434">
        <f>'Single Audit Cover'!E7</f>
        <v>26034337026</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1989</v>
      </c>
      <c r="K8" s="1316" t="s">
        <v>1261</v>
      </c>
      <c r="L8" s="1317" t="s">
        <v>1257</v>
      </c>
      <c r="M8" s="1318" t="s">
        <v>30</v>
      </c>
    </row>
    <row r="9" spans="2:14" ht="14.25" x14ac:dyDescent="0.2">
      <c r="B9" s="1322" t="s">
        <v>1259</v>
      </c>
      <c r="C9" s="1310" t="s">
        <v>1735</v>
      </c>
      <c r="D9" s="1311" t="s">
        <v>1736</v>
      </c>
      <c r="E9" s="1319" t="s">
        <v>1839</v>
      </c>
      <c r="F9" s="1320" t="s">
        <v>1989</v>
      </c>
      <c r="G9" s="1321" t="s">
        <v>1839</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D10" sqref="D10"/>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8" t="str">
        <f>'Single Audit Cover'!A7</f>
        <v>Southeastern CUSD 337</v>
      </c>
      <c r="B1" s="2438"/>
      <c r="C1" s="2438"/>
      <c r="D1" s="2438"/>
      <c r="E1" s="2438"/>
      <c r="F1" s="2438"/>
    </row>
    <row r="2" spans="1:7" ht="13.5" customHeight="1" x14ac:dyDescent="0.2">
      <c r="A2" s="2434">
        <f>'Single Audit Cover'!E7</f>
        <v>26034337026</v>
      </c>
      <c r="B2" s="2434"/>
      <c r="C2" s="2434"/>
      <c r="D2" s="2434"/>
      <c r="E2" s="2434"/>
      <c r="F2" s="2434"/>
      <c r="G2" s="1272"/>
    </row>
    <row r="3" spans="1:7" ht="15.75" customHeight="1" x14ac:dyDescent="0.2">
      <c r="A3" s="2439" t="s">
        <v>1271</v>
      </c>
      <c r="B3" s="2439"/>
      <c r="C3" s="2439"/>
      <c r="D3" s="2439"/>
      <c r="E3" s="2439"/>
      <c r="F3" s="2439"/>
    </row>
    <row r="4" spans="1:7" ht="13.5" customHeight="1" x14ac:dyDescent="0.2">
      <c r="A4" s="2440" t="str">
        <f>'Single Audit Cover'!A4</f>
        <v>Year Ending June 30, 2019</v>
      </c>
      <c r="B4" s="2440"/>
      <c r="C4" s="2440"/>
      <c r="D4" s="2440"/>
      <c r="E4" s="2440"/>
      <c r="F4" s="2440"/>
    </row>
    <row r="5" spans="1:7" ht="8.25" customHeight="1" x14ac:dyDescent="0.2">
      <c r="C5" s="317"/>
      <c r="D5" s="317"/>
    </row>
    <row r="6" spans="1:7" ht="13.5" customHeight="1" x14ac:dyDescent="0.2">
      <c r="A6" s="1273" t="s">
        <v>1728</v>
      </c>
      <c r="C6" s="317"/>
      <c r="D6" s="317"/>
    </row>
    <row r="7" spans="1:7" ht="60.95" customHeight="1" x14ac:dyDescent="0.2">
      <c r="A7" s="2437" t="s">
        <v>1729</v>
      </c>
      <c r="B7" s="2437"/>
      <c r="C7" s="2437"/>
      <c r="D7" s="2437"/>
      <c r="E7" s="2437"/>
      <c r="F7" s="2437"/>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7" t="s">
        <v>1731</v>
      </c>
      <c r="B13" s="2437"/>
      <c r="C13" s="2437"/>
      <c r="D13" s="2437"/>
      <c r="E13" s="2437"/>
      <c r="F13" s="2437"/>
    </row>
    <row r="14" spans="1:7" ht="9.75" customHeight="1" x14ac:dyDescent="0.2">
      <c r="C14" s="1257"/>
      <c r="D14" s="1257"/>
    </row>
    <row r="15" spans="1:7" ht="13.5" customHeight="1" x14ac:dyDescent="0.2">
      <c r="C15" s="1846" t="s">
        <v>1270</v>
      </c>
      <c r="D15" s="2442" t="s">
        <v>1269</v>
      </c>
      <c r="E15" s="2442"/>
      <c r="F15" s="2442"/>
    </row>
    <row r="16" spans="1:7" ht="13.5" customHeight="1" x14ac:dyDescent="0.2">
      <c r="A16" s="1279"/>
      <c r="B16" s="1273" t="s">
        <v>1268</v>
      </c>
      <c r="C16" s="1846" t="s">
        <v>1267</v>
      </c>
      <c r="D16" s="2443" t="s">
        <v>1588</v>
      </c>
      <c r="E16" s="2443"/>
      <c r="F16" s="2443"/>
    </row>
    <row r="17" spans="1:6" ht="20.45" customHeight="1" x14ac:dyDescent="0.2">
      <c r="A17" s="1280"/>
      <c r="B17" s="1281"/>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5" t="s">
        <v>1732</v>
      </c>
      <c r="B32" s="2445"/>
      <c r="C32" s="2445"/>
      <c r="D32" s="2445"/>
      <c r="E32" s="2445"/>
      <c r="F32" s="2445"/>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6">
        <f>+C33+C34</f>
        <v>0</v>
      </c>
      <c r="F34" s="2447"/>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8" t="s">
        <v>1590</v>
      </c>
      <c r="C49" s="2448"/>
      <c r="D49" s="2448"/>
      <c r="E49" s="1396"/>
    </row>
    <row r="50" spans="1:5" s="1297" customFormat="1" ht="3.75" customHeight="1" x14ac:dyDescent="0.2">
      <c r="A50" s="1296"/>
      <c r="B50" s="1845"/>
      <c r="C50" s="1845"/>
      <c r="D50" s="1845"/>
      <c r="E50" s="1396"/>
    </row>
    <row r="51" spans="1:5" s="1297" customFormat="1" ht="20.25" customHeight="1" x14ac:dyDescent="0.2">
      <c r="A51" s="1298">
        <v>6</v>
      </c>
      <c r="B51" s="2444" t="s">
        <v>1551</v>
      </c>
      <c r="C51" s="2444"/>
      <c r="D51" s="2444"/>
    </row>
    <row r="52" spans="1:5" ht="14.25" customHeight="1" x14ac:dyDescent="0.2">
      <c r="A52" s="1298"/>
      <c r="B52" s="2444"/>
      <c r="C52" s="2444"/>
      <c r="D52" s="244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2063</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t="s">
        <v>2081</v>
      </c>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2064</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1" zoomScale="110" zoomScaleNormal="110" workbookViewId="0">
      <selection activeCell="G38" sqref="G38:I38"/>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3" t="str">
        <f>'Single Audit Cover'!A7</f>
        <v>Southeastern CUSD 337</v>
      </c>
      <c r="C1" s="2454"/>
      <c r="D1" s="2454"/>
      <c r="E1" s="2454"/>
      <c r="F1" s="2454"/>
      <c r="G1" s="2454"/>
      <c r="H1" s="2454"/>
      <c r="I1" s="2454"/>
      <c r="J1" s="1406"/>
    </row>
    <row r="2" spans="2:10" s="317" customFormat="1" ht="12.75" customHeight="1" x14ac:dyDescent="0.2">
      <c r="B2" s="2455">
        <f>'Single Audit Cover'!E7</f>
        <v>26034337026</v>
      </c>
      <c r="C2" s="2456"/>
      <c r="D2" s="2456"/>
      <c r="E2" s="2456"/>
      <c r="F2" s="2456"/>
      <c r="G2" s="2456"/>
      <c r="H2" s="2456"/>
      <c r="I2" s="2456"/>
      <c r="J2" s="1406"/>
    </row>
    <row r="3" spans="2:10" s="317" customFormat="1" ht="12.75" customHeight="1" x14ac:dyDescent="0.2">
      <c r="B3" s="2457" t="s">
        <v>1285</v>
      </c>
      <c r="C3" s="2458"/>
      <c r="D3" s="2458"/>
      <c r="E3" s="2458"/>
      <c r="F3" s="2458"/>
      <c r="G3" s="2458"/>
      <c r="H3" s="2458"/>
      <c r="I3" s="2458"/>
      <c r="J3" s="1407"/>
    </row>
    <row r="4" spans="2:10" s="317" customFormat="1" ht="12.75" customHeight="1" x14ac:dyDescent="0.2">
      <c r="B4" s="2457" t="str">
        <f>'Single Audit Cover'!A4</f>
        <v>Year Ending June 30, 2019</v>
      </c>
      <c r="C4" s="2458"/>
      <c r="D4" s="2458"/>
      <c r="E4" s="2458"/>
      <c r="F4" s="2458"/>
      <c r="G4" s="2458"/>
      <c r="H4" s="2458"/>
      <c r="I4" s="245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7" t="s">
        <v>1284</v>
      </c>
      <c r="C7" s="2458"/>
      <c r="D7" s="2458"/>
      <c r="E7" s="2458"/>
      <c r="F7" s="2458"/>
      <c r="G7" s="2458"/>
      <c r="H7" s="2458"/>
      <c r="I7" s="245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9"/>
      <c r="D11" s="245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0"/>
      <c r="E29" s="2460"/>
      <c r="F29" s="2460"/>
      <c r="G29" s="2460"/>
      <c r="H29" s="2460"/>
      <c r="I29" s="2460"/>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1" t="s">
        <v>1751</v>
      </c>
      <c r="D37" s="2462"/>
      <c r="E37" s="2462"/>
      <c r="F37" s="2463"/>
      <c r="G37" s="2461" t="s">
        <v>1592</v>
      </c>
      <c r="H37" s="2462"/>
      <c r="I37" s="2463"/>
    </row>
    <row r="38" spans="2:9" ht="16.5" customHeight="1" x14ac:dyDescent="0.2">
      <c r="B38" s="1428"/>
      <c r="C38" s="2449"/>
      <c r="D38" s="2450"/>
      <c r="E38" s="2450"/>
      <c r="F38" s="2451"/>
      <c r="G38" s="2464"/>
      <c r="H38" s="2465"/>
      <c r="I38" s="2466"/>
    </row>
    <row r="39" spans="2:9" ht="16.5" customHeight="1" x14ac:dyDescent="0.2">
      <c r="B39" s="1428"/>
      <c r="C39" s="2449"/>
      <c r="D39" s="2450"/>
      <c r="E39" s="2450"/>
      <c r="F39" s="2451"/>
      <c r="G39" s="2452"/>
      <c r="H39" s="2452"/>
      <c r="I39" s="2452"/>
    </row>
    <row r="40" spans="2:9" ht="16.5" customHeight="1" x14ac:dyDescent="0.2">
      <c r="B40" s="1428"/>
      <c r="C40" s="2449"/>
      <c r="D40" s="2450"/>
      <c r="E40" s="2450"/>
      <c r="F40" s="2451"/>
      <c r="G40" s="2452"/>
      <c r="H40" s="2452"/>
      <c r="I40" s="2452"/>
    </row>
    <row r="41" spans="2:9" ht="16.5" customHeight="1" x14ac:dyDescent="0.2">
      <c r="B41" s="1428"/>
      <c r="C41" s="2449"/>
      <c r="D41" s="2450"/>
      <c r="E41" s="2450"/>
      <c r="F41" s="2451"/>
      <c r="G41" s="2452"/>
      <c r="H41" s="2452"/>
      <c r="I41" s="2452"/>
    </row>
    <row r="42" spans="2:9" ht="16.5" customHeight="1" x14ac:dyDescent="0.2">
      <c r="B42" s="1428"/>
      <c r="C42" s="2449"/>
      <c r="D42" s="2450"/>
      <c r="E42" s="2450"/>
      <c r="F42" s="2451"/>
      <c r="G42" s="2452"/>
      <c r="H42" s="2452"/>
      <c r="I42" s="2452"/>
    </row>
    <row r="43" spans="2:9" ht="16.5" customHeight="1" x14ac:dyDescent="0.2">
      <c r="B43" s="1428"/>
      <c r="C43" s="2467" t="s">
        <v>1593</v>
      </c>
      <c r="D43" s="2468"/>
      <c r="E43" s="2468"/>
      <c r="F43" s="2469"/>
      <c r="G43" s="2470">
        <f>SUM(G38:I42)</f>
        <v>0</v>
      </c>
      <c r="H43" s="2470"/>
      <c r="I43" s="2470"/>
    </row>
    <row r="44" spans="2:9" ht="12.75" customHeight="1" x14ac:dyDescent="0.2"/>
    <row r="45" spans="2:9" ht="12.75" customHeight="1" x14ac:dyDescent="0.2">
      <c r="B45" s="1419" t="s">
        <v>2079</v>
      </c>
      <c r="D45" s="2471">
        <v>0</v>
      </c>
      <c r="E45" s="2472"/>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3"/>
      <c r="F49" s="2473"/>
      <c r="G49" s="2473"/>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Southeastern CUSD 337</v>
      </c>
      <c r="C1" s="2453"/>
      <c r="D1" s="2453"/>
      <c r="E1" s="2453"/>
      <c r="F1" s="2453"/>
      <c r="G1" s="2453"/>
      <c r="H1" s="2453"/>
      <c r="I1" s="2453"/>
      <c r="J1" s="2453"/>
      <c r="K1" s="2453"/>
      <c r="L1" s="1371"/>
      <c r="M1" s="1371"/>
    </row>
    <row r="2" spans="1:13" ht="12" customHeight="1" x14ac:dyDescent="0.2">
      <c r="B2" s="2455">
        <f>'Single Audit Cover'!E7</f>
        <v>26034337026</v>
      </c>
      <c r="C2" s="2455"/>
      <c r="D2" s="2455"/>
      <c r="E2" s="2455"/>
      <c r="F2" s="2455"/>
      <c r="G2" s="2455"/>
      <c r="H2" s="2455"/>
      <c r="I2" s="2455"/>
      <c r="J2" s="2455"/>
      <c r="K2" s="2455"/>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v>1</v>
      </c>
      <c r="E10" s="322"/>
      <c r="F10" s="1384" t="s">
        <v>1295</v>
      </c>
      <c r="G10" s="1385"/>
      <c r="H10" s="1386" t="s">
        <v>1294</v>
      </c>
      <c r="I10" s="1385" t="s">
        <v>2063</v>
      </c>
      <c r="J10" s="1387" t="s">
        <v>1293</v>
      </c>
      <c r="K10" s="322"/>
      <c r="L10" s="1378"/>
    </row>
    <row r="11" spans="1:13" ht="13.5" customHeight="1" x14ac:dyDescent="0.2">
      <c r="B11" s="322"/>
      <c r="C11" s="322"/>
      <c r="D11" s="322"/>
      <c r="E11" s="322"/>
      <c r="F11" s="322"/>
      <c r="G11" s="1380"/>
      <c r="H11" s="322"/>
      <c r="I11" s="1388" t="s">
        <v>1292</v>
      </c>
      <c r="J11" s="322"/>
      <c r="K11" s="1389">
        <v>2012</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t="s">
        <v>2092</v>
      </c>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t="s">
        <v>2092</v>
      </c>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t="s">
        <v>2093</v>
      </c>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t="s">
        <v>2094</v>
      </c>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t="s">
        <v>2095</v>
      </c>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t="s">
        <v>2096</v>
      </c>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t="s">
        <v>2097</v>
      </c>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35&amp;R&amp;8Page 35</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Southeastern CUSD 337</v>
      </c>
      <c r="C1" s="2453"/>
      <c r="D1" s="2453"/>
      <c r="E1" s="2453"/>
      <c r="F1" s="2453"/>
      <c r="G1" s="2453"/>
      <c r="H1" s="2453"/>
      <c r="I1" s="2453"/>
      <c r="J1" s="2453"/>
      <c r="K1" s="2453"/>
      <c r="L1" s="1371"/>
      <c r="M1" s="1371"/>
    </row>
    <row r="2" spans="1:13" ht="12" customHeight="1" x14ac:dyDescent="0.2">
      <c r="B2" s="2455">
        <f>'Single Audit Cover'!E7</f>
        <v>26034337026</v>
      </c>
      <c r="C2" s="2455"/>
      <c r="D2" s="2455"/>
      <c r="E2" s="2455"/>
      <c r="F2" s="2455"/>
      <c r="G2" s="2455"/>
      <c r="H2" s="2455"/>
      <c r="I2" s="2455"/>
      <c r="J2" s="2455"/>
      <c r="K2" s="2455"/>
      <c r="L2" s="1372"/>
      <c r="M2" s="1373"/>
    </row>
    <row r="3" spans="1:13" ht="10.35" customHeight="1" x14ac:dyDescent="0.2">
      <c r="B3" s="2476" t="s">
        <v>1285</v>
      </c>
      <c r="C3" s="2476"/>
      <c r="D3" s="2476"/>
      <c r="E3" s="2476"/>
      <c r="F3" s="2476"/>
      <c r="G3" s="2476"/>
      <c r="H3" s="2476"/>
      <c r="I3" s="2476"/>
      <c r="J3" s="2476"/>
      <c r="K3" s="2476"/>
      <c r="L3" s="1937"/>
      <c r="M3" s="1937"/>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v>2</v>
      </c>
      <c r="E10" s="322"/>
      <c r="F10" s="1384" t="s">
        <v>1295</v>
      </c>
      <c r="G10" s="1385"/>
      <c r="H10" s="1386" t="s">
        <v>1294</v>
      </c>
      <c r="I10" s="1385" t="s">
        <v>2063</v>
      </c>
      <c r="J10" s="1387" t="s">
        <v>1293</v>
      </c>
      <c r="K10" s="322"/>
      <c r="L10" s="1378"/>
    </row>
    <row r="11" spans="1:13" ht="13.5" customHeight="1" x14ac:dyDescent="0.2">
      <c r="B11" s="322"/>
      <c r="C11" s="322"/>
      <c r="D11" s="322"/>
      <c r="E11" s="322"/>
      <c r="F11" s="322"/>
      <c r="G11" s="1380"/>
      <c r="H11" s="322"/>
      <c r="I11" s="1388" t="s">
        <v>1292</v>
      </c>
      <c r="J11" s="322"/>
      <c r="K11" s="1389">
        <v>2012</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55.15" customHeight="1" x14ac:dyDescent="0.2">
      <c r="B14" s="2475" t="s">
        <v>2098</v>
      </c>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69.599999999999994" customHeight="1" x14ac:dyDescent="0.2">
      <c r="B17" s="2475" t="s">
        <v>2099</v>
      </c>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t="s">
        <v>2100</v>
      </c>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t="s">
        <v>2101</v>
      </c>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t="s">
        <v>2102</v>
      </c>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t="s">
        <v>2103</v>
      </c>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55.15" customHeight="1" x14ac:dyDescent="0.2">
      <c r="B32" s="2474" t="s">
        <v>2104</v>
      </c>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36&amp;R&amp;8Page 36</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Southeastern CUSD 337</v>
      </c>
      <c r="C1" s="2480"/>
      <c r="D1" s="2480"/>
      <c r="E1" s="2480"/>
      <c r="F1" s="2480"/>
      <c r="G1" s="2480"/>
      <c r="H1" s="2480"/>
      <c r="I1" s="2480"/>
      <c r="J1" s="2480"/>
      <c r="K1" s="2480"/>
      <c r="L1" s="1449"/>
    </row>
    <row r="2" spans="1:12" ht="12.75" customHeight="1" x14ac:dyDescent="0.2">
      <c r="B2" s="2481">
        <f>'Single Audit Cover'!E7</f>
        <v>26034337026</v>
      </c>
      <c r="C2" s="2481"/>
      <c r="D2" s="2481"/>
      <c r="E2" s="2481"/>
      <c r="F2" s="2481"/>
      <c r="G2" s="2481"/>
      <c r="H2" s="2481"/>
      <c r="I2" s="2481"/>
      <c r="J2" s="2481"/>
      <c r="K2" s="2481"/>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0"/>
      <c r="G12" s="2460"/>
      <c r="H12" s="2460"/>
      <c r="I12" s="2460"/>
      <c r="J12" s="2460"/>
      <c r="K12" s="246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c r="E14" s="2483"/>
      <c r="F14" s="2483"/>
      <c r="H14" s="1459" t="s">
        <v>1303</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c r="E16" s="2484"/>
      <c r="F16" s="2484"/>
      <c r="G16" s="2484"/>
      <c r="H16" s="2484"/>
      <c r="I16" s="2484"/>
      <c r="J16" s="2484"/>
      <c r="K16" s="2484"/>
      <c r="L16" s="322"/>
    </row>
    <row r="17" spans="2:12" ht="13.5" customHeight="1" x14ac:dyDescent="0.2">
      <c r="B17" s="1384" t="s">
        <v>1301</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3" t="str">
        <f>'Single Audit Cover'!A7</f>
        <v>Southeastern CUSD 337</v>
      </c>
      <c r="C1" s="2453"/>
      <c r="D1" s="2453"/>
      <c r="E1" s="1469"/>
    </row>
    <row r="2" spans="2:5" s="1279" customFormat="1" ht="12.75" customHeight="1" x14ac:dyDescent="0.2">
      <c r="B2" s="2455">
        <f>'Single Audit Cover'!E7</f>
        <v>26034337026</v>
      </c>
      <c r="C2" s="2455"/>
      <c r="D2" s="2455"/>
      <c r="E2" s="1470"/>
    </row>
    <row r="3" spans="2:5" ht="12.75" customHeight="1" x14ac:dyDescent="0.2">
      <c r="B3" s="2476" t="s">
        <v>1766</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3" sqref="B3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69392870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2.3E-2</v>
      </c>
      <c r="E10" s="356" t="s">
        <v>1005</v>
      </c>
      <c r="F10" s="355">
        <v>5.0000000000000001E-3</v>
      </c>
      <c r="G10" s="356" t="s">
        <v>1005</v>
      </c>
      <c r="H10" s="355">
        <v>2E-3</v>
      </c>
      <c r="I10" s="356" t="s">
        <v>1006</v>
      </c>
      <c r="J10" s="1732">
        <f>ROUND(D10+F10+H10,5)</f>
        <v>0.03</v>
      </c>
      <c r="K10" s="222"/>
      <c r="L10" s="355">
        <v>5.0000000000000001E-4</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5339258</v>
      </c>
      <c r="E16" s="356"/>
      <c r="F16" s="1733">
        <f>SUM('Acct Summary 7-8'!C17,'Acct Summary 7-8'!D17,'Acct Summary 7-8'!F17)</f>
        <v>5285493</v>
      </c>
      <c r="G16" s="356"/>
      <c r="H16" s="1733">
        <f>SUM(D16-F16)</f>
        <v>53765</v>
      </c>
      <c r="I16" s="222"/>
      <c r="J16" s="1733">
        <f>SUM('Acct Summary 7-8'!C81,'Acct Summary 7-8'!D81,'Acct Summary 7-8'!F81,'Acct Summary 7-8'!I81)</f>
        <v>1979339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9576216.0600000005</v>
      </c>
      <c r="I31" s="368"/>
      <c r="J31" s="222"/>
      <c r="K31" s="222"/>
      <c r="L31" s="222"/>
      <c r="M31" s="222"/>
    </row>
    <row r="32" spans="1:13" ht="13.35" customHeight="1" x14ac:dyDescent="0.2">
      <c r="B32" s="369" t="s">
        <v>2063</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Southeastern CUSD 337</v>
      </c>
      <c r="E7" s="391"/>
      <c r="G7" s="252"/>
      <c r="H7" s="387"/>
      <c r="I7" s="387"/>
      <c r="J7" s="387"/>
      <c r="K7" s="387"/>
      <c r="L7" s="329"/>
      <c r="M7" s="329"/>
      <c r="N7" s="329"/>
      <c r="O7" s="329"/>
      <c r="P7" s="329"/>
    </row>
    <row r="8" spans="1:18" ht="12.75" x14ac:dyDescent="0.2">
      <c r="A8" s="329"/>
      <c r="B8" s="329"/>
      <c r="C8" s="389" t="s">
        <v>1125</v>
      </c>
      <c r="D8" s="392">
        <f>COVER!A13</f>
        <v>26034337026</v>
      </c>
      <c r="E8" s="393"/>
      <c r="G8" s="329"/>
      <c r="H8" s="329"/>
      <c r="I8" s="329"/>
      <c r="J8" s="329"/>
      <c r="K8" s="329"/>
      <c r="L8" s="329"/>
      <c r="M8" s="329"/>
      <c r="N8" s="329"/>
      <c r="O8" s="329"/>
      <c r="P8" s="329"/>
    </row>
    <row r="9" spans="1:18" ht="12.75" x14ac:dyDescent="0.2">
      <c r="A9" s="329"/>
      <c r="B9" s="329"/>
      <c r="C9" s="389" t="s">
        <v>713</v>
      </c>
      <c r="D9" s="394" t="str">
        <f>COVER!A15</f>
        <v>Hancock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1979339</v>
      </c>
      <c r="I12" s="404"/>
      <c r="J12" s="404"/>
      <c r="K12" s="405">
        <f>TRUNC((H12/H13*100000),5)/100000</f>
        <v>0.37071424529999997</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5339258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5285493</v>
      </c>
      <c r="I17" s="404"/>
      <c r="J17" s="416"/>
      <c r="K17" s="405">
        <f>TRUNC((H17/H18*100000),5)/100000</f>
        <v>0.9899302486999999</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5339258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2089641</v>
      </c>
      <c r="I24" s="422"/>
      <c r="J24" s="422"/>
      <c r="K24" s="423">
        <f>TRUNC(((H24/H25*100000)/100000),2)</f>
        <v>142.32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14681.924999999999</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1769518.1850000001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9576216.0600000005</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C1" colorId="8" zoomScale="98" zoomScaleNormal="98" workbookViewId="0">
      <pane ySplit="2" topLeftCell="A3" activePane="bottomLeft" state="frozen"/>
      <selection pane="bottomLeft" activeCell="H39" sqref="H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v>351257</v>
      </c>
      <c r="D4" s="466">
        <v>1268146</v>
      </c>
      <c r="E4" s="466"/>
      <c r="F4" s="466">
        <v>101635</v>
      </c>
      <c r="G4" s="466">
        <v>301592</v>
      </c>
      <c r="H4" s="466">
        <v>71987</v>
      </c>
      <c r="I4" s="466">
        <v>368603</v>
      </c>
      <c r="J4" s="467">
        <v>367969</v>
      </c>
      <c r="K4" s="466">
        <v>44572</v>
      </c>
      <c r="L4" s="466">
        <v>24420</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351257</v>
      </c>
      <c r="D13" s="1737">
        <f t="shared" ref="D13:L13" si="0">SUM(D4:D12)</f>
        <v>1268146</v>
      </c>
      <c r="E13" s="1737">
        <f t="shared" si="0"/>
        <v>0</v>
      </c>
      <c r="F13" s="1737">
        <f t="shared" si="0"/>
        <v>101635</v>
      </c>
      <c r="G13" s="1737">
        <f t="shared" si="0"/>
        <v>301592</v>
      </c>
      <c r="H13" s="1737">
        <f t="shared" si="0"/>
        <v>71987</v>
      </c>
      <c r="I13" s="1737">
        <f t="shared" si="0"/>
        <v>368603</v>
      </c>
      <c r="J13" s="1737">
        <f t="shared" si="0"/>
        <v>367969</v>
      </c>
      <c r="K13" s="1737">
        <f t="shared" si="0"/>
        <v>44572</v>
      </c>
      <c r="L13" s="1737">
        <f t="shared" si="0"/>
        <v>24420</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21576</v>
      </c>
      <c r="N16" s="484"/>
    </row>
    <row r="17" spans="1:14" s="485" customFormat="1" ht="12.75" customHeight="1" x14ac:dyDescent="0.2">
      <c r="A17" s="482" t="s">
        <v>1403</v>
      </c>
      <c r="B17" s="483">
        <v>230</v>
      </c>
      <c r="C17" s="477"/>
      <c r="D17" s="477"/>
      <c r="E17" s="477"/>
      <c r="F17" s="477"/>
      <c r="G17" s="477"/>
      <c r="H17" s="477"/>
      <c r="I17" s="477"/>
      <c r="J17" s="477"/>
      <c r="K17" s="477"/>
      <c r="L17" s="477"/>
      <c r="M17" s="467">
        <v>2136010</v>
      </c>
      <c r="N17" s="484"/>
    </row>
    <row r="18" spans="1:14" s="485" customFormat="1" ht="12.75" customHeight="1" x14ac:dyDescent="0.2">
      <c r="A18" s="482" t="s">
        <v>1404</v>
      </c>
      <c r="B18" s="483">
        <v>240</v>
      </c>
      <c r="C18" s="477"/>
      <c r="D18" s="477"/>
      <c r="E18" s="477"/>
      <c r="F18" s="477"/>
      <c r="G18" s="477"/>
      <c r="H18" s="477"/>
      <c r="I18" s="477"/>
      <c r="J18" s="477"/>
      <c r="K18" s="477"/>
      <c r="L18" s="477"/>
      <c r="M18" s="467">
        <v>584330</v>
      </c>
      <c r="N18" s="484"/>
    </row>
    <row r="19" spans="1:14" s="485" customFormat="1" ht="12.75" customHeight="1" x14ac:dyDescent="0.2">
      <c r="A19" s="482" t="s">
        <v>1405</v>
      </c>
      <c r="B19" s="483">
        <v>250</v>
      </c>
      <c r="C19" s="477"/>
      <c r="D19" s="477"/>
      <c r="E19" s="477"/>
      <c r="F19" s="477"/>
      <c r="G19" s="477"/>
      <c r="H19" s="477"/>
      <c r="I19" s="477"/>
      <c r="J19" s="477"/>
      <c r="K19" s="477"/>
      <c r="L19" s="477"/>
      <c r="M19" s="467">
        <v>964933</v>
      </c>
      <c r="N19" s="484"/>
    </row>
    <row r="20" spans="1:14" s="485" customFormat="1" ht="12.75" customHeight="1" x14ac:dyDescent="0.2">
      <c r="A20" s="482" t="s">
        <v>1406</v>
      </c>
      <c r="B20" s="483">
        <v>260</v>
      </c>
      <c r="C20" s="477"/>
      <c r="D20" s="477"/>
      <c r="E20" s="477"/>
      <c r="F20" s="477"/>
      <c r="G20" s="477"/>
      <c r="H20" s="477"/>
      <c r="I20" s="477"/>
      <c r="J20" s="477"/>
      <c r="K20" s="477"/>
      <c r="L20" s="477"/>
      <c r="M20" s="467">
        <v>8545</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3715394</v>
      </c>
      <c r="N23" s="1688">
        <f>SUM(N21:N22)</f>
        <v>0</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86</v>
      </c>
      <c r="D31" s="467"/>
      <c r="E31" s="467"/>
      <c r="F31" s="466"/>
      <c r="G31" s="467"/>
      <c r="H31" s="467"/>
      <c r="I31" s="467"/>
      <c r="J31" s="467"/>
      <c r="K31" s="467"/>
      <c r="L31" s="468"/>
      <c r="M31" s="468"/>
      <c r="N31" s="468"/>
    </row>
    <row r="32" spans="1:14" ht="13.5" customHeight="1" x14ac:dyDescent="0.2">
      <c r="A32" s="490" t="s">
        <v>652</v>
      </c>
      <c r="B32" s="491">
        <v>490</v>
      </c>
      <c r="C32" s="492">
        <v>83891</v>
      </c>
      <c r="D32" s="492">
        <v>17550</v>
      </c>
      <c r="E32" s="474"/>
      <c r="F32" s="474">
        <v>7020</v>
      </c>
      <c r="G32" s="474">
        <v>5696</v>
      </c>
      <c r="H32" s="474"/>
      <c r="I32" s="474">
        <v>1755</v>
      </c>
      <c r="J32" s="474">
        <v>19283</v>
      </c>
      <c r="K32" s="479">
        <v>1755</v>
      </c>
      <c r="L32" s="468"/>
      <c r="M32" s="468"/>
      <c r="N32" s="468"/>
    </row>
    <row r="33" spans="1:14" ht="13.5" customHeight="1" x14ac:dyDescent="0.2">
      <c r="A33" s="493" t="s">
        <v>303</v>
      </c>
      <c r="B33" s="491">
        <v>493</v>
      </c>
      <c r="C33" s="467"/>
      <c r="D33" s="467"/>
      <c r="E33" s="467"/>
      <c r="F33" s="467"/>
      <c r="G33" s="467"/>
      <c r="H33" s="467"/>
      <c r="I33" s="467"/>
      <c r="J33" s="467"/>
      <c r="K33" s="467"/>
      <c r="L33" s="467">
        <v>24420</v>
      </c>
      <c r="M33" s="468"/>
      <c r="N33" s="469"/>
    </row>
    <row r="34" spans="1:14" ht="13.5" customHeight="1" thickBot="1" x14ac:dyDescent="0.25">
      <c r="A34" s="1738" t="s">
        <v>654</v>
      </c>
      <c r="B34" s="1739"/>
      <c r="C34" s="1740">
        <f>SUM(C25:C33)</f>
        <v>83977</v>
      </c>
      <c r="D34" s="1740">
        <f t="shared" ref="D34:K34" si="1">SUM(D25:D33)</f>
        <v>17550</v>
      </c>
      <c r="E34" s="1740">
        <f t="shared" si="1"/>
        <v>0</v>
      </c>
      <c r="F34" s="1740">
        <f t="shared" si="1"/>
        <v>7020</v>
      </c>
      <c r="G34" s="1740">
        <f t="shared" si="1"/>
        <v>5696</v>
      </c>
      <c r="H34" s="1740">
        <f t="shared" si="1"/>
        <v>0</v>
      </c>
      <c r="I34" s="1740">
        <f t="shared" si="1"/>
        <v>1755</v>
      </c>
      <c r="J34" s="1740">
        <f t="shared" si="1"/>
        <v>19283</v>
      </c>
      <c r="K34" s="1740">
        <f t="shared" si="1"/>
        <v>1755</v>
      </c>
      <c r="L34" s="1721">
        <f>SUM(L33)</f>
        <v>24420</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v>15489</v>
      </c>
      <c r="D38" s="466">
        <v>0</v>
      </c>
      <c r="E38" s="466">
        <v>0</v>
      </c>
      <c r="F38" s="466">
        <v>0</v>
      </c>
      <c r="G38" s="466">
        <v>133380</v>
      </c>
      <c r="H38" s="466">
        <v>61848</v>
      </c>
      <c r="I38" s="466">
        <v>0</v>
      </c>
      <c r="J38" s="466">
        <v>0</v>
      </c>
      <c r="K38" s="466">
        <v>0</v>
      </c>
      <c r="L38" s="481"/>
      <c r="M38" s="497"/>
      <c r="N38" s="497"/>
    </row>
    <row r="39" spans="1:14" s="329" customFormat="1" ht="13.5" customHeight="1" x14ac:dyDescent="0.2">
      <c r="A39" s="496" t="s">
        <v>342</v>
      </c>
      <c r="B39" s="483">
        <v>730</v>
      </c>
      <c r="C39" s="466">
        <f>'Acct Summary 7-8'!C81-C38</f>
        <v>251791</v>
      </c>
      <c r="D39" s="466">
        <f>'Acct Summary 7-8'!D81-D38</f>
        <v>1250596</v>
      </c>
      <c r="E39" s="466">
        <f>'Acct Summary 7-8'!E81-E38</f>
        <v>0</v>
      </c>
      <c r="F39" s="466">
        <f>'Acct Summary 7-8'!F81-F38</f>
        <v>94615</v>
      </c>
      <c r="G39" s="466">
        <f>'Acct Summary 7-8'!G81-G38</f>
        <v>162516</v>
      </c>
      <c r="H39" s="466">
        <f>'Acct Summary 7-8'!H81-H38</f>
        <v>10139</v>
      </c>
      <c r="I39" s="466">
        <f>'Acct Summary 7-8'!I81-I38</f>
        <v>366848</v>
      </c>
      <c r="J39" s="466">
        <f>'Acct Summary 7-8'!J81-J38</f>
        <v>348686</v>
      </c>
      <c r="K39" s="466">
        <f>'Acct Summary 7-8'!K81-K38</f>
        <v>42817</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3715394</v>
      </c>
      <c r="N40" s="497"/>
    </row>
    <row r="41" spans="1:14" ht="13.5" customHeight="1" thickBot="1" x14ac:dyDescent="0.25">
      <c r="A41" s="1736" t="s">
        <v>655</v>
      </c>
      <c r="B41" s="1706"/>
      <c r="C41" s="1688">
        <f>(SUM(C34,C37,C38,C39))</f>
        <v>351257</v>
      </c>
      <c r="D41" s="1688">
        <f t="shared" ref="D41:L41" si="2">SUM(D34,D37,D38:D39)</f>
        <v>1268146</v>
      </c>
      <c r="E41" s="1688">
        <f t="shared" si="2"/>
        <v>0</v>
      </c>
      <c r="F41" s="1688">
        <f t="shared" si="2"/>
        <v>101635</v>
      </c>
      <c r="G41" s="1688">
        <f t="shared" si="2"/>
        <v>301592</v>
      </c>
      <c r="H41" s="1688">
        <f t="shared" si="2"/>
        <v>71987</v>
      </c>
      <c r="I41" s="1688">
        <f t="shared" si="2"/>
        <v>368603</v>
      </c>
      <c r="J41" s="1688">
        <f t="shared" si="2"/>
        <v>367969</v>
      </c>
      <c r="K41" s="1688">
        <f t="shared" si="2"/>
        <v>44572</v>
      </c>
      <c r="L41" s="1688">
        <f t="shared" si="2"/>
        <v>24420</v>
      </c>
      <c r="M41" s="1688">
        <f>SUM(M40)</f>
        <v>3715394</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notes are an intergral part of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D13" sqref="D1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9-14'!C109</f>
        <v>1752139</v>
      </c>
      <c r="D4" s="1742">
        <f>'Revenues 9-14'!D109</f>
        <v>346057</v>
      </c>
      <c r="E4" s="1742">
        <f>'Revenues 9-14'!E109</f>
        <v>0</v>
      </c>
      <c r="F4" s="1742">
        <f>'Revenues 9-14'!F109</f>
        <v>147189</v>
      </c>
      <c r="G4" s="1742">
        <f>'Revenues 9-14'!G109</f>
        <v>175936</v>
      </c>
      <c r="H4" s="1742">
        <f>'Revenues 9-14'!H109</f>
        <v>19833</v>
      </c>
      <c r="I4" s="1742">
        <f>'Revenues 9-14'!I109</f>
        <v>37261</v>
      </c>
      <c r="J4" s="1742">
        <f>'Revenues 9-14'!J109</f>
        <v>457053</v>
      </c>
      <c r="K4" s="1742">
        <f>'Revenues 9-14'!K109</f>
        <v>33657</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2186760</v>
      </c>
      <c r="D6" s="1743">
        <f>'Revenues 9-14'!D170</f>
        <v>0</v>
      </c>
      <c r="E6" s="1743">
        <f>'Revenues 9-14'!E170</f>
        <v>0</v>
      </c>
      <c r="F6" s="1743">
        <f>'Revenues 9-14'!F170</f>
        <v>395946</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473906</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4412805</v>
      </c>
      <c r="D8" s="1688">
        <f t="shared" ref="D8:K8" si="0">SUM(D4:D7)</f>
        <v>346057</v>
      </c>
      <c r="E8" s="1688">
        <f t="shared" si="0"/>
        <v>0</v>
      </c>
      <c r="F8" s="1688">
        <f t="shared" si="0"/>
        <v>543135</v>
      </c>
      <c r="G8" s="1688">
        <f t="shared" si="0"/>
        <v>175936</v>
      </c>
      <c r="H8" s="1688">
        <f t="shared" si="0"/>
        <v>19833</v>
      </c>
      <c r="I8" s="1688">
        <f t="shared" si="0"/>
        <v>37261</v>
      </c>
      <c r="J8" s="1688">
        <f t="shared" si="0"/>
        <v>457053</v>
      </c>
      <c r="K8" s="1688">
        <f t="shared" si="0"/>
        <v>33657</v>
      </c>
      <c r="L8" s="347"/>
    </row>
    <row r="9" spans="1:13" ht="15.75" thickTop="1" x14ac:dyDescent="0.2">
      <c r="A9" s="514" t="s">
        <v>1653</v>
      </c>
      <c r="B9" s="515">
        <v>3998</v>
      </c>
      <c r="C9" s="481">
        <v>1599543</v>
      </c>
      <c r="D9" s="516"/>
      <c r="E9" s="481"/>
      <c r="F9" s="481"/>
      <c r="G9" s="517"/>
      <c r="H9" s="481"/>
      <c r="I9" s="509" t="s">
        <v>1169</v>
      </c>
      <c r="J9" s="478"/>
      <c r="K9" s="481"/>
      <c r="L9" s="347"/>
    </row>
    <row r="10" spans="1:13" s="519" customFormat="1" ht="13.5" thickBot="1" x14ac:dyDescent="0.25">
      <c r="A10" s="1736" t="s">
        <v>1173</v>
      </c>
      <c r="B10" s="1709"/>
      <c r="C10" s="1688">
        <f>SUM(C8:C9)</f>
        <v>6012348</v>
      </c>
      <c r="D10" s="1688">
        <f t="shared" ref="D10:K10" si="1">SUM(D8:D9)</f>
        <v>346057</v>
      </c>
      <c r="E10" s="1688">
        <f t="shared" si="1"/>
        <v>0</v>
      </c>
      <c r="F10" s="1688">
        <f t="shared" si="1"/>
        <v>543135</v>
      </c>
      <c r="G10" s="1688">
        <f t="shared" si="1"/>
        <v>175936</v>
      </c>
      <c r="H10" s="1688">
        <f t="shared" si="1"/>
        <v>19833</v>
      </c>
      <c r="I10" s="1688">
        <f t="shared" si="1"/>
        <v>37261</v>
      </c>
      <c r="J10" s="1688">
        <f t="shared" si="1"/>
        <v>457053</v>
      </c>
      <c r="K10" s="1688">
        <f t="shared" si="1"/>
        <v>33657</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15-22'!K33</f>
        <v>2723035</v>
      </c>
      <c r="D12" s="520" t="s">
        <v>1169</v>
      </c>
      <c r="E12" s="468" t="s">
        <v>1169</v>
      </c>
      <c r="F12" s="468" t="s">
        <v>1169</v>
      </c>
      <c r="G12" s="1742">
        <f>'Expenditures 15-22'!K229</f>
        <v>64415</v>
      </c>
      <c r="H12" s="521"/>
      <c r="I12" s="468" t="s">
        <v>1169</v>
      </c>
      <c r="J12" s="468" t="s">
        <v>1169</v>
      </c>
      <c r="K12" s="521" t="s">
        <v>1169</v>
      </c>
      <c r="L12" s="347"/>
    </row>
    <row r="13" spans="1:13" ht="15.75" customHeight="1" x14ac:dyDescent="0.2">
      <c r="A13" s="1576" t="s">
        <v>457</v>
      </c>
      <c r="B13" s="1578">
        <v>2000</v>
      </c>
      <c r="C13" s="1743">
        <f>'Expenditures 15-22'!K74</f>
        <v>1306048</v>
      </c>
      <c r="D13" s="1743">
        <f>'Expenditures 15-22'!K129</f>
        <v>360846</v>
      </c>
      <c r="E13" s="469" t="s">
        <v>1169</v>
      </c>
      <c r="F13" s="1743">
        <f>'Expenditures 15-22'!K184</f>
        <v>535405</v>
      </c>
      <c r="G13" s="1743">
        <f>'Expenditures 15-22'!K279</f>
        <v>148728</v>
      </c>
      <c r="H13" s="1743">
        <f>'Expenditures 15-22'!K303</f>
        <v>0</v>
      </c>
      <c r="I13" s="468" t="s">
        <v>1169</v>
      </c>
      <c r="J13" s="1743">
        <f>'Expenditures 15-22'!K330</f>
        <v>374660</v>
      </c>
      <c r="K13" s="1747">
        <f>'Expenditures 15-22'!K352</f>
        <v>225591</v>
      </c>
      <c r="L13" s="347"/>
    </row>
    <row r="14" spans="1:13" ht="15.75" customHeight="1" x14ac:dyDescent="0.2">
      <c r="A14" s="1576" t="s">
        <v>449</v>
      </c>
      <c r="B14" s="1578">
        <v>3000</v>
      </c>
      <c r="C14" s="1743">
        <f>'Expenditures 15-22'!K75</f>
        <v>1443</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358716</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4389242</v>
      </c>
      <c r="D17" s="1688">
        <f t="shared" si="2"/>
        <v>360846</v>
      </c>
      <c r="E17" s="1688">
        <f t="shared" si="2"/>
        <v>0</v>
      </c>
      <c r="F17" s="1688">
        <f t="shared" si="2"/>
        <v>535405</v>
      </c>
      <c r="G17" s="1688">
        <f t="shared" si="2"/>
        <v>213143</v>
      </c>
      <c r="H17" s="1688">
        <f t="shared" si="2"/>
        <v>0</v>
      </c>
      <c r="I17" s="468"/>
      <c r="J17" s="1688">
        <f>SUM(J12:J16)</f>
        <v>374660</v>
      </c>
      <c r="K17" s="1688">
        <f>SUM(K12:K16)</f>
        <v>225591</v>
      </c>
      <c r="L17" s="347"/>
    </row>
    <row r="18" spans="1:12" ht="15" customHeight="1" thickTop="1" x14ac:dyDescent="0.2">
      <c r="A18" s="1744" t="s">
        <v>1654</v>
      </c>
      <c r="B18" s="1745">
        <v>4180</v>
      </c>
      <c r="C18" s="1742">
        <f t="shared" ref="C18:H18" si="3">C9</f>
        <v>1599543</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5988785</v>
      </c>
      <c r="D19" s="1688">
        <f t="shared" si="4"/>
        <v>360846</v>
      </c>
      <c r="E19" s="1688">
        <f t="shared" si="4"/>
        <v>0</v>
      </c>
      <c r="F19" s="1688">
        <f t="shared" si="4"/>
        <v>535405</v>
      </c>
      <c r="G19" s="1688">
        <f t="shared" si="4"/>
        <v>213143</v>
      </c>
      <c r="H19" s="1688">
        <f t="shared" si="4"/>
        <v>0</v>
      </c>
      <c r="I19" s="468"/>
      <c r="J19" s="1688">
        <f>SUM(J17:J18)</f>
        <v>374660</v>
      </c>
      <c r="K19" s="1688">
        <f>SUM(K17:K18)</f>
        <v>225591</v>
      </c>
      <c r="L19" s="347"/>
    </row>
    <row r="20" spans="1:12" ht="16.5" thickTop="1" thickBot="1" x14ac:dyDescent="0.25">
      <c r="A20" s="2126" t="s">
        <v>1655</v>
      </c>
      <c r="B20" s="2127"/>
      <c r="C20" s="1746">
        <f>C8-C17</f>
        <v>23563</v>
      </c>
      <c r="D20" s="1746">
        <f t="shared" ref="D20:K20" si="5">D8-D17</f>
        <v>-14789</v>
      </c>
      <c r="E20" s="1746">
        <f t="shared" si="5"/>
        <v>0</v>
      </c>
      <c r="F20" s="1746">
        <f t="shared" si="5"/>
        <v>7730</v>
      </c>
      <c r="G20" s="1746">
        <f t="shared" si="5"/>
        <v>-37207</v>
      </c>
      <c r="H20" s="1746">
        <f t="shared" si="5"/>
        <v>19833</v>
      </c>
      <c r="I20" s="1746">
        <f t="shared" si="5"/>
        <v>37261</v>
      </c>
      <c r="J20" s="1746">
        <f t="shared" si="5"/>
        <v>82393</v>
      </c>
      <c r="K20" s="1746">
        <f t="shared" si="5"/>
        <v>-191934</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0" t="s">
        <v>374</v>
      </c>
      <c r="B44" s="2141"/>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6" t="s">
        <v>440</v>
      </c>
      <c r="B76" s="2117"/>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8" t="s">
        <v>1177</v>
      </c>
      <c r="B77" s="2119"/>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2" t="s">
        <v>597</v>
      </c>
      <c r="B78" s="2123"/>
      <c r="C78" s="1702">
        <f t="shared" ref="C78:K78" si="9">C20+C77</f>
        <v>23563</v>
      </c>
      <c r="D78" s="1702">
        <f t="shared" si="9"/>
        <v>-14789</v>
      </c>
      <c r="E78" s="1702">
        <f t="shared" si="9"/>
        <v>0</v>
      </c>
      <c r="F78" s="1702">
        <f t="shared" si="9"/>
        <v>7730</v>
      </c>
      <c r="G78" s="1702">
        <f t="shared" si="9"/>
        <v>-37207</v>
      </c>
      <c r="H78" s="1702">
        <f t="shared" si="9"/>
        <v>19833</v>
      </c>
      <c r="I78" s="1702">
        <f t="shared" si="9"/>
        <v>37261</v>
      </c>
      <c r="J78" s="1702">
        <f t="shared" si="9"/>
        <v>82393</v>
      </c>
      <c r="K78" s="1702">
        <f t="shared" si="9"/>
        <v>-191934</v>
      </c>
      <c r="L78" s="533"/>
    </row>
    <row r="79" spans="1:12" ht="13.5" thickTop="1" x14ac:dyDescent="0.2">
      <c r="A79" s="1494" t="s">
        <v>1948</v>
      </c>
      <c r="B79" s="534"/>
      <c r="C79" s="478">
        <v>243717</v>
      </c>
      <c r="D79" s="535">
        <v>1265385</v>
      </c>
      <c r="E79" s="535"/>
      <c r="F79" s="535">
        <v>86885</v>
      </c>
      <c r="G79" s="535">
        <v>333103</v>
      </c>
      <c r="H79" s="535">
        <v>52154</v>
      </c>
      <c r="I79" s="535">
        <v>329587</v>
      </c>
      <c r="J79" s="535">
        <v>266293</v>
      </c>
      <c r="K79" s="535">
        <v>234751</v>
      </c>
      <c r="L79" s="347"/>
    </row>
    <row r="80" spans="1:12" x14ac:dyDescent="0.2">
      <c r="A80" s="2128" t="s">
        <v>1795</v>
      </c>
      <c r="B80" s="2129"/>
      <c r="C80" s="467"/>
      <c r="D80" s="467"/>
      <c r="E80" s="467"/>
      <c r="F80" s="467"/>
      <c r="G80" s="467"/>
      <c r="H80" s="467"/>
      <c r="I80" s="467"/>
      <c r="J80" s="467"/>
      <c r="K80" s="467"/>
      <c r="L80" s="347"/>
    </row>
    <row r="81" spans="1:12" ht="13.5" thickBot="1" x14ac:dyDescent="0.25">
      <c r="A81" s="2120" t="s">
        <v>1949</v>
      </c>
      <c r="B81" s="2121"/>
      <c r="C81" s="1688">
        <f>(SUM(C78:C80))</f>
        <v>267280</v>
      </c>
      <c r="D81" s="1688">
        <f>SUM(D78:D80)</f>
        <v>1250596</v>
      </c>
      <c r="E81" s="1688">
        <f t="shared" ref="E81:K81" si="10">SUM(E78:E80)</f>
        <v>0</v>
      </c>
      <c r="F81" s="1688">
        <f t="shared" si="10"/>
        <v>94615</v>
      </c>
      <c r="G81" s="1688">
        <f t="shared" si="10"/>
        <v>295896</v>
      </c>
      <c r="H81" s="1688">
        <f t="shared" si="10"/>
        <v>71987</v>
      </c>
      <c r="I81" s="1688">
        <f t="shared" si="10"/>
        <v>366848</v>
      </c>
      <c r="J81" s="1688">
        <f t="shared" si="10"/>
        <v>348686</v>
      </c>
      <c r="K81" s="1688">
        <f t="shared" si="10"/>
        <v>42817</v>
      </c>
      <c r="L81" s="347"/>
    </row>
    <row r="82" spans="1:12" ht="0.75" customHeight="1" thickTop="1" thickBot="1" x14ac:dyDescent="0.25">
      <c r="A82" s="536" t="s">
        <v>343</v>
      </c>
      <c r="B82" s="537"/>
      <c r="C82" s="538">
        <f>(C81-C79)</f>
        <v>23563</v>
      </c>
      <c r="D82" s="538">
        <f t="shared" ref="D82:K82" si="11">(D81-D79)</f>
        <v>-14789</v>
      </c>
      <c r="E82" s="538">
        <f t="shared" si="11"/>
        <v>0</v>
      </c>
      <c r="F82" s="538">
        <f t="shared" si="11"/>
        <v>7730</v>
      </c>
      <c r="G82" s="538">
        <f t="shared" si="11"/>
        <v>-37207</v>
      </c>
      <c r="H82" s="538">
        <f t="shared" si="11"/>
        <v>19833</v>
      </c>
      <c r="I82" s="538">
        <f t="shared" si="11"/>
        <v>37261</v>
      </c>
      <c r="J82" s="538">
        <f t="shared" si="11"/>
        <v>82393</v>
      </c>
      <c r="K82" s="538">
        <f t="shared" si="11"/>
        <v>-191934</v>
      </c>
    </row>
    <row r="83" spans="1:12" ht="14.25" hidden="1" thickTop="1" thickBot="1" x14ac:dyDescent="0.25">
      <c r="A83" s="539" t="s">
        <v>344</v>
      </c>
      <c r="B83" s="464"/>
      <c r="C83" s="540">
        <f>C82/C81</f>
        <v>8.8158485483388213E-2</v>
      </c>
      <c r="D83" s="540">
        <f t="shared" ref="D83:K83" si="12">D82/D81</f>
        <v>-1.1825561572242354E-2</v>
      </c>
      <c r="E83" s="540" t="e">
        <f t="shared" si="12"/>
        <v>#DIV/0!</v>
      </c>
      <c r="F83" s="540">
        <f t="shared" si="12"/>
        <v>8.1699519103736198E-2</v>
      </c>
      <c r="G83" s="540">
        <f t="shared" si="12"/>
        <v>-0.1257435044745451</v>
      </c>
      <c r="H83" s="540">
        <f t="shared" si="12"/>
        <v>0.27550807784738912</v>
      </c>
      <c r="I83" s="540">
        <f t="shared" si="12"/>
        <v>0.10157067777390091</v>
      </c>
      <c r="J83" s="540">
        <f t="shared" si="12"/>
        <v>0.23629569297304739</v>
      </c>
      <c r="K83" s="540">
        <f t="shared" si="12"/>
        <v>-4.4826587570357566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notes are an intergral part of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48" activePane="bottomLeft" state="frozen"/>
      <selection pane="bottomLeft" activeCell="C84" sqref="C8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1802</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1518534</v>
      </c>
      <c r="D5" s="481">
        <v>330115</v>
      </c>
      <c r="E5" s="466"/>
      <c r="F5" s="548">
        <v>132047</v>
      </c>
      <c r="G5" s="466">
        <v>84803</v>
      </c>
      <c r="H5" s="466"/>
      <c r="I5" s="466">
        <v>33010</v>
      </c>
      <c r="J5" s="467">
        <v>452263</v>
      </c>
      <c r="K5" s="466">
        <v>33010</v>
      </c>
    </row>
    <row r="6" spans="1:12" ht="15" x14ac:dyDescent="0.2">
      <c r="A6" s="463" t="s">
        <v>1662</v>
      </c>
      <c r="B6" s="470">
        <v>1130</v>
      </c>
      <c r="C6" s="466">
        <v>33011</v>
      </c>
      <c r="D6" s="466"/>
      <c r="E6" s="475"/>
      <c r="F6" s="475"/>
      <c r="G6" s="468"/>
      <c r="H6" s="468"/>
      <c r="I6" s="468"/>
      <c r="J6" s="468"/>
      <c r="K6" s="468"/>
    </row>
    <row r="7" spans="1:12" x14ac:dyDescent="0.2">
      <c r="A7" s="463" t="s">
        <v>110</v>
      </c>
      <c r="B7" s="549">
        <v>1140</v>
      </c>
      <c r="C7" s="466">
        <v>26410</v>
      </c>
      <c r="D7" s="466"/>
      <c r="E7" s="468"/>
      <c r="F7" s="467"/>
      <c r="G7" s="467"/>
      <c r="H7" s="467"/>
      <c r="I7" s="468"/>
      <c r="J7" s="468"/>
      <c r="K7" s="468"/>
    </row>
    <row r="8" spans="1:12" x14ac:dyDescent="0.2">
      <c r="A8" s="463" t="s">
        <v>413</v>
      </c>
      <c r="B8" s="470">
        <v>1150</v>
      </c>
      <c r="C8" s="475"/>
      <c r="D8" s="475"/>
      <c r="E8" s="477"/>
      <c r="F8" s="477"/>
      <c r="G8" s="481">
        <v>84803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1577955</v>
      </c>
      <c r="D12" s="1707">
        <f t="shared" si="0"/>
        <v>330115</v>
      </c>
      <c r="E12" s="1707">
        <f t="shared" si="0"/>
        <v>0</v>
      </c>
      <c r="F12" s="1707">
        <f t="shared" si="0"/>
        <v>132047</v>
      </c>
      <c r="G12" s="1707">
        <f t="shared" si="0"/>
        <v>169606</v>
      </c>
      <c r="H12" s="1707">
        <f t="shared" si="0"/>
        <v>0</v>
      </c>
      <c r="I12" s="1707">
        <f t="shared" si="0"/>
        <v>33010</v>
      </c>
      <c r="J12" s="1707">
        <f t="shared" si="0"/>
        <v>452263</v>
      </c>
      <c r="K12" s="1688">
        <f t="shared" si="0"/>
        <v>33010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287</v>
      </c>
      <c r="D14" s="466">
        <v>60</v>
      </c>
      <c r="E14" s="466"/>
      <c r="F14" s="466">
        <v>25</v>
      </c>
      <c r="G14" s="466">
        <v>59</v>
      </c>
      <c r="H14" s="466"/>
      <c r="I14" s="466">
        <v>6</v>
      </c>
      <c r="J14" s="467">
        <v>161</v>
      </c>
      <c r="K14" s="466">
        <v>6</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64468</v>
      </c>
      <c r="D16" s="466"/>
      <c r="E16" s="466"/>
      <c r="F16" s="466"/>
      <c r="G16" s="466">
        <v>2000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64755</v>
      </c>
      <c r="D18" s="1710">
        <f t="shared" ref="D18:K18" si="1">SUM(D14:D17)</f>
        <v>60</v>
      </c>
      <c r="E18" s="1710">
        <f t="shared" si="1"/>
        <v>0</v>
      </c>
      <c r="F18" s="1710">
        <f t="shared" si="1"/>
        <v>25</v>
      </c>
      <c r="G18" s="1710">
        <f t="shared" si="1"/>
        <v>2059</v>
      </c>
      <c r="H18" s="1710">
        <f t="shared" si="1"/>
        <v>0</v>
      </c>
      <c r="I18" s="1710">
        <f t="shared" si="1"/>
        <v>6</v>
      </c>
      <c r="J18" s="1710">
        <f t="shared" si="1"/>
        <v>161</v>
      </c>
      <c r="K18" s="1711">
        <f t="shared" si="1"/>
        <v>6</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v>13825</v>
      </c>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13825</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7826</v>
      </c>
      <c r="D65" s="466">
        <v>15844</v>
      </c>
      <c r="E65" s="466"/>
      <c r="F65" s="467">
        <v>478</v>
      </c>
      <c r="G65" s="466">
        <v>4271</v>
      </c>
      <c r="H65" s="466">
        <v>747</v>
      </c>
      <c r="I65" s="466">
        <v>4245</v>
      </c>
      <c r="J65" s="467">
        <v>4629</v>
      </c>
      <c r="K65" s="466">
        <v>641</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7826</v>
      </c>
      <c r="D67" s="1688">
        <f t="shared" ref="D67:K67" si="2">SUM(D65:D66)</f>
        <v>15844</v>
      </c>
      <c r="E67" s="1688">
        <f t="shared" si="2"/>
        <v>0</v>
      </c>
      <c r="F67" s="1688">
        <f t="shared" si="2"/>
        <v>478</v>
      </c>
      <c r="G67" s="1688">
        <f t="shared" si="2"/>
        <v>4271</v>
      </c>
      <c r="H67" s="1688">
        <f t="shared" si="2"/>
        <v>747</v>
      </c>
      <c r="I67" s="1688">
        <f t="shared" si="2"/>
        <v>4245</v>
      </c>
      <c r="J67" s="1688">
        <f t="shared" si="2"/>
        <v>4629</v>
      </c>
      <c r="K67" s="1688">
        <f t="shared" si="2"/>
        <v>641</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41411</v>
      </c>
      <c r="D69" s="468"/>
      <c r="E69" s="468"/>
      <c r="F69" s="468"/>
      <c r="G69" s="468"/>
      <c r="H69" s="468"/>
      <c r="I69" s="468"/>
      <c r="J69" s="468"/>
      <c r="K69" s="468"/>
    </row>
    <row r="70" spans="1:11" ht="12.75" customHeight="1" x14ac:dyDescent="0.2">
      <c r="A70" s="463" t="s">
        <v>997</v>
      </c>
      <c r="B70" s="470">
        <v>1612</v>
      </c>
      <c r="C70" s="551">
        <v>4568</v>
      </c>
      <c r="D70" s="468"/>
      <c r="E70" s="468"/>
      <c r="F70" s="468"/>
      <c r="G70" s="468"/>
      <c r="H70" s="468"/>
      <c r="I70" s="468"/>
      <c r="J70" s="468"/>
      <c r="K70" s="468"/>
    </row>
    <row r="71" spans="1:11" ht="12.75" customHeight="1" x14ac:dyDescent="0.2">
      <c r="A71" s="463" t="s">
        <v>273</v>
      </c>
      <c r="B71" s="470">
        <v>1613</v>
      </c>
      <c r="C71" s="551">
        <v>1229</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5668</v>
      </c>
      <c r="D73" s="468"/>
      <c r="E73" s="468"/>
      <c r="F73" s="468"/>
      <c r="G73" s="468"/>
      <c r="H73" s="468"/>
      <c r="I73" s="468"/>
      <c r="J73" s="468"/>
      <c r="K73" s="468"/>
    </row>
    <row r="74" spans="1:11" ht="12.75" customHeight="1" x14ac:dyDescent="0.2">
      <c r="A74" s="463" t="s">
        <v>25</v>
      </c>
      <c r="B74" s="470">
        <v>1690</v>
      </c>
      <c r="C74" s="551">
        <v>36</v>
      </c>
      <c r="D74" s="468"/>
      <c r="E74" s="468"/>
      <c r="F74" s="468"/>
      <c r="G74" s="468"/>
      <c r="H74" s="468"/>
      <c r="I74" s="468"/>
      <c r="J74" s="468"/>
      <c r="K74" s="468"/>
    </row>
    <row r="75" spans="1:11" ht="12.75" customHeight="1" thickBot="1" x14ac:dyDescent="0.25">
      <c r="A75" s="1708" t="s">
        <v>548</v>
      </c>
      <c r="B75" s="1709"/>
      <c r="C75" s="1688">
        <f>SUM(C69:C74)</f>
        <v>52912</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18781</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18781</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11555</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11555</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6000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5441</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1025</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19086</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5889</v>
      </c>
      <c r="D107" s="466">
        <v>38</v>
      </c>
      <c r="E107" s="466"/>
      <c r="F107" s="466">
        <v>814</v>
      </c>
      <c r="G107" s="466"/>
      <c r="H107" s="466"/>
      <c r="I107" s="466"/>
      <c r="J107" s="467"/>
      <c r="K107" s="466"/>
    </row>
    <row r="108" spans="1:12" ht="12.75" customHeight="1" thickBot="1" x14ac:dyDescent="0.25">
      <c r="A108" s="1708" t="s">
        <v>487</v>
      </c>
      <c r="B108" s="1712"/>
      <c r="C108" s="1707">
        <f>SUM(C95:C107)</f>
        <v>18355</v>
      </c>
      <c r="D108" s="1707">
        <f t="shared" ref="D108:K108" si="3">SUM(D95:D107)</f>
        <v>38</v>
      </c>
      <c r="E108" s="1707">
        <f t="shared" si="3"/>
        <v>0</v>
      </c>
      <c r="F108" s="1707">
        <f t="shared" si="3"/>
        <v>814</v>
      </c>
      <c r="G108" s="1707">
        <f t="shared" si="3"/>
        <v>0</v>
      </c>
      <c r="H108" s="1707">
        <f t="shared" si="3"/>
        <v>19086</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1752139</v>
      </c>
      <c r="D109" s="1715">
        <f t="shared" si="4"/>
        <v>346057</v>
      </c>
      <c r="E109" s="1715">
        <f t="shared" si="4"/>
        <v>0</v>
      </c>
      <c r="F109" s="1715">
        <f t="shared" si="4"/>
        <v>147189</v>
      </c>
      <c r="G109" s="1715">
        <f t="shared" si="4"/>
        <v>175936</v>
      </c>
      <c r="H109" s="1715">
        <f t="shared" si="4"/>
        <v>19833</v>
      </c>
      <c r="I109" s="1715">
        <f t="shared" si="4"/>
        <v>37261</v>
      </c>
      <c r="J109" s="1715">
        <f t="shared" si="4"/>
        <v>457053</v>
      </c>
      <c r="K109" s="1702">
        <f t="shared" si="4"/>
        <v>33657</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1943091</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1935</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1943091</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42459</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42459</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12517</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19873</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32390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3131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7838</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210624</v>
      </c>
      <c r="G152" s="467"/>
      <c r="H152" s="468"/>
      <c r="I152" s="468"/>
      <c r="J152" s="468"/>
      <c r="K152" s="468"/>
    </row>
    <row r="153" spans="1:11" ht="12.75" customHeight="1" x14ac:dyDescent="0.2">
      <c r="A153" s="463" t="s">
        <v>1057</v>
      </c>
      <c r="B153" s="562">
        <v>3510</v>
      </c>
      <c r="C153" s="551"/>
      <c r="D153" s="466"/>
      <c r="E153" s="561"/>
      <c r="F153" s="466">
        <v>185322</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395946</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128626</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29225</v>
      </c>
      <c r="D168" s="580"/>
      <c r="E168" s="580"/>
      <c r="F168" s="580"/>
      <c r="G168" s="581"/>
      <c r="H168" s="582"/>
      <c r="I168" s="581"/>
      <c r="J168" s="581"/>
      <c r="K168" s="582"/>
    </row>
    <row r="169" spans="1:11" ht="12.75" customHeight="1" thickTop="1" thickBot="1" x14ac:dyDescent="0.25">
      <c r="A169" s="2144" t="s">
        <v>398</v>
      </c>
      <c r="B169" s="2145"/>
      <c r="C169" s="1722">
        <f t="shared" ref="C169:K169" si="6">SUM(C132,C141,C145,C146:C150,C155,C156:C167,C168)</f>
        <v>243669</v>
      </c>
      <c r="D169" s="1722">
        <f t="shared" si="6"/>
        <v>0</v>
      </c>
      <c r="E169" s="1722">
        <f t="shared" si="6"/>
        <v>0</v>
      </c>
      <c r="F169" s="1722">
        <f t="shared" si="6"/>
        <v>395946</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2186760</v>
      </c>
      <c r="D170" s="1715">
        <f t="shared" si="7"/>
        <v>0</v>
      </c>
      <c r="E170" s="1715">
        <f t="shared" si="7"/>
        <v>0</v>
      </c>
      <c r="F170" s="1715">
        <f t="shared" si="7"/>
        <v>395946</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0" t="s">
        <v>1665</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2" t="s">
        <v>785</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1803</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8697</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8697</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119296</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47476</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166772</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262959</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262959</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1936</v>
      </c>
      <c r="B261" s="470">
        <v>4981</v>
      </c>
      <c r="C261" s="575"/>
      <c r="D261" s="576"/>
      <c r="E261" s="468"/>
      <c r="F261" s="576"/>
      <c r="G261" s="576"/>
      <c r="H261" s="468"/>
      <c r="I261" s="468"/>
      <c r="J261" s="468"/>
      <c r="K261" s="468"/>
    </row>
    <row r="262" spans="1:11" ht="12.75" customHeight="1" thickTop="1" thickBot="1" x14ac:dyDescent="0.25">
      <c r="A262" s="1931"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12435</v>
      </c>
      <c r="D263" s="576"/>
      <c r="E263" s="468"/>
      <c r="F263" s="576"/>
      <c r="G263" s="576"/>
      <c r="H263" s="468"/>
      <c r="I263" s="468"/>
      <c r="J263" s="468"/>
      <c r="K263" s="468"/>
    </row>
    <row r="264" spans="1:11" ht="12.75" customHeight="1" thickTop="1" thickBot="1" x14ac:dyDescent="0.25">
      <c r="A264" s="463" t="s">
        <v>377</v>
      </c>
      <c r="B264" s="470">
        <v>4992</v>
      </c>
      <c r="C264" s="575">
        <v>23043</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473906</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473906</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4412805</v>
      </c>
      <c r="D268" s="1715">
        <f t="shared" si="12"/>
        <v>346057</v>
      </c>
      <c r="E268" s="1715">
        <f t="shared" si="12"/>
        <v>0</v>
      </c>
      <c r="F268" s="1715">
        <f t="shared" si="12"/>
        <v>543135</v>
      </c>
      <c r="G268" s="1715">
        <f t="shared" si="12"/>
        <v>175936</v>
      </c>
      <c r="H268" s="1715">
        <f t="shared" si="12"/>
        <v>19833</v>
      </c>
      <c r="I268" s="1715">
        <f t="shared" si="12"/>
        <v>37261</v>
      </c>
      <c r="J268" s="1715">
        <f t="shared" si="12"/>
        <v>457053</v>
      </c>
      <c r="K268" s="1702">
        <f t="shared" si="12"/>
        <v>33657</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notes are an intergral part of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35" activePane="bottomLeft" state="frozen"/>
      <selection pane="bottomLeft" activeCell="E349" sqref="E34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4" t="s">
        <v>297</v>
      </c>
      <c r="B3" s="216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1154227</v>
      </c>
      <c r="D5" s="466">
        <v>322028</v>
      </c>
      <c r="E5" s="466">
        <v>91637</v>
      </c>
      <c r="F5" s="466">
        <v>40352</v>
      </c>
      <c r="G5" s="466"/>
      <c r="H5" s="466"/>
      <c r="I5" s="467">
        <v>672</v>
      </c>
      <c r="J5" s="467"/>
      <c r="K5" s="1671">
        <f>SUM(C5:J5)</f>
        <v>1608916</v>
      </c>
      <c r="L5" s="466">
        <v>1512142</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56503</v>
      </c>
      <c r="D7" s="467">
        <v>20076</v>
      </c>
      <c r="E7" s="467">
        <v>878</v>
      </c>
      <c r="F7" s="467">
        <v>2649</v>
      </c>
      <c r="G7" s="467"/>
      <c r="H7" s="467"/>
      <c r="I7" s="467"/>
      <c r="J7" s="467"/>
      <c r="K7" s="1671">
        <f t="shared" ref="K7:K32" si="0">SUM(C7:J7)</f>
        <v>80106</v>
      </c>
      <c r="L7" s="466">
        <v>182836</v>
      </c>
    </row>
    <row r="8" spans="1:14" x14ac:dyDescent="0.2">
      <c r="A8" s="1504" t="s">
        <v>164</v>
      </c>
      <c r="B8" s="614">
        <v>1200</v>
      </c>
      <c r="C8" s="466">
        <v>332206</v>
      </c>
      <c r="D8" s="466">
        <v>101311</v>
      </c>
      <c r="E8" s="466">
        <v>22374</v>
      </c>
      <c r="F8" s="466"/>
      <c r="G8" s="466"/>
      <c r="H8" s="466"/>
      <c r="I8" s="467"/>
      <c r="J8" s="467"/>
      <c r="K8" s="1671">
        <f t="shared" si="0"/>
        <v>455891</v>
      </c>
      <c r="L8" s="466">
        <v>472972</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143982</v>
      </c>
      <c r="D10" s="466">
        <v>30685</v>
      </c>
      <c r="E10" s="466">
        <v>13000</v>
      </c>
      <c r="F10" s="466">
        <v>61103</v>
      </c>
      <c r="G10" s="466">
        <v>7722</v>
      </c>
      <c r="H10" s="466"/>
      <c r="I10" s="467">
        <v>1246</v>
      </c>
      <c r="J10" s="467"/>
      <c r="K10" s="1671">
        <f t="shared" si="0"/>
        <v>257738</v>
      </c>
      <c r="L10" s="466">
        <v>219684</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102790</v>
      </c>
      <c r="D13" s="466">
        <v>39129</v>
      </c>
      <c r="E13" s="466">
        <v>1245</v>
      </c>
      <c r="F13" s="466">
        <v>6294</v>
      </c>
      <c r="G13" s="466"/>
      <c r="H13" s="466"/>
      <c r="I13" s="467"/>
      <c r="J13" s="467"/>
      <c r="K13" s="1671">
        <f t="shared" si="0"/>
        <v>149458</v>
      </c>
      <c r="L13" s="466">
        <v>143146</v>
      </c>
    </row>
    <row r="14" spans="1:14" x14ac:dyDescent="0.2">
      <c r="A14" s="1504" t="s">
        <v>963</v>
      </c>
      <c r="B14" s="614">
        <v>1500</v>
      </c>
      <c r="C14" s="466">
        <v>93350</v>
      </c>
      <c r="D14" s="466">
        <v>6941</v>
      </c>
      <c r="E14" s="466">
        <v>24923</v>
      </c>
      <c r="F14" s="466">
        <v>11494</v>
      </c>
      <c r="G14" s="466">
        <v>17309</v>
      </c>
      <c r="H14" s="466"/>
      <c r="I14" s="467"/>
      <c r="J14" s="467"/>
      <c r="K14" s="1671">
        <f t="shared" si="0"/>
        <v>154017</v>
      </c>
      <c r="L14" s="466">
        <v>143034</v>
      </c>
    </row>
    <row r="15" spans="1:14" x14ac:dyDescent="0.2">
      <c r="A15" s="1504" t="s">
        <v>964</v>
      </c>
      <c r="B15" s="614">
        <v>1600</v>
      </c>
      <c r="C15" s="466"/>
      <c r="D15" s="466"/>
      <c r="E15" s="466"/>
      <c r="F15" s="466"/>
      <c r="G15" s="466"/>
      <c r="H15" s="466">
        <v>111</v>
      </c>
      <c r="I15" s="467"/>
      <c r="J15" s="467"/>
      <c r="K15" s="1671">
        <f t="shared" si="0"/>
        <v>111</v>
      </c>
      <c r="L15" s="466">
        <v>380</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13960</v>
      </c>
      <c r="D17" s="467">
        <v>1613</v>
      </c>
      <c r="E17" s="467">
        <v>75</v>
      </c>
      <c r="F17" s="467"/>
      <c r="G17" s="467"/>
      <c r="H17" s="467"/>
      <c r="I17" s="467"/>
      <c r="J17" s="467"/>
      <c r="K17" s="1671">
        <f t="shared" si="0"/>
        <v>15648</v>
      </c>
      <c r="L17" s="466">
        <v>16962</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v>1150</v>
      </c>
      <c r="I19" s="467"/>
      <c r="J19" s="467"/>
      <c r="K19" s="1671">
        <f t="shared" si="0"/>
        <v>1150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1897018</v>
      </c>
      <c r="D33" s="1670">
        <f t="shared" ref="D33:L33" si="1">SUM(D5:D32)</f>
        <v>521783</v>
      </c>
      <c r="E33" s="1670">
        <f t="shared" si="1"/>
        <v>154132</v>
      </c>
      <c r="F33" s="1670">
        <f t="shared" si="1"/>
        <v>121892</v>
      </c>
      <c r="G33" s="1670">
        <f t="shared" si="1"/>
        <v>25031</v>
      </c>
      <c r="H33" s="1670">
        <f t="shared" si="1"/>
        <v>1261</v>
      </c>
      <c r="I33" s="1670">
        <f t="shared" si="1"/>
        <v>1918</v>
      </c>
      <c r="J33" s="1670">
        <f t="shared" si="1"/>
        <v>0</v>
      </c>
      <c r="K33" s="1670">
        <f t="shared" si="1"/>
        <v>2723035</v>
      </c>
      <c r="L33" s="1670">
        <f t="shared" si="1"/>
        <v>2691156</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23814</v>
      </c>
      <c r="D37" s="466">
        <v>2636</v>
      </c>
      <c r="E37" s="466">
        <v>3900</v>
      </c>
      <c r="F37" s="466"/>
      <c r="G37" s="466"/>
      <c r="H37" s="466"/>
      <c r="I37" s="467"/>
      <c r="J37" s="467"/>
      <c r="K37" s="1671">
        <f t="shared" si="2"/>
        <v>30350</v>
      </c>
      <c r="L37" s="466">
        <v>22709</v>
      </c>
    </row>
    <row r="38" spans="1:14" x14ac:dyDescent="0.2">
      <c r="A38" s="1504" t="s">
        <v>198</v>
      </c>
      <c r="B38" s="614">
        <v>2130</v>
      </c>
      <c r="C38" s="466">
        <v>12014</v>
      </c>
      <c r="D38" s="466"/>
      <c r="E38" s="466">
        <v>236</v>
      </c>
      <c r="F38" s="466"/>
      <c r="G38" s="466"/>
      <c r="H38" s="466"/>
      <c r="I38" s="467"/>
      <c r="J38" s="467"/>
      <c r="K38" s="1671">
        <f t="shared" si="2"/>
        <v>12250</v>
      </c>
      <c r="L38" s="466">
        <v>20000</v>
      </c>
    </row>
    <row r="39" spans="1:14" x14ac:dyDescent="0.2">
      <c r="A39" s="1504" t="s">
        <v>199</v>
      </c>
      <c r="B39" s="614">
        <v>2140</v>
      </c>
      <c r="C39" s="466">
        <v>40494</v>
      </c>
      <c r="D39" s="466">
        <v>12414</v>
      </c>
      <c r="E39" s="466">
        <v>110</v>
      </c>
      <c r="F39" s="466">
        <v>390</v>
      </c>
      <c r="G39" s="466"/>
      <c r="H39" s="466"/>
      <c r="I39" s="467"/>
      <c r="J39" s="467"/>
      <c r="K39" s="1671">
        <f t="shared" si="2"/>
        <v>53408</v>
      </c>
      <c r="L39" s="466">
        <v>53609</v>
      </c>
    </row>
    <row r="40" spans="1:14" x14ac:dyDescent="0.2">
      <c r="A40" s="1504" t="s">
        <v>200</v>
      </c>
      <c r="B40" s="614">
        <v>2150</v>
      </c>
      <c r="C40" s="466">
        <v>53299</v>
      </c>
      <c r="D40" s="466">
        <v>15265</v>
      </c>
      <c r="E40" s="466"/>
      <c r="F40" s="466">
        <v>695</v>
      </c>
      <c r="G40" s="466"/>
      <c r="H40" s="466"/>
      <c r="I40" s="467"/>
      <c r="J40" s="467"/>
      <c r="K40" s="1671">
        <f t="shared" si="2"/>
        <v>69259</v>
      </c>
      <c r="L40" s="466">
        <v>69347</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129621</v>
      </c>
      <c r="D42" s="1670">
        <f t="shared" ref="D42:L42" si="3">SUM(D36:D41)</f>
        <v>30315</v>
      </c>
      <c r="E42" s="1670">
        <f t="shared" si="3"/>
        <v>4246</v>
      </c>
      <c r="F42" s="1670">
        <f t="shared" si="3"/>
        <v>1085</v>
      </c>
      <c r="G42" s="1670">
        <f t="shared" si="3"/>
        <v>0</v>
      </c>
      <c r="H42" s="1670">
        <f t="shared" si="3"/>
        <v>0</v>
      </c>
      <c r="I42" s="1670">
        <f t="shared" si="3"/>
        <v>0</v>
      </c>
      <c r="J42" s="1670">
        <f t="shared" si="3"/>
        <v>0</v>
      </c>
      <c r="K42" s="1670">
        <f t="shared" si="3"/>
        <v>165267</v>
      </c>
      <c r="L42" s="1670">
        <f t="shared" si="3"/>
        <v>165665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8544</v>
      </c>
      <c r="D44" s="481">
        <v>1678</v>
      </c>
      <c r="E44" s="481">
        <v>14119</v>
      </c>
      <c r="F44" s="481"/>
      <c r="G44" s="481"/>
      <c r="H44" s="481">
        <v>65</v>
      </c>
      <c r="I44" s="467"/>
      <c r="J44" s="467"/>
      <c r="K44" s="1672">
        <f>SUM(C44:J44)</f>
        <v>24406</v>
      </c>
      <c r="L44" s="481">
        <v>22985</v>
      </c>
    </row>
    <row r="45" spans="1:14" x14ac:dyDescent="0.2">
      <c r="A45" s="1504" t="s">
        <v>815</v>
      </c>
      <c r="B45" s="614">
        <v>2220</v>
      </c>
      <c r="C45" s="466">
        <v>37943</v>
      </c>
      <c r="D45" s="466">
        <v>13503</v>
      </c>
      <c r="E45" s="466">
        <v>2250</v>
      </c>
      <c r="F45" s="466">
        <v>88</v>
      </c>
      <c r="G45" s="466">
        <v>0</v>
      </c>
      <c r="H45" s="466"/>
      <c r="I45" s="467"/>
      <c r="J45" s="467"/>
      <c r="K45" s="1672">
        <f>SUM(C45:J45)</f>
        <v>53784</v>
      </c>
      <c r="L45" s="466">
        <v>54861</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46487</v>
      </c>
      <c r="D47" s="1670">
        <f t="shared" ref="D47:K47" si="4">SUM(D44:D46)</f>
        <v>15181</v>
      </c>
      <c r="E47" s="1670">
        <f t="shared" si="4"/>
        <v>16369</v>
      </c>
      <c r="F47" s="1670">
        <f t="shared" si="4"/>
        <v>88</v>
      </c>
      <c r="G47" s="1670">
        <f t="shared" si="4"/>
        <v>0</v>
      </c>
      <c r="H47" s="1670">
        <f t="shared" si="4"/>
        <v>65</v>
      </c>
      <c r="I47" s="1670">
        <f t="shared" si="4"/>
        <v>0</v>
      </c>
      <c r="J47" s="1670">
        <f t="shared" si="4"/>
        <v>0</v>
      </c>
      <c r="K47" s="1670">
        <f t="shared" si="4"/>
        <v>78190</v>
      </c>
      <c r="L47" s="1670">
        <f>SUM(L44:L46)</f>
        <v>77846</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40523</v>
      </c>
      <c r="F49" s="481">
        <v>1007</v>
      </c>
      <c r="G49" s="481"/>
      <c r="H49" s="481">
        <v>446</v>
      </c>
      <c r="I49" s="467"/>
      <c r="J49" s="467"/>
      <c r="K49" s="1672">
        <f>SUM(C49:J49)</f>
        <v>41976</v>
      </c>
      <c r="L49" s="481">
        <v>44540</v>
      </c>
    </row>
    <row r="50" spans="1:14" x14ac:dyDescent="0.2">
      <c r="A50" s="1504" t="s">
        <v>818</v>
      </c>
      <c r="B50" s="614">
        <v>2320</v>
      </c>
      <c r="C50" s="466">
        <v>153547</v>
      </c>
      <c r="D50" s="466">
        <v>23276</v>
      </c>
      <c r="E50" s="466">
        <v>3399</v>
      </c>
      <c r="F50" s="466">
        <v>3871</v>
      </c>
      <c r="G50" s="466"/>
      <c r="H50" s="466"/>
      <c r="I50" s="467"/>
      <c r="J50" s="467"/>
      <c r="K50" s="1672">
        <f>SUM(C50:J50)</f>
        <v>184093</v>
      </c>
      <c r="L50" s="466">
        <v>181719</v>
      </c>
    </row>
    <row r="51" spans="1:14" x14ac:dyDescent="0.2">
      <c r="A51" s="1504" t="s">
        <v>42</v>
      </c>
      <c r="B51" s="614">
        <v>2330</v>
      </c>
      <c r="C51" s="466">
        <v>12550</v>
      </c>
      <c r="D51" s="466"/>
      <c r="E51" s="466"/>
      <c r="F51" s="466">
        <v>80</v>
      </c>
      <c r="G51" s="466"/>
      <c r="H51" s="466"/>
      <c r="I51" s="467"/>
      <c r="J51" s="467"/>
      <c r="K51" s="1672">
        <f>SUM(C51:J51)</f>
        <v>12630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166097</v>
      </c>
      <c r="D53" s="1670">
        <f t="shared" ref="D53:L53" si="5">SUM(D49:D52)</f>
        <v>23276</v>
      </c>
      <c r="E53" s="1670">
        <f t="shared" si="5"/>
        <v>43922</v>
      </c>
      <c r="F53" s="1670">
        <f t="shared" si="5"/>
        <v>4958</v>
      </c>
      <c r="G53" s="1670">
        <f t="shared" si="5"/>
        <v>0</v>
      </c>
      <c r="H53" s="1670">
        <f t="shared" si="5"/>
        <v>446</v>
      </c>
      <c r="I53" s="1670">
        <f t="shared" si="5"/>
        <v>0</v>
      </c>
      <c r="J53" s="1670">
        <f t="shared" si="5"/>
        <v>0</v>
      </c>
      <c r="K53" s="1670">
        <f t="shared" si="5"/>
        <v>238699</v>
      </c>
      <c r="L53" s="1670">
        <f t="shared" si="5"/>
        <v>226259</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348698</v>
      </c>
      <c r="D55" s="481">
        <v>104418</v>
      </c>
      <c r="E55" s="481">
        <v>1692</v>
      </c>
      <c r="F55" s="481">
        <v>2207</v>
      </c>
      <c r="G55" s="481"/>
      <c r="H55" s="481">
        <v>580</v>
      </c>
      <c r="I55" s="467"/>
      <c r="J55" s="467">
        <v>2550</v>
      </c>
      <c r="K55" s="1672">
        <f>SUM(C55:J55)</f>
        <v>460145</v>
      </c>
      <c r="L55" s="481">
        <v>448147</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348698</v>
      </c>
      <c r="D57" s="1674">
        <f t="shared" ref="D57:K57" si="6">SUM(D55:D56)</f>
        <v>104418</v>
      </c>
      <c r="E57" s="1674">
        <f t="shared" si="6"/>
        <v>1692</v>
      </c>
      <c r="F57" s="1674">
        <f t="shared" si="6"/>
        <v>2207</v>
      </c>
      <c r="G57" s="1674">
        <f t="shared" si="6"/>
        <v>0</v>
      </c>
      <c r="H57" s="1674">
        <f t="shared" si="6"/>
        <v>580</v>
      </c>
      <c r="I57" s="1674">
        <f t="shared" si="6"/>
        <v>0</v>
      </c>
      <c r="J57" s="1674">
        <f t="shared" si="6"/>
        <v>2550</v>
      </c>
      <c r="K57" s="1674">
        <f t="shared" si="6"/>
        <v>460145</v>
      </c>
      <c r="L57" s="1670">
        <f>SUM(L55:L56)</f>
        <v>448147</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50784</v>
      </c>
      <c r="D60" s="466"/>
      <c r="E60" s="466">
        <v>2393</v>
      </c>
      <c r="F60" s="466">
        <v>301</v>
      </c>
      <c r="G60" s="466"/>
      <c r="H60" s="466"/>
      <c r="I60" s="467"/>
      <c r="J60" s="467"/>
      <c r="K60" s="1672">
        <f t="shared" si="7"/>
        <v>53478</v>
      </c>
      <c r="L60" s="466">
        <v>57611</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v>18579</v>
      </c>
      <c r="D62" s="466"/>
      <c r="E62" s="466"/>
      <c r="F62" s="466"/>
      <c r="G62" s="466"/>
      <c r="H62" s="466"/>
      <c r="I62" s="467"/>
      <c r="J62" s="467"/>
      <c r="K62" s="1672">
        <f t="shared" si="7"/>
        <v>18579</v>
      </c>
      <c r="L62" s="466">
        <v>19110</v>
      </c>
      <c r="M62" s="609"/>
      <c r="N62" s="609"/>
    </row>
    <row r="63" spans="1:14" s="609" customFormat="1" x14ac:dyDescent="0.2">
      <c r="A63" s="1504" t="s">
        <v>100</v>
      </c>
      <c r="B63" s="614">
        <v>2560</v>
      </c>
      <c r="C63" s="466">
        <v>91800</v>
      </c>
      <c r="D63" s="466">
        <v>37939</v>
      </c>
      <c r="E63" s="466">
        <v>2308</v>
      </c>
      <c r="F63" s="466">
        <v>131872</v>
      </c>
      <c r="G63" s="466"/>
      <c r="H63" s="466"/>
      <c r="I63" s="467"/>
      <c r="J63" s="467">
        <v>2550</v>
      </c>
      <c r="K63" s="1672">
        <f t="shared" si="7"/>
        <v>266469</v>
      </c>
      <c r="L63" s="466">
        <v>264612</v>
      </c>
    </row>
    <row r="64" spans="1:14" s="609" customFormat="1" x14ac:dyDescent="0.2">
      <c r="A64" s="1509" t="s">
        <v>101</v>
      </c>
      <c r="B64" s="630">
        <v>2570</v>
      </c>
      <c r="C64" s="481"/>
      <c r="D64" s="481"/>
      <c r="E64" s="481">
        <v>10224</v>
      </c>
      <c r="F64" s="481">
        <v>6941</v>
      </c>
      <c r="G64" s="481"/>
      <c r="H64" s="481"/>
      <c r="I64" s="467"/>
      <c r="J64" s="467"/>
      <c r="K64" s="1672">
        <f t="shared" si="7"/>
        <v>17165</v>
      </c>
      <c r="L64" s="481">
        <v>15000</v>
      </c>
    </row>
    <row r="65" spans="1:14" s="343" customFormat="1" ht="12.75" customHeight="1" thickBot="1" x14ac:dyDescent="0.25">
      <c r="A65" s="1668" t="s">
        <v>719</v>
      </c>
      <c r="B65" s="1669" t="s">
        <v>35</v>
      </c>
      <c r="C65" s="1670">
        <f>SUM(C59:C64)</f>
        <v>161163</v>
      </c>
      <c r="D65" s="1670">
        <f t="shared" ref="D65:L65" si="8">SUM(D59:D64)</f>
        <v>37939</v>
      </c>
      <c r="E65" s="1670">
        <f t="shared" si="8"/>
        <v>14925</v>
      </c>
      <c r="F65" s="1670">
        <f t="shared" si="8"/>
        <v>139114</v>
      </c>
      <c r="G65" s="1670">
        <f t="shared" si="8"/>
        <v>0</v>
      </c>
      <c r="H65" s="1670">
        <f t="shared" si="8"/>
        <v>0</v>
      </c>
      <c r="I65" s="1670">
        <f t="shared" si="8"/>
        <v>0</v>
      </c>
      <c r="J65" s="1670">
        <f t="shared" si="8"/>
        <v>2550</v>
      </c>
      <c r="K65" s="1670">
        <f t="shared" si="8"/>
        <v>355691</v>
      </c>
      <c r="L65" s="1670">
        <f t="shared" si="8"/>
        <v>356333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v>8056</v>
      </c>
      <c r="F69" s="466"/>
      <c r="G69" s="466"/>
      <c r="H69" s="466"/>
      <c r="I69" s="467"/>
      <c r="J69" s="467"/>
      <c r="K69" s="1672">
        <f>SUM(C69:J69)</f>
        <v>8056</v>
      </c>
      <c r="L69" s="466">
        <v>10000</v>
      </c>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8056</v>
      </c>
      <c r="F72" s="1670">
        <f t="shared" si="9"/>
        <v>0</v>
      </c>
      <c r="G72" s="1670">
        <f t="shared" si="9"/>
        <v>0</v>
      </c>
      <c r="H72" s="1670">
        <f t="shared" si="9"/>
        <v>0</v>
      </c>
      <c r="I72" s="1670">
        <f t="shared" si="9"/>
        <v>0</v>
      </c>
      <c r="J72" s="1670">
        <f t="shared" si="9"/>
        <v>0</v>
      </c>
      <c r="K72" s="1670">
        <f t="shared" si="9"/>
        <v>8056</v>
      </c>
      <c r="L72" s="1670">
        <f>SUM(L67:L71)</f>
        <v>10000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852066</v>
      </c>
      <c r="D74" s="1677">
        <f t="shared" ref="D74:K74" si="10">SUM(D42,D47,D53,D57,D65,D72,D73)</f>
        <v>211129</v>
      </c>
      <c r="E74" s="1677">
        <f t="shared" si="10"/>
        <v>89210</v>
      </c>
      <c r="F74" s="1677">
        <f t="shared" si="10"/>
        <v>147452</v>
      </c>
      <c r="G74" s="1677">
        <f t="shared" si="10"/>
        <v>0</v>
      </c>
      <c r="H74" s="1677">
        <f t="shared" si="10"/>
        <v>1091</v>
      </c>
      <c r="I74" s="1677">
        <f t="shared" si="10"/>
        <v>0</v>
      </c>
      <c r="J74" s="1677">
        <f t="shared" si="10"/>
        <v>5100</v>
      </c>
      <c r="K74" s="1677">
        <f t="shared" si="10"/>
        <v>1306048</v>
      </c>
      <c r="L74" s="1677">
        <f>SUM(L42,L47,L53,L57,L65,L72,L73)</f>
        <v>1284250</v>
      </c>
    </row>
    <row r="75" spans="1:14" s="259" customFormat="1" ht="15.75" customHeight="1" thickTop="1" thickBot="1" x14ac:dyDescent="0.25">
      <c r="A75" s="1610" t="s">
        <v>47</v>
      </c>
      <c r="B75" s="1611" t="s">
        <v>575</v>
      </c>
      <c r="C75" s="573"/>
      <c r="D75" s="573"/>
      <c r="E75" s="573">
        <v>434</v>
      </c>
      <c r="F75" s="573">
        <v>1009</v>
      </c>
      <c r="G75" s="573"/>
      <c r="H75" s="573"/>
      <c r="I75" s="531"/>
      <c r="J75" s="531"/>
      <c r="K75" s="1670">
        <f>SUM(C75:J75)</f>
        <v>1443</v>
      </c>
      <c r="L75" s="576">
        <v>2600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v>349803</v>
      </c>
      <c r="I79" s="477"/>
      <c r="J79" s="477"/>
      <c r="K79" s="1671">
        <f t="shared" si="11"/>
        <v>349803</v>
      </c>
      <c r="L79" s="466">
        <v>400000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v>6440</v>
      </c>
      <c r="I83" s="477"/>
      <c r="J83" s="477"/>
      <c r="K83" s="1671">
        <f t="shared" si="11"/>
        <v>6440</v>
      </c>
      <c r="L83" s="466"/>
    </row>
    <row r="84" spans="1:12" ht="13.5" thickBot="1" x14ac:dyDescent="0.25">
      <c r="A84" s="1668" t="s">
        <v>1485</v>
      </c>
      <c r="B84" s="1678">
        <v>4100</v>
      </c>
      <c r="C84" s="616"/>
      <c r="D84" s="616"/>
      <c r="E84" s="1670">
        <f>SUM(E78:E83)</f>
        <v>0</v>
      </c>
      <c r="F84" s="616"/>
      <c r="G84" s="616"/>
      <c r="H84" s="1670">
        <f>SUM(H78:H83)</f>
        <v>356243</v>
      </c>
      <c r="I84" s="477"/>
      <c r="J84" s="477"/>
      <c r="K84" s="1670">
        <f>SUM(K78:K83)</f>
        <v>356243</v>
      </c>
      <c r="L84" s="1670">
        <f>SUM(L78:L83)</f>
        <v>400000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v>2473</v>
      </c>
      <c r="I88" s="477"/>
      <c r="J88" s="477"/>
      <c r="K88" s="1677">
        <f t="shared" si="12"/>
        <v>2473</v>
      </c>
      <c r="L88" s="530">
        <v>5000</v>
      </c>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2473</v>
      </c>
      <c r="I92" s="477"/>
      <c r="J92" s="477"/>
      <c r="K92" s="1677">
        <f t="shared" si="12"/>
        <v>2473</v>
      </c>
      <c r="L92" s="1670">
        <f>SUM(L85:L91)</f>
        <v>5000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358716</v>
      </c>
      <c r="I102" s="477"/>
      <c r="J102" s="477"/>
      <c r="K102" s="1677">
        <f>SUM(K84,K92,K100,K101)</f>
        <v>358716</v>
      </c>
      <c r="L102" s="1677">
        <f>SUM(L84,L92,L100,L101)</f>
        <v>405000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2749084</v>
      </c>
      <c r="D114" s="1670">
        <f t="shared" ref="D114:K114" si="13">SUM(D33,D74,D75,D102,D112,D113)</f>
        <v>732912</v>
      </c>
      <c r="E114" s="1670">
        <f t="shared" si="13"/>
        <v>243776</v>
      </c>
      <c r="F114" s="1670">
        <f t="shared" si="13"/>
        <v>270353</v>
      </c>
      <c r="G114" s="1670">
        <f t="shared" si="13"/>
        <v>25031</v>
      </c>
      <c r="H114" s="1670">
        <f>SUM(H33,H74,H75,H102,H112,H113)</f>
        <v>361068</v>
      </c>
      <c r="I114" s="1670">
        <f t="shared" si="13"/>
        <v>1918</v>
      </c>
      <c r="J114" s="1670">
        <f t="shared" si="13"/>
        <v>5100</v>
      </c>
      <c r="K114" s="1670">
        <f t="shared" si="13"/>
        <v>4389242</v>
      </c>
      <c r="L114" s="1670">
        <f>SUM(L33,L74,L75,L102,L112,L113)</f>
        <v>4383006</v>
      </c>
    </row>
    <row r="115" spans="1:14" ht="13.5" thickTop="1" x14ac:dyDescent="0.2">
      <c r="A115" s="2156" t="s">
        <v>996</v>
      </c>
      <c r="B115" s="2157"/>
      <c r="C115" s="618"/>
      <c r="D115" s="618"/>
      <c r="E115" s="618"/>
      <c r="F115" s="618"/>
      <c r="G115" s="618"/>
      <c r="H115" s="618"/>
      <c r="I115" s="618"/>
      <c r="J115" s="618"/>
      <c r="K115" s="1684">
        <f>'Revenues 9-14'!C268-'Expenditures 15-22'!K114</f>
        <v>23563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296</v>
      </c>
      <c r="B117" s="216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167232</v>
      </c>
      <c r="D124" s="466">
        <v>31815</v>
      </c>
      <c r="E124" s="466">
        <v>45904</v>
      </c>
      <c r="F124" s="466">
        <v>99527</v>
      </c>
      <c r="G124" s="466">
        <v>9412</v>
      </c>
      <c r="H124" s="466"/>
      <c r="I124" s="467">
        <v>956</v>
      </c>
      <c r="J124" s="467">
        <v>6000</v>
      </c>
      <c r="K124" s="1670">
        <f>SUM(C124:J124)</f>
        <v>360846</v>
      </c>
      <c r="L124" s="466">
        <v>393786</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167232</v>
      </c>
      <c r="D127" s="1670">
        <f t="shared" ref="D127:L127" si="14">SUM(D122:D126)</f>
        <v>31815</v>
      </c>
      <c r="E127" s="1670">
        <f t="shared" si="14"/>
        <v>45904</v>
      </c>
      <c r="F127" s="1670">
        <f t="shared" si="14"/>
        <v>99527</v>
      </c>
      <c r="G127" s="1670">
        <f t="shared" si="14"/>
        <v>9412</v>
      </c>
      <c r="H127" s="1670">
        <f t="shared" si="14"/>
        <v>0</v>
      </c>
      <c r="I127" s="1670">
        <f t="shared" si="14"/>
        <v>956</v>
      </c>
      <c r="J127" s="1670">
        <f t="shared" si="14"/>
        <v>6000</v>
      </c>
      <c r="K127" s="1670">
        <f t="shared" si="14"/>
        <v>360846</v>
      </c>
      <c r="L127" s="1670">
        <f t="shared" si="14"/>
        <v>393786</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167232</v>
      </c>
      <c r="D129" s="1677">
        <f t="shared" ref="D129:L129" si="15">SUM(D120,D127,D128)</f>
        <v>31815</v>
      </c>
      <c r="E129" s="1677">
        <f t="shared" si="15"/>
        <v>45904</v>
      </c>
      <c r="F129" s="1677">
        <f t="shared" si="15"/>
        <v>99527</v>
      </c>
      <c r="G129" s="1677">
        <f t="shared" si="15"/>
        <v>9412</v>
      </c>
      <c r="H129" s="1677">
        <f t="shared" si="15"/>
        <v>0</v>
      </c>
      <c r="I129" s="1677">
        <f t="shared" si="15"/>
        <v>956</v>
      </c>
      <c r="J129" s="1677">
        <f t="shared" si="15"/>
        <v>6000</v>
      </c>
      <c r="K129" s="1677">
        <f t="shared" si="15"/>
        <v>360846</v>
      </c>
      <c r="L129" s="1677">
        <f t="shared" si="15"/>
        <v>393786</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3" t="s">
        <v>620</v>
      </c>
      <c r="B151" s="2153"/>
      <c r="C151" s="1670">
        <f>SUM(C129,C130,C139,C149,C150)</f>
        <v>167232</v>
      </c>
      <c r="D151" s="1670">
        <f t="shared" ref="D151:K151" si="16">SUM(D129,D130,D139,D149,D150)</f>
        <v>31815</v>
      </c>
      <c r="E151" s="1670">
        <f t="shared" si="16"/>
        <v>45904</v>
      </c>
      <c r="F151" s="1670">
        <f t="shared" si="16"/>
        <v>99527</v>
      </c>
      <c r="G151" s="1670">
        <f t="shared" si="16"/>
        <v>9412</v>
      </c>
      <c r="H151" s="1670">
        <f t="shared" si="16"/>
        <v>0</v>
      </c>
      <c r="I151" s="1670">
        <f t="shared" si="16"/>
        <v>956</v>
      </c>
      <c r="J151" s="1670">
        <f t="shared" si="16"/>
        <v>6000</v>
      </c>
      <c r="K151" s="1670">
        <f t="shared" si="16"/>
        <v>360846</v>
      </c>
      <c r="L151" s="1670">
        <f>SUM(L129,L130,L139,L149,L150)</f>
        <v>393786</v>
      </c>
    </row>
    <row r="152" spans="1:14" ht="12.75" customHeight="1" thickTop="1" x14ac:dyDescent="0.2">
      <c r="A152" s="2176" t="s">
        <v>1178</v>
      </c>
      <c r="B152" s="2177"/>
      <c r="C152" s="618"/>
      <c r="D152" s="618"/>
      <c r="E152" s="618"/>
      <c r="F152" s="618"/>
      <c r="G152" s="618"/>
      <c r="H152" s="618"/>
      <c r="I152" s="618"/>
      <c r="J152" s="616"/>
      <c r="K152" s="1684">
        <f>'Revenues 9-14'!D268-'Expenditures 15-22'!K151</f>
        <v>-14789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621</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56" t="s">
        <v>996</v>
      </c>
      <c r="B175" s="2157"/>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282238</v>
      </c>
      <c r="D182" s="466">
        <v>24208</v>
      </c>
      <c r="E182" s="466">
        <v>152842</v>
      </c>
      <c r="F182" s="466">
        <v>74354</v>
      </c>
      <c r="G182" s="466"/>
      <c r="H182" s="466"/>
      <c r="I182" s="467">
        <v>1763</v>
      </c>
      <c r="J182" s="467"/>
      <c r="K182" s="1671">
        <f>SUM(C182:J182)</f>
        <v>535405</v>
      </c>
      <c r="L182" s="466">
        <v>567434</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282238</v>
      </c>
      <c r="D184" s="1677">
        <f t="shared" ref="D184:J184" si="17">SUM(D180,D182,D183)</f>
        <v>24208</v>
      </c>
      <c r="E184" s="1677">
        <f t="shared" si="17"/>
        <v>152842</v>
      </c>
      <c r="F184" s="1677">
        <f t="shared" si="17"/>
        <v>74354</v>
      </c>
      <c r="G184" s="1677">
        <f t="shared" si="17"/>
        <v>0</v>
      </c>
      <c r="H184" s="1677">
        <f t="shared" si="17"/>
        <v>0</v>
      </c>
      <c r="I184" s="1677">
        <f t="shared" si="17"/>
        <v>1763</v>
      </c>
      <c r="J184" s="1677">
        <f t="shared" si="17"/>
        <v>0</v>
      </c>
      <c r="K184" s="1677">
        <f>SUM(K180,K182,K183)</f>
        <v>535405</v>
      </c>
      <c r="L184" s="1677">
        <f>SUM(L180, L182:L183)</f>
        <v>567434</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282238</v>
      </c>
      <c r="D210" s="1670">
        <f>SUM(D184,D185)</f>
        <v>24208</v>
      </c>
      <c r="E210" s="1670">
        <f>SUM(E184,E185,E196)</f>
        <v>152842</v>
      </c>
      <c r="F210" s="1670">
        <f>SUM(F184,F185)</f>
        <v>74354</v>
      </c>
      <c r="G210" s="1670">
        <f>SUM(G184,G185)</f>
        <v>0</v>
      </c>
      <c r="H210" s="1670">
        <f>SUM(H184,H185,H196,H208,H209)</f>
        <v>0</v>
      </c>
      <c r="I210" s="1670">
        <f>SUM(I184,I185)</f>
        <v>1763</v>
      </c>
      <c r="J210" s="1670">
        <f>SUM(J184,J185)</f>
        <v>0</v>
      </c>
      <c r="K210" s="1671">
        <f>SUM(K184,K185,K196,K208,K209)</f>
        <v>535405</v>
      </c>
      <c r="L210" s="1670">
        <f>SUM(L184,L185,L196,L208,L209)</f>
        <v>567434</v>
      </c>
    </row>
    <row r="211" spans="1:14" ht="13.5" thickTop="1" x14ac:dyDescent="0.2">
      <c r="A211" s="2156" t="s">
        <v>996</v>
      </c>
      <c r="B211" s="2157"/>
      <c r="C211" s="618"/>
      <c r="D211" s="618"/>
      <c r="E211" s="618"/>
      <c r="F211" s="618"/>
      <c r="G211" s="618"/>
      <c r="H211" s="618"/>
      <c r="I211" s="616"/>
      <c r="J211" s="616"/>
      <c r="K211" s="1684">
        <f>'Revenues 9-14'!F268-'Expenditures 15-22'!K210</f>
        <v>7730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965</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23172</v>
      </c>
      <c r="E215" s="616"/>
      <c r="F215" s="616"/>
      <c r="G215" s="616"/>
      <c r="H215" s="616"/>
      <c r="I215" s="616"/>
      <c r="J215" s="616"/>
      <c r="K215" s="1671">
        <f>D215</f>
        <v>23172</v>
      </c>
      <c r="L215" s="466">
        <v>21876</v>
      </c>
    </row>
    <row r="216" spans="1:14" x14ac:dyDescent="0.2">
      <c r="A216" s="1504" t="s">
        <v>163</v>
      </c>
      <c r="B216" s="614" t="s">
        <v>967</v>
      </c>
      <c r="C216" s="616"/>
      <c r="D216" s="467">
        <v>4969</v>
      </c>
      <c r="E216" s="616"/>
      <c r="F216" s="616"/>
      <c r="G216" s="616"/>
      <c r="H216" s="616"/>
      <c r="I216" s="616"/>
      <c r="J216" s="616"/>
      <c r="K216" s="1671">
        <f t="shared" ref="K216:K228" si="19">D216</f>
        <v>4969</v>
      </c>
      <c r="L216" s="466">
        <v>5594</v>
      </c>
    </row>
    <row r="217" spans="1:14" x14ac:dyDescent="0.2">
      <c r="A217" s="1504" t="s">
        <v>164</v>
      </c>
      <c r="B217" s="614">
        <v>1200</v>
      </c>
      <c r="C217" s="616"/>
      <c r="D217" s="466">
        <v>25730</v>
      </c>
      <c r="E217" s="616"/>
      <c r="F217" s="616"/>
      <c r="G217" s="616"/>
      <c r="H217" s="616"/>
      <c r="I217" s="616"/>
      <c r="J217" s="616"/>
      <c r="K217" s="1671">
        <f t="shared" si="19"/>
        <v>25730</v>
      </c>
      <c r="L217" s="466">
        <v>28430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5161</v>
      </c>
      <c r="E219" s="616"/>
      <c r="F219" s="616"/>
      <c r="G219" s="616"/>
      <c r="H219" s="616"/>
      <c r="I219" s="616"/>
      <c r="J219" s="616"/>
      <c r="K219" s="1671">
        <f t="shared" si="19"/>
        <v>5161</v>
      </c>
      <c r="L219" s="466">
        <v>2844</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1398</v>
      </c>
      <c r="E222" s="616"/>
      <c r="F222" s="616"/>
      <c r="G222" s="616"/>
      <c r="H222" s="616"/>
      <c r="I222" s="616"/>
      <c r="J222" s="616"/>
      <c r="K222" s="1671">
        <f t="shared" si="19"/>
        <v>1398</v>
      </c>
      <c r="L222" s="466">
        <v>1337</v>
      </c>
    </row>
    <row r="223" spans="1:14" x14ac:dyDescent="0.2">
      <c r="A223" s="1504" t="s">
        <v>963</v>
      </c>
      <c r="B223" s="614">
        <v>1500</v>
      </c>
      <c r="C223" s="616"/>
      <c r="D223" s="466">
        <v>3783</v>
      </c>
      <c r="E223" s="616"/>
      <c r="F223" s="616"/>
      <c r="G223" s="616"/>
      <c r="H223" s="616"/>
      <c r="I223" s="616"/>
      <c r="J223" s="616"/>
      <c r="K223" s="1671">
        <f t="shared" si="19"/>
        <v>3783</v>
      </c>
      <c r="L223" s="466">
        <v>3500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202</v>
      </c>
      <c r="E226" s="616"/>
      <c r="F226" s="616"/>
      <c r="G226" s="616"/>
      <c r="H226" s="616"/>
      <c r="I226" s="616"/>
      <c r="J226" s="616"/>
      <c r="K226" s="1671">
        <f t="shared" si="19"/>
        <v>202</v>
      </c>
      <c r="L226" s="466">
        <v>200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64415</v>
      </c>
      <c r="E229" s="616"/>
      <c r="F229" s="616"/>
      <c r="G229" s="616"/>
      <c r="H229" s="616"/>
      <c r="I229" s="616"/>
      <c r="J229" s="616"/>
      <c r="K229" s="1670">
        <f>SUM(K215:K228)</f>
        <v>64415</v>
      </c>
      <c r="L229" s="1670">
        <f>SUM(L215:L228)</f>
        <v>63781</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342</v>
      </c>
      <c r="E233" s="616"/>
      <c r="F233" s="616"/>
      <c r="G233" s="616"/>
      <c r="H233" s="616"/>
      <c r="I233" s="616"/>
      <c r="J233" s="616"/>
      <c r="K233" s="1671">
        <f t="shared" si="20"/>
        <v>342</v>
      </c>
      <c r="L233" s="466">
        <v>600</v>
      </c>
    </row>
    <row r="234" spans="1:12" x14ac:dyDescent="0.2">
      <c r="A234" s="1504" t="s">
        <v>198</v>
      </c>
      <c r="B234" s="614">
        <v>2130</v>
      </c>
      <c r="C234" s="616"/>
      <c r="D234" s="466">
        <v>919</v>
      </c>
      <c r="E234" s="616"/>
      <c r="F234" s="616"/>
      <c r="G234" s="616"/>
      <c r="H234" s="616"/>
      <c r="I234" s="616"/>
      <c r="J234" s="616"/>
      <c r="K234" s="1671">
        <f t="shared" si="20"/>
        <v>919</v>
      </c>
      <c r="L234" s="466">
        <v>1530</v>
      </c>
    </row>
    <row r="235" spans="1:12" x14ac:dyDescent="0.2">
      <c r="A235" s="1504" t="s">
        <v>199</v>
      </c>
      <c r="B235" s="614">
        <v>2140</v>
      </c>
      <c r="C235" s="616"/>
      <c r="D235" s="466">
        <v>576</v>
      </c>
      <c r="E235" s="616"/>
      <c r="F235" s="616"/>
      <c r="G235" s="616"/>
      <c r="H235" s="616"/>
      <c r="I235" s="616"/>
      <c r="J235" s="616"/>
      <c r="K235" s="1671">
        <f t="shared" si="20"/>
        <v>576</v>
      </c>
      <c r="L235" s="466">
        <v>578</v>
      </c>
    </row>
    <row r="236" spans="1:12" x14ac:dyDescent="0.2">
      <c r="A236" s="1504" t="s">
        <v>200</v>
      </c>
      <c r="B236" s="614">
        <v>2150</v>
      </c>
      <c r="C236" s="616"/>
      <c r="D236" s="466">
        <v>747</v>
      </c>
      <c r="E236" s="616"/>
      <c r="F236" s="616"/>
      <c r="G236" s="616"/>
      <c r="H236" s="616"/>
      <c r="I236" s="616"/>
      <c r="J236" s="616"/>
      <c r="K236" s="1671">
        <f t="shared" si="20"/>
        <v>747</v>
      </c>
      <c r="L236" s="466">
        <v>751</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2584</v>
      </c>
      <c r="E238" s="616"/>
      <c r="F238" s="616"/>
      <c r="G238" s="616"/>
      <c r="H238" s="616"/>
      <c r="I238" s="616"/>
      <c r="J238" s="616"/>
      <c r="K238" s="1670">
        <f>SUM(K232:K237)</f>
        <v>2584</v>
      </c>
      <c r="L238" s="1670">
        <f>SUM(L232:L237)</f>
        <v>3459</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124</v>
      </c>
      <c r="E240" s="616"/>
      <c r="F240" s="616"/>
      <c r="G240" s="616"/>
      <c r="H240" s="616"/>
      <c r="I240" s="616"/>
      <c r="J240" s="616"/>
      <c r="K240" s="1672">
        <f>D240</f>
        <v>124</v>
      </c>
      <c r="L240" s="481">
        <v>126</v>
      </c>
    </row>
    <row r="241" spans="1:12" x14ac:dyDescent="0.2">
      <c r="A241" s="1504" t="s">
        <v>815</v>
      </c>
      <c r="B241" s="614">
        <v>2220</v>
      </c>
      <c r="C241" s="616"/>
      <c r="D241" s="466">
        <v>510</v>
      </c>
      <c r="E241" s="616"/>
      <c r="F241" s="616"/>
      <c r="G241" s="616"/>
      <c r="H241" s="616"/>
      <c r="I241" s="616"/>
      <c r="J241" s="616"/>
      <c r="K241" s="1672">
        <f>D241</f>
        <v>510</v>
      </c>
      <c r="L241" s="466">
        <v>510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634</v>
      </c>
      <c r="E243" s="616"/>
      <c r="F243" s="616"/>
      <c r="G243" s="616"/>
      <c r="H243" s="616"/>
      <c r="I243" s="616"/>
      <c r="J243" s="616"/>
      <c r="K243" s="1670">
        <f>SUM(K240:K242)</f>
        <v>634</v>
      </c>
      <c r="L243" s="1670">
        <f>SUM(L240:L242)</f>
        <v>636</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8989</v>
      </c>
      <c r="E246" s="616"/>
      <c r="F246" s="616"/>
      <c r="G246" s="616"/>
      <c r="H246" s="616"/>
      <c r="I246" s="616"/>
      <c r="J246" s="616"/>
      <c r="K246" s="1672">
        <f t="shared" ref="K246:K256" si="21">D246</f>
        <v>8989</v>
      </c>
      <c r="L246" s="466">
        <v>9259</v>
      </c>
    </row>
    <row r="247" spans="1:12" x14ac:dyDescent="0.2">
      <c r="A247" s="1504" t="s">
        <v>819</v>
      </c>
      <c r="B247" s="614">
        <v>2330</v>
      </c>
      <c r="C247" s="616"/>
      <c r="D247" s="466">
        <v>182</v>
      </c>
      <c r="E247" s="616"/>
      <c r="F247" s="616"/>
      <c r="G247" s="616"/>
      <c r="H247" s="616"/>
      <c r="I247" s="616"/>
      <c r="J247" s="616"/>
      <c r="K247" s="1672">
        <f t="shared" si="21"/>
        <v>182</v>
      </c>
      <c r="L247" s="466">
        <v>182</v>
      </c>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v>14958</v>
      </c>
      <c r="E254" s="616"/>
      <c r="F254" s="616"/>
      <c r="G254" s="616"/>
      <c r="H254" s="616"/>
      <c r="I254" s="616"/>
      <c r="J254" s="616"/>
      <c r="K254" s="1672">
        <f t="shared" si="21"/>
        <v>14958</v>
      </c>
      <c r="L254" s="466">
        <v>18398</v>
      </c>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24129</v>
      </c>
      <c r="E257" s="616"/>
      <c r="F257" s="616"/>
      <c r="G257" s="616"/>
      <c r="H257" s="616"/>
      <c r="I257" s="616"/>
      <c r="J257" s="616"/>
      <c r="K257" s="1670">
        <f>SUM(K245:K256)</f>
        <v>24129</v>
      </c>
      <c r="L257" s="1670">
        <f>SUM(L245:L256)</f>
        <v>27839</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21428</v>
      </c>
      <c r="E259" s="616"/>
      <c r="F259" s="616"/>
      <c r="G259" s="616"/>
      <c r="H259" s="616"/>
      <c r="I259" s="616"/>
      <c r="J259" s="616"/>
      <c r="K259" s="1672">
        <f>D259</f>
        <v>21428</v>
      </c>
      <c r="L259" s="481">
        <v>22295</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21428</v>
      </c>
      <c r="E261" s="616"/>
      <c r="F261" s="616"/>
      <c r="G261" s="616"/>
      <c r="H261" s="616"/>
      <c r="I261" s="616"/>
      <c r="J261" s="616"/>
      <c r="K261" s="1670">
        <f>SUM(K259:K260)</f>
        <v>21428</v>
      </c>
      <c r="L261" s="1670">
        <f>SUM(L259:L260)</f>
        <v>22295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9109</v>
      </c>
      <c r="E264" s="616"/>
      <c r="F264" s="616"/>
      <c r="G264" s="616"/>
      <c r="H264" s="616"/>
      <c r="I264" s="616"/>
      <c r="J264" s="616"/>
      <c r="K264" s="1672">
        <f t="shared" ref="K264:K269" si="22">D264</f>
        <v>9109</v>
      </c>
      <c r="L264" s="466">
        <v>9974</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29383</v>
      </c>
      <c r="E266" s="616"/>
      <c r="F266" s="616"/>
      <c r="G266" s="616"/>
      <c r="H266" s="616"/>
      <c r="I266" s="616"/>
      <c r="J266" s="616"/>
      <c r="K266" s="1672">
        <f t="shared" si="22"/>
        <v>29383</v>
      </c>
      <c r="L266" s="466">
        <v>29593</v>
      </c>
    </row>
    <row r="267" spans="1:14" x14ac:dyDescent="0.2">
      <c r="A267" s="1504" t="s">
        <v>953</v>
      </c>
      <c r="B267" s="614">
        <v>2550</v>
      </c>
      <c r="C267" s="616"/>
      <c r="D267" s="466">
        <v>45799</v>
      </c>
      <c r="E267" s="616"/>
      <c r="F267" s="616"/>
      <c r="G267" s="616"/>
      <c r="H267" s="616"/>
      <c r="I267" s="616"/>
      <c r="J267" s="616"/>
      <c r="K267" s="1672">
        <f t="shared" si="22"/>
        <v>45799</v>
      </c>
      <c r="L267" s="466">
        <v>48566</v>
      </c>
    </row>
    <row r="268" spans="1:14" x14ac:dyDescent="0.2">
      <c r="A268" s="1504" t="s">
        <v>100</v>
      </c>
      <c r="B268" s="614">
        <v>2560</v>
      </c>
      <c r="C268" s="616"/>
      <c r="D268" s="466">
        <v>15662</v>
      </c>
      <c r="E268" s="616"/>
      <c r="F268" s="616"/>
      <c r="G268" s="616"/>
      <c r="H268" s="616"/>
      <c r="I268" s="616"/>
      <c r="J268" s="616"/>
      <c r="K268" s="1672">
        <f t="shared" si="22"/>
        <v>15662</v>
      </c>
      <c r="L268" s="466">
        <v>14763</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99953</v>
      </c>
      <c r="E270" s="616"/>
      <c r="F270" s="616"/>
      <c r="G270" s="616"/>
      <c r="H270" s="616"/>
      <c r="I270" s="616"/>
      <c r="J270" s="616"/>
      <c r="K270" s="1670">
        <f>SUM(K263:K269)</f>
        <v>99953</v>
      </c>
      <c r="L270" s="1670">
        <f>SUM(L263:L269)</f>
        <v>102896</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148728</v>
      </c>
      <c r="E279" s="616"/>
      <c r="F279" s="616"/>
      <c r="G279" s="616"/>
      <c r="H279" s="616"/>
      <c r="I279" s="616"/>
      <c r="J279" s="616"/>
      <c r="K279" s="1677">
        <f>SUM(K238,K243,K257,K261,K270,K277,K278)</f>
        <v>148728</v>
      </c>
      <c r="L279" s="1677">
        <f>SUM(L238,L243,L257,L261,L270,L277,L278)</f>
        <v>157125</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4" t="s">
        <v>505</v>
      </c>
      <c r="B295" s="2175"/>
      <c r="C295" s="616"/>
      <c r="D295" s="1670">
        <f>SUM(D229,D279,D280,D285)</f>
        <v>213143</v>
      </c>
      <c r="E295" s="616"/>
      <c r="F295" s="616"/>
      <c r="G295" s="616"/>
      <c r="H295" s="1670">
        <f>H293</f>
        <v>0</v>
      </c>
      <c r="I295" s="616"/>
      <c r="J295" s="616"/>
      <c r="K295" s="1670">
        <f>SUM(K229,K279,K280,K285,K293,K294)</f>
        <v>213143</v>
      </c>
      <c r="L295" s="1670">
        <f>SUM(L229,L279,L280,L285,L293,L294)</f>
        <v>220906</v>
      </c>
    </row>
    <row r="296" spans="1:14" ht="13.5" thickTop="1" x14ac:dyDescent="0.2">
      <c r="A296" s="2156" t="s">
        <v>996</v>
      </c>
      <c r="B296" s="2157"/>
      <c r="C296" s="616"/>
      <c r="D296" s="618"/>
      <c r="E296" s="616"/>
      <c r="F296" s="616"/>
      <c r="G296" s="616"/>
      <c r="H296" s="687"/>
      <c r="I296" s="616"/>
      <c r="J296" s="616"/>
      <c r="K296" s="1684">
        <f>'Revenues 9-14'!G268-'Expenditures 15-22'!K295</f>
        <v>-37207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1" t="s">
        <v>277</v>
      </c>
      <c r="B312" s="2172"/>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7" t="s">
        <v>996</v>
      </c>
      <c r="B313" s="2168"/>
      <c r="C313" s="626"/>
      <c r="D313" s="626"/>
      <c r="E313" s="626"/>
      <c r="F313" s="626"/>
      <c r="G313" s="626"/>
      <c r="H313" s="626"/>
      <c r="I313" s="626"/>
      <c r="J313" s="626"/>
      <c r="K313" s="1685">
        <f>'Revenues 9-14'!H268-'Expenditures 15-22'!K312</f>
        <v>19833</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898</v>
      </c>
      <c r="B317" s="218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45730</v>
      </c>
      <c r="F320" s="467"/>
      <c r="G320" s="467"/>
      <c r="H320" s="467"/>
      <c r="I320" s="467"/>
      <c r="J320" s="467"/>
      <c r="K320" s="1671">
        <f t="shared" ref="K320:K327" si="24">SUM(C320:J320)</f>
        <v>45730</v>
      </c>
      <c r="L320" s="467">
        <v>69894</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40727</v>
      </c>
      <c r="F322" s="467"/>
      <c r="G322" s="467"/>
      <c r="H322" s="467"/>
      <c r="I322" s="467"/>
      <c r="J322" s="467"/>
      <c r="K322" s="1671">
        <f t="shared" si="24"/>
        <v>40727</v>
      </c>
      <c r="L322" s="467">
        <v>40727</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167120</v>
      </c>
      <c r="D325" s="467">
        <v>36180</v>
      </c>
      <c r="E325" s="467">
        <v>5816</v>
      </c>
      <c r="F325" s="467"/>
      <c r="G325" s="467">
        <v>35453</v>
      </c>
      <c r="H325" s="467"/>
      <c r="I325" s="467"/>
      <c r="J325" s="467"/>
      <c r="K325" s="1671">
        <f t="shared" si="24"/>
        <v>244569</v>
      </c>
      <c r="L325" s="467">
        <v>267408</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18425</v>
      </c>
      <c r="F327" s="467"/>
      <c r="G327" s="467">
        <v>8545</v>
      </c>
      <c r="H327" s="467"/>
      <c r="I327" s="467"/>
      <c r="J327" s="467"/>
      <c r="K327" s="1671">
        <f t="shared" si="24"/>
        <v>26970</v>
      </c>
      <c r="L327" s="467">
        <v>24000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v>16664</v>
      </c>
      <c r="F329" s="474"/>
      <c r="G329" s="474"/>
      <c r="H329" s="474"/>
      <c r="I329" s="474"/>
      <c r="J329" s="474"/>
      <c r="K329" s="1699">
        <f>SUM(C329:J329)</f>
        <v>16664</v>
      </c>
      <c r="L329" s="474"/>
      <c r="M329" s="665"/>
      <c r="N329" s="665"/>
    </row>
    <row r="330" spans="1:14" s="674" customFormat="1" ht="12.75" customHeight="1" thickBot="1" x14ac:dyDescent="0.25">
      <c r="A330" s="1700" t="s">
        <v>717</v>
      </c>
      <c r="B330" s="1669" t="s">
        <v>569</v>
      </c>
      <c r="C330" s="1670">
        <f>SUM(C319:C329)</f>
        <v>167120</v>
      </c>
      <c r="D330" s="1670">
        <f t="shared" ref="D330:J330" si="25">SUM(D319:D329)</f>
        <v>36180</v>
      </c>
      <c r="E330" s="1670">
        <f t="shared" si="25"/>
        <v>127362</v>
      </c>
      <c r="F330" s="1670">
        <f t="shared" si="25"/>
        <v>0</v>
      </c>
      <c r="G330" s="1670">
        <f t="shared" si="25"/>
        <v>43998</v>
      </c>
      <c r="H330" s="1670">
        <f t="shared" si="25"/>
        <v>0</v>
      </c>
      <c r="I330" s="1670">
        <f t="shared" si="25"/>
        <v>0</v>
      </c>
      <c r="J330" s="1670">
        <f t="shared" si="25"/>
        <v>0</v>
      </c>
      <c r="K330" s="1670">
        <f>SUM(K319:K329)</f>
        <v>374660</v>
      </c>
      <c r="L330" s="1670">
        <f>SUM(L319:L329)</f>
        <v>402029</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167120</v>
      </c>
      <c r="D342" s="1670">
        <f>SUM(D330)</f>
        <v>36180</v>
      </c>
      <c r="E342" s="1670">
        <f>SUM(E330)</f>
        <v>127362</v>
      </c>
      <c r="F342" s="1670">
        <f>SUM(F330)</f>
        <v>0</v>
      </c>
      <c r="G342" s="1670">
        <f>SUM(G330)</f>
        <v>43998</v>
      </c>
      <c r="H342" s="1670">
        <f>SUM(H330,H334,H340)</f>
        <v>0</v>
      </c>
      <c r="I342" s="1670">
        <f>SUM(I330)</f>
        <v>0</v>
      </c>
      <c r="J342" s="1670">
        <f>SUM(J330)</f>
        <v>0</v>
      </c>
      <c r="K342" s="1670">
        <f>SUM(K330,K334,K340)</f>
        <v>374660</v>
      </c>
      <c r="L342" s="1677">
        <f>SUM(L330,L340,L341)</f>
        <v>402029</v>
      </c>
    </row>
    <row r="343" spans="1:14" ht="12.75" customHeight="1" thickTop="1" x14ac:dyDescent="0.2">
      <c r="A343" s="2169" t="s">
        <v>996</v>
      </c>
      <c r="B343" s="2170"/>
      <c r="C343" s="616"/>
      <c r="D343" s="616"/>
      <c r="E343" s="616"/>
      <c r="F343" s="616"/>
      <c r="G343" s="616"/>
      <c r="H343" s="616"/>
      <c r="I343" s="616"/>
      <c r="J343" s="616"/>
      <c r="K343" s="1684">
        <f>'Revenues 9-14'!J268-'Expenditures 15-22'!K342</f>
        <v>82393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966</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2273</v>
      </c>
      <c r="F348" s="466"/>
      <c r="G348" s="466">
        <v>223318</v>
      </c>
      <c r="H348" s="466"/>
      <c r="I348" s="467"/>
      <c r="J348" s="467"/>
      <c r="K348" s="1671">
        <f>SUM(C348:J348)</f>
        <v>225591</v>
      </c>
      <c r="L348" s="466">
        <v>226392</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2273</v>
      </c>
      <c r="F350" s="1670">
        <f t="shared" si="26"/>
        <v>0</v>
      </c>
      <c r="G350" s="1670">
        <f t="shared" si="26"/>
        <v>223318</v>
      </c>
      <c r="H350" s="1670">
        <f t="shared" si="26"/>
        <v>0</v>
      </c>
      <c r="I350" s="1670">
        <f t="shared" si="26"/>
        <v>0</v>
      </c>
      <c r="J350" s="1670">
        <f t="shared" si="26"/>
        <v>0</v>
      </c>
      <c r="K350" s="1670">
        <f t="shared" si="26"/>
        <v>225591</v>
      </c>
      <c r="L350" s="1670">
        <f t="shared" si="26"/>
        <v>226392</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2273</v>
      </c>
      <c r="F352" s="1670">
        <f t="shared" si="27"/>
        <v>0</v>
      </c>
      <c r="G352" s="1670">
        <f t="shared" si="27"/>
        <v>223318</v>
      </c>
      <c r="H352" s="1670">
        <f t="shared" si="27"/>
        <v>0</v>
      </c>
      <c r="I352" s="1670">
        <f t="shared" si="27"/>
        <v>0</v>
      </c>
      <c r="J352" s="1670">
        <f t="shared" si="27"/>
        <v>0</v>
      </c>
      <c r="K352" s="1670">
        <f t="shared" si="27"/>
        <v>225591</v>
      </c>
      <c r="L352" s="1670">
        <f t="shared" si="27"/>
        <v>226392</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2273</v>
      </c>
      <c r="F367" s="1670">
        <f t="shared" si="28"/>
        <v>0</v>
      </c>
      <c r="G367" s="1670">
        <f t="shared" si="28"/>
        <v>223318</v>
      </c>
      <c r="H367" s="1670">
        <f t="shared" si="28"/>
        <v>0</v>
      </c>
      <c r="I367" s="1670">
        <f t="shared" si="28"/>
        <v>0</v>
      </c>
      <c r="J367" s="1670">
        <f t="shared" si="28"/>
        <v>0</v>
      </c>
      <c r="K367" s="1670">
        <f t="shared" si="28"/>
        <v>225591</v>
      </c>
      <c r="L367" s="1670">
        <f t="shared" si="28"/>
        <v>226392</v>
      </c>
    </row>
    <row r="368" spans="1:14" ht="13.5" thickTop="1" x14ac:dyDescent="0.2">
      <c r="A368" s="2156" t="s">
        <v>996</v>
      </c>
      <c r="B368" s="2157"/>
      <c r="C368" s="654"/>
      <c r="D368" s="654"/>
      <c r="E368" s="626"/>
      <c r="F368" s="626"/>
      <c r="G368" s="626"/>
      <c r="H368" s="626"/>
      <c r="I368" s="626"/>
      <c r="J368" s="623"/>
      <c r="K368" s="1671">
        <f>'Revenues 9-14'!K268-'Expenditures 15-22'!K367</f>
        <v>-191934</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notes are an intergral part of the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4d435f69-8686-490b-bd6d-b153bf22ab50"/>
    <ds:schemaRef ds:uri="6ce3111e-7420-4802-b50a-75d4e9a0b980"/>
    <ds:schemaRef ds:uri="http://purl.org/dc/dcmitype/"/>
    <ds:schemaRef ds:uri="http://schemas.microsoft.com/office/2006/documentManagement/types"/>
    <ds:schemaRef ds:uri="http://purl.org/dc/terms/"/>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 ds:uri="d21dc803-237d-4c68-8692-8d731fd29118"/>
    <ds:schemaRef ds:uri="http://schemas.microsoft.com/sharepoint/v3"/>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2019-09-19T13:34:05Z</cp:lastPrinted>
  <dcterms:created xsi:type="dcterms:W3CDTF">2003-10-29T19:06:34Z</dcterms:created>
  <dcterms:modified xsi:type="dcterms:W3CDTF">2019-11-04T21:54:44Z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