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73A25BF-35D9-48B5-9B1F-B8DD285494C3}" xr6:coauthVersionLast="36" xr6:coauthVersionMax="36" xr10:uidLastSave="{00000000-0000-0000-0000-000000000000}"/>
  <bookViews>
    <workbookView xWindow="-105" yWindow="-105" windowWidth="23250" windowHeight="131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ICR Computation 30" sheetId="108" r:id="rId15"/>
    <sheet name="Contracts Paid in CY 29" sheetId="181"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15">'Contracts Paid in CY 29'!$A$1:$G$38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5">'Contracts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2" i="11" l="1"/>
  <c r="M19"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0" i="106"/>
  <c r="D7010"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7" i="108"/>
  <c r="E27" i="108"/>
  <c r="F27" i="108"/>
  <c r="G27" i="108"/>
  <c r="F28" i="108"/>
  <c r="F31" i="108"/>
  <c r="F36" i="108"/>
  <c r="G28" i="108"/>
  <c r="D31" i="108"/>
  <c r="D36" i="108"/>
  <c r="E31" i="108"/>
  <c r="G31" i="108"/>
  <c r="E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33" i="118"/>
  <c r="J22" i="37"/>
  <c r="L22" i="37"/>
  <c r="D22" i="37" l="1"/>
  <c r="D24" i="37"/>
  <c r="B4270" i="106" s="1"/>
  <c r="D4270" i="106" s="1"/>
  <c r="D68" i="36"/>
  <c r="F34" i="34"/>
  <c r="F56" i="34"/>
  <c r="F36" i="34"/>
  <c r="B7074" i="106"/>
  <c r="D7074" i="106" s="1"/>
  <c r="B2836" i="106"/>
  <c r="D2836" i="106" s="1"/>
  <c r="L342" i="29"/>
  <c r="B6995" i="106"/>
  <c r="D6995" i="106" s="1"/>
  <c r="B6289" i="106"/>
  <c r="D6289" i="106" s="1"/>
  <c r="F42" i="34"/>
  <c r="J129" i="29"/>
  <c r="B7038" i="106" s="1"/>
  <c r="D7038" i="106" s="1"/>
  <c r="B3647" i="106"/>
  <c r="D3647" i="106" s="1"/>
  <c r="I129" i="29"/>
  <c r="B7037" i="106" s="1"/>
  <c r="D7037" i="106" s="1"/>
  <c r="B2805" i="106"/>
  <c r="D2805" i="106" s="1"/>
  <c r="F72" i="34"/>
  <c r="F37" i="34"/>
  <c r="F52" i="34"/>
  <c r="E38" i="108"/>
  <c r="F77" i="4"/>
  <c r="B3255" i="106" s="1"/>
  <c r="D3255" i="106" s="1"/>
  <c r="K76" i="4"/>
  <c r="B3586" i="106" s="1"/>
  <c r="D3586" i="106" s="1"/>
  <c r="C342" i="29"/>
  <c r="B7216" i="106" s="1"/>
  <c r="D7216" i="106" s="1"/>
  <c r="F38" i="34"/>
  <c r="C352" i="29"/>
  <c r="B3621" i="106" s="1"/>
  <c r="D3621" i="106" s="1"/>
  <c r="G30" i="108"/>
  <c r="H342" i="29"/>
  <c r="B7221" i="106" s="1"/>
  <c r="D7221" i="106" s="1"/>
  <c r="K184" i="29"/>
  <c r="F13" i="4" s="1"/>
  <c r="B2596" i="106" s="1"/>
  <c r="D2596" i="106" s="1"/>
  <c r="J352" i="29"/>
  <c r="J367" i="29" s="1"/>
  <c r="B7245" i="106" s="1"/>
  <c r="D7245" i="106" s="1"/>
  <c r="J210" i="29"/>
  <c r="B7072" i="106" s="1"/>
  <c r="D7072" i="106" s="1"/>
  <c r="J41" i="3"/>
  <c r="B6216" i="106" s="1"/>
  <c r="D6216" i="106" s="1"/>
  <c r="H76" i="4"/>
  <c r="B3298" i="106" s="1"/>
  <c r="D3298" i="106" s="1"/>
  <c r="L13" i="11"/>
  <c r="B2060" i="106" s="1"/>
  <c r="D2060" i="106" s="1"/>
  <c r="H28" i="118"/>
  <c r="G15" i="145"/>
  <c r="E35" i="108"/>
  <c r="G29" i="108"/>
  <c r="G14" i="4"/>
  <c r="B2609" i="106" s="1"/>
  <c r="D2609" i="106" s="1"/>
  <c r="L367" i="29"/>
  <c r="F19" i="7"/>
  <c r="B1807" i="106" s="1"/>
  <c r="D1807" i="106" s="1"/>
  <c r="F71" i="34"/>
  <c r="F50" i="34"/>
  <c r="G39" i="108"/>
  <c r="E34" i="108"/>
  <c r="G26" i="108"/>
  <c r="I210" i="29"/>
  <c r="B7071" i="106" s="1"/>
  <c r="D7071" i="106" s="1"/>
  <c r="B7047" i="106"/>
  <c r="D7047" i="106" s="1"/>
  <c r="H112" i="29"/>
  <c r="B7018" i="106" s="1"/>
  <c r="D7018" i="106" s="1"/>
  <c r="J77" i="4"/>
  <c r="B6262" i="106" s="1"/>
  <c r="D6262" i="106" s="1"/>
  <c r="G210" i="29"/>
  <c r="C129" i="29"/>
  <c r="C151" i="29" s="1"/>
  <c r="B1226" i="106" s="1"/>
  <c r="D1226" i="106" s="1"/>
  <c r="F70" i="34"/>
  <c r="L5" i="11"/>
  <c r="B2056" i="106" s="1"/>
  <c r="D2056" i="106" s="1"/>
  <c r="F46" i="34"/>
  <c r="E26" i="108"/>
  <c r="D54" i="36"/>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K28" i="118" l="1"/>
  <c r="O27" i="118" s="1"/>
  <c r="O29" i="118" s="1"/>
  <c r="I151" i="29"/>
  <c r="F59" i="34" s="1"/>
  <c r="C367" i="29"/>
  <c r="B3622" i="106" s="1"/>
  <c r="D3622" i="106" s="1"/>
  <c r="B1225" i="106"/>
  <c r="D1225" i="106" s="1"/>
  <c r="J151" i="29"/>
  <c r="B7052" i="106" s="1"/>
  <c r="D7052" i="106" s="1"/>
  <c r="B4435" i="106"/>
  <c r="D4435" i="106" s="1"/>
  <c r="K342" i="29"/>
  <c r="F13" i="34" s="1"/>
  <c r="B1328" i="106"/>
  <c r="D1328" i="106" s="1"/>
  <c r="H77" i="4"/>
  <c r="B3299" i="106" s="1"/>
  <c r="D3299" i="106" s="1"/>
  <c r="F66" i="34"/>
  <c r="D51" i="36"/>
  <c r="K77" i="4"/>
  <c r="B3587" i="106" s="1"/>
  <c r="D3587" i="106" s="1"/>
  <c r="J16" i="4"/>
  <c r="B6226" i="106" s="1"/>
  <c r="D6226" i="106" s="1"/>
  <c r="B7215" i="106"/>
  <c r="D7215" i="106" s="1"/>
  <c r="B5527" i="106"/>
  <c r="D5527" i="106" s="1"/>
  <c r="G6" i="4"/>
  <c r="B2604" i="106" s="1"/>
  <c r="D2604" i="106" s="1"/>
  <c r="F41" i="108"/>
  <c r="G43" i="108" s="1"/>
  <c r="B7235" i="106"/>
  <c r="D7235" i="106" s="1"/>
  <c r="L114" i="29"/>
  <c r="H151" i="29"/>
  <c r="B1273" i="106" s="1"/>
  <c r="D1273" i="106" s="1"/>
  <c r="B5770" i="106"/>
  <c r="D5770" i="106" s="1"/>
  <c r="L16" i="11"/>
  <c r="B2061" i="106" s="1"/>
  <c r="D2061" i="106" s="1"/>
  <c r="B2031" i="106"/>
  <c r="D2031" i="106" s="1"/>
  <c r="D44" i="36"/>
  <c r="C114" i="29"/>
  <c r="B757" i="106" s="1"/>
  <c r="D757" i="106" s="1"/>
  <c r="D7254" i="106"/>
  <c r="N23" i="3"/>
  <c r="B284" i="106" s="1"/>
  <c r="D284" i="106" s="1"/>
  <c r="K365" i="29"/>
  <c r="K16" i="4" s="1"/>
  <c r="D7256" i="106"/>
  <c r="D7251" i="106"/>
  <c r="D41" i="108"/>
  <c r="E43" i="108"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24" i="106" l="1"/>
  <c r="D7224" i="106" s="1"/>
  <c r="B7243" i="106"/>
  <c r="D7243" i="106" s="1"/>
  <c r="B1145" i="106"/>
  <c r="D1145" i="106" s="1"/>
  <c r="F24" i="37"/>
  <c r="K367" i="29"/>
  <c r="B3678" i="106" s="1"/>
  <c r="D3678"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20" i="4"/>
  <c r="B6230" i="106" s="1"/>
  <c r="D6230" i="106" s="1"/>
  <c r="K17" i="4"/>
  <c r="B3575" i="106" s="1"/>
  <c r="D3575" i="106" s="1"/>
  <c r="J10" i="4"/>
  <c r="B6225" i="106" s="1"/>
  <c r="D6225" i="106" s="1"/>
  <c r="B6227" i="106"/>
  <c r="D6227"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B3576" i="106" s="1"/>
  <c r="D3576" i="106" s="1"/>
  <c r="K19" i="4"/>
  <c r="B4144" i="106" s="1"/>
  <c r="D4144" i="106" s="1"/>
  <c r="B2595" i="106"/>
  <c r="D2595" i="106" s="1"/>
  <c r="D8" i="146"/>
  <c r="J78" i="4"/>
  <c r="J81" i="4"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K78" i="4"/>
  <c r="B3588" i="106" s="1"/>
  <c r="D3588" i="106" s="1"/>
  <c r="F8" i="146"/>
  <c r="B6263" i="106"/>
  <c r="D6263" i="106" s="1"/>
  <c r="D78" i="4"/>
  <c r="D81" i="4" s="1"/>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K81" i="4" l="1"/>
  <c r="K82" i="4" s="1"/>
  <c r="F10" i="146"/>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J83" i="4"/>
  <c r="B6283" i="106" s="1"/>
  <c r="D6283" i="106" s="1"/>
  <c r="B6274" i="106"/>
  <c r="D6274" i="106" s="1"/>
  <c r="D82" i="4"/>
  <c r="B1644" i="106"/>
  <c r="D1644" i="106" s="1"/>
  <c r="D58" i="36"/>
  <c r="C11" i="146"/>
  <c r="D65" i="36" l="1"/>
  <c r="B3591" i="106"/>
  <c r="D3591"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<sst xmlns="http://schemas.openxmlformats.org/spreadsheetml/2006/main" count="5073" uniqueCount="2096">
  <si>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</si>
  <si>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</si>
  <si>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</si>
  <si>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</si>
  <si>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</si>
  <si>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</si>
  <si>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</si>
  <si>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</si>
  <si>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</si>
  <si>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</si>
  <si>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</si>
  <si>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</si>
  <si>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</si>
  <si>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</si>
  <si>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</si>
  <si>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</si>
  <si>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</si>
  <si>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</si>
  <si>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</si>
  <si>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</si>
  <si>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</si>
  <si>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</si>
  <si>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</si>
  <si>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</si>
  <si>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</si>
  <si>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</si>
  <si>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</si>
  <si>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</si>
  <si>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</si>
  <si>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</si>
  <si>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</si>
  <si>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</si>
  <si>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</si>
  <si>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</si>
  <si>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</si>
  <si>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</si>
  <si>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</si>
  <si>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</si>
  <si>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</si>
  <si>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</si>
  <si>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</si>
  <si>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</si>
  <si>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</si>
  <si>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</si>
  <si>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</si>
  <si>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</si>
  <si>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</si>
  <si>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</si>
  <si>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</si>
  <si>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</si>
  <si>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</si>
  <si>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</si>
  <si>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</si>
  <si>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</si>
  <si>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</si>
  <si>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</si>
  <si>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</si>
  <si>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</si>
  <si>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</si>
  <si>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</si>
  <si>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</si>
  <si>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</si>
  <si>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</si>
  <si>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</si>
  <si>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</si>
  <si>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</si>
  <si>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</si>
  <si>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</si>
  <si>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</si>
  <si>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</si>
  <si>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</si>
  <si>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</si>
  <si>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</si>
  <si>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</si>
  <si>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</si>
  <si>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</si>
  <si>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</si>
  <si>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</si>
  <si>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</si>
  <si>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</si>
  <si>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</si>
  <si>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</si>
  <si>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</si>
  <si>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</si>
  <si>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</si>
  <si>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</si>
  <si>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</si>
  <si>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</si>
  <si>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</si>
  <si>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</si>
  <si>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</si>
  <si>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</si>
  <si>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</si>
  <si>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</si>
  <si>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</si>
  <si>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</si>
  <si>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</si>
  <si>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</si>
  <si>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</si>
  <si>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</si>
  <si>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</si>
  <si>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</si>
  <si>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</si>
  <si>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</si>
  <si>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</si>
  <si>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</si>
  <si>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</si>
  <si>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</si>
  <si>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</si>
  <si>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</si>
  <si>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</si>
  <si>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</si>
  <si>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</si>
  <si>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</si>
  <si>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</si>
  <si>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</si>
  <si>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</si>
  <si>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</si>
  <si>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</si>
  <si>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</si>
  <si>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</si>
  <si>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</si>
  <si>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</si>
  <si>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</si>
  <si>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</si>
  <si>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</si>
  <si>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</si>
  <si>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</si>
  <si>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</si>
  <si>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</si>
  <si>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</si>
  <si>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</si>
  <si>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</si>
  <si>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</si>
  <si>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</si>
  <si>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</si>
  <si>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</si>
  <si>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</si>
  <si>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</si>
  <si>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</si>
  <si>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</si>
  <si>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</si>
  <si>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</si>
  <si>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</si>
  <si>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</si>
  <si>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</si>
  <si>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</si>
  <si>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</si>
  <si>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</si>
  <si>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</si>
  <si>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</si>
  <si>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</si>
  <si>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</si>
  <si>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</si>
  <si>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</si>
  <si>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</si>
  <si>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</si>
  <si>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</si>
  <si>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</si>
  <si>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</si>
  <si>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</si>
  <si>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</si>
  <si>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</si>
  <si>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</si>
  <si>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</si>
  <si>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</si>
  <si>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</si>
  <si>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</si>
  <si>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</si>
  <si>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</si>
  <si>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</si>
  <si>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</si>
  <si>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</si>
  <si>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</si>
  <si>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</si>
  <si>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</si>
  <si>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</si>
  <si>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</si>
  <si>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</si>
  <si>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</si>
  <si>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</si>
  <si>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</si>
  <si>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</si>
  <si>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</si>
  <si>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</si>
  <si>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</si>
  <si>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</si>
  <si>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</si>
  <si>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</si>
  <si>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</si>
  <si>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</si>
  <si>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</si>
  <si>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</si>
  <si>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</si>
  <si>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</si>
  <si>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</si>
  <si>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</si>
  <si>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</si>
  <si>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</si>
  <si>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</si>
  <si>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</si>
  <si>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</si>
  <si>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</si>
  <si>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</si>
  <si>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</si>
  <si>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</si>
  <si>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</si>
  <si>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</si>
  <si>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</si>
  <si>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</si>
  <si>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</si>
  <si>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</si>
  <si>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</si>
  <si>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</si>
  <si>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</si>
  <si>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</si>
  <si>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</si>
  <si>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</si>
  <si>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</si>
  <si>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</si>
  <si>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</si>
  <si>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</si>
  <si>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</si>
  <si>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</si>
  <si>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</si>
  <si>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</si>
  <si>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</si>
  <si>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</si>
  <si>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</si>
  <si>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</si>
  <si>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</si>
  <si>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</si>
  <si>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</si>
  <si>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</si>
  <si>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</si>
  <si>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</si>
  <si>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</si>
  <si>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</si>
  <si>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</si>
  <si>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</si>
  <si>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</si>
  <si>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</si>
  <si>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</si>
  <si>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</si>
  <si>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</si>
  <si>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</si>
  <si>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</si>
  <si>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</si>
  <si>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</si>
  <si>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</si>
  <si>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</si>
  <si>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</si>
  <si>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</si>
  <si>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</si>
  <si>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</si>
  <si>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</si>
  <si>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</si>
  <si>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</si>
  <si>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</si>
  <si>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</si>
  <si>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</si>
  <si>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</si>
  <si>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</si>
  <si>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</si>
  <si>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</si>
  <si>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</si>
  <si>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</si>
  <si>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</si>
  <si>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</si>
  <si>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</si>
  <si>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</si>
  <si>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</si>
  <si>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</si>
  <si>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</si>
  <si>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</si>
  <si>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</si>
  <si>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</si>
  <si>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</si>
  <si>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</si>
  <si>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</si>
  <si>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</si>
  <si>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</si>
  <si>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</si>
  <si>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</si>
  <si>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</si>
  <si>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</si>
  <si>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</si>
  <si>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</si>
  <si>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</si>
  <si>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</si>
  <si>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</si>
  <si>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</si>
  <si>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</si>
  <si>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</si>
  <si>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</si>
  <si>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</si>
  <si>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</si>
  <si>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</si>
  <si>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</si>
  <si>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</si>
  <si>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</si>
  <si>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</si>
  <si>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</si>
  <si>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</si>
  <si>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</si>
  <si>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</si>
  <si>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</si>
  <si>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</si>
  <si>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</si>
  <si>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</si>
  <si>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</si>
  <si>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</si>
  <si>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</si>
  <si>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</si>
  <si>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</si>
  <si>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</si>
  <si>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</si>
  <si>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</si>
  <si>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</si>
  <si>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</si>
  <si>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</si>
  <si>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</si>
  <si>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</si>
  <si>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</si>
  <si>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</si>
  <si>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</si>
  <si>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</si>
  <si>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</si>
  <si>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</si>
  <si>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</si>
  <si>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</si>
  <si>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</si>
  <si>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</si>
  <si>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</si>
  <si>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</si>
  <si>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</si>
  <si>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</si>
  <si>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</si>
  <si>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</si>
  <si>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</si>
  <si>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</si>
  <si>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</si>
  <si>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</si>
  <si>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</si>
  <si>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</si>
  <si>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</si>
  <si>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</si>
  <si>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</si>
  <si>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</si>
  <si>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</si>
  <si>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</si>
  <si>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</si>
  <si>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</si>
  <si>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</si>
  <si>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</si>
  <si>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</si>
  <si>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</si>
  <si>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</si>
  <si>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</si>
  <si>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</si>
  <si>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</si>
  <si>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</si>
  <si>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</si>
  <si>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</si>
  <si>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</si>
  <si>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</si>
  <si>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</si>
  <si>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</si>
  <si>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</si>
  <si>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</si>
  <si>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</si>
  <si>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</si>
  <si>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</si>
  <si>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</si>
  <si>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</si>
  <si>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</si>
  <si>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</si>
  <si>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</si>
  <si>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</si>
  <si>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</si>
  <si>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</si>
  <si>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</si>
  <si>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</si>
  <si>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</si>
  <si>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</si>
  <si>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</si>
  <si>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</si>
  <si>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</si>
  <si>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</si>
  <si>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</si>
  <si>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</si>
  <si>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</si>
  <si>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</si>
  <si>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</si>
  <si>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</si>
  <si>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</si>
  <si>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</si>
  <si>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</si>
  <si>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</si>
  <si>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</si>
  <si>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</si>
  <si>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</si>
  <si>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</si>
  <si>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</si>
  <si>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</si>
  <si>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</si>
  <si>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</si>
  <si>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</si>
  <si>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</si>
  <si>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</si>
  <si>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</si>
  <si>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</si>
  <si>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</si>
  <si>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</si>
  <si>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</si>
  <si>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</si>
  <si>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</si>
  <si>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</si>
  <si>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</si>
  <si>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</si>
  <si>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</si>
  <si>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</si>
  <si>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</si>
  <si>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</si>
  <si>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</si>
  <si>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</si>
  <si>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</si>
  <si>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</si>
  <si>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</si>
  <si>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</si>
  <si>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</si>
  <si>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</si>
  <si>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</si>
  <si>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</si>
  <si>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</si>
  <si>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</si>
  <si>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</si>
  <si>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</si>
  <si>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</si>
  <si>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</si>
  <si>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</si>
  <si>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</si>
  <si>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</si>
  <si>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</si>
  <si>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</si>
  <si>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</si>
  <si>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</si>
  <si>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</si>
  <si>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</si>
  <si>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</si>
  <si>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</si>
  <si>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</si>
  <si>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</si>
  <si>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</si>
  <si>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</si>
  <si>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</si>
  <si>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</si>
  <si>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</si>
  <si>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</si>
  <si>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</si>
  <si>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</si>
  <si>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</si>
  <si>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</si>
  <si>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</si>
  <si>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</si>
  <si>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</si>
  <si>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</si>
  <si>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</si>
  <si>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</si>
  <si>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</si>
  <si>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</si>
  <si>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</si>
  <si>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</si>
  <si>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</si>
  <si>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</si>
  <si>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</si>
  <si>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</si>
  <si>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</si>
  <si>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</si>
  <si>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</si>
  <si>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</si>
  <si>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</si>
  <si>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</si>
  <si>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</si>
  <si>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</si>
  <si>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</si>
  <si>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</si>
  <si>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</si>
  <si>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</si>
  <si>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</si>
  <si>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</si>
  <si>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</si>
  <si>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</si>
  <si>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</si>
  <si>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</si>
  <si>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</si>
  <si>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</si>
  <si>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</si>
  <si>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</si>
  <si>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</si>
  <si>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</si>
  <si>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</si>
  <si>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</si>
  <si>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</si>
  <si>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</si>
  <si>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</si>
  <si>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</si>
  <si>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</si>
  <si>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</si>
  <si>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</si>
  <si>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</si>
  <si>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</si>
  <si>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</si>
  <si>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</si>
  <si>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</si>
  <si>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</si>
  <si>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</si>
  <si>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</si>
  <si>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</si>
  <si>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</si>
  <si>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</si>
  <si>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</si>
  <si>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</si>
  <si>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</si>
  <si>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</si>
  <si>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</si>
  <si>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</si>
  <si>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</si>
  <si>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</si>
  <si>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</si>
  <si>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</si>
  <si>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</si>
  <si>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</si>
  <si>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</si>
  <si>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</si>
  <si>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</si>
  <si>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</si>
  <si>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</si>
  <si>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</si>
  <si>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</si>
  <si>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</si>
  <si>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</si>
  <si>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</si>
  <si>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</si>
  <si>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</si>
  <si>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</si>
  <si>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</si>
  <si>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</si>
  <si>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</si>
  <si>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</si>
  <si>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</si>
  <si>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</si>
  <si>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</si>
  <si>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</si>
  <si>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</si>
  <si>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</si>
  <si>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</si>
  <si>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</si>
  <si>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</si>
  <si>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</si>
  <si>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</si>
  <si>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</si>
  <si>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</si>
  <si>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</si>
  <si>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</si>
  <si>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</si>
  <si>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</si>
  <si>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</si>
  <si>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</si>
  <si>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</si>
  <si>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</si>
  <si>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</si>
  <si>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</si>
  <si>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</si>
  <si>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</si>
  <si>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</si>
  <si>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</si>
  <si>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</si>
  <si>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</si>
  <si>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</si>
  <si>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</si>
  <si>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</si>
  <si>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</si>
  <si>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</si>
  <si>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</si>
  <si>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</si>
  <si>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</si>
  <si>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</si>
  <si>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</si>
  <si>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</si>
  <si>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</si>
  <si>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</si>
  <si>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</si>
  <si>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</si>
  <si>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</si>
  <si>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</si>
  <si>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</si>
  <si>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</si>
  <si>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</si>
  <si>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</si>
  <si>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</si>
  <si>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</si>
  <si>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</si>
  <si>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</si>
  <si>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</si>
  <si>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</si>
  <si>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</si>
  <si>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</si>
  <si>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</si>
  <si>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</si>
  <si>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</si>
  <si>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</si>
  <si>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</si>
  <si>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</si>
  <si>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</si>
  <si>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</si>
  <si>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</si>
  <si>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</si>
  <si>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</si>
  <si>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</si>
  <si>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</si>
  <si>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</si>
  <si>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</si>
  <si>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</si>
  <si>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</si>
  <si>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</si>
  <si>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</si>
  <si>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</si>
  <si>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</si>
  <si>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</si>
  <si>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</si>
  <si>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</si>
  <si>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</si>
  <si>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</si>
  <si>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</si>
  <si>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</si>
  <si>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</si>
  <si>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</si>
  <si>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</si>
  <si>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</si>
  <si>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</si>
  <si>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</si>
  <si>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</si>
  <si>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</si>
  <si>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</si>
  <si>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</si>
  <si>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</si>
  <si>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</si>
  <si>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</si>
  <si>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</si>
  <si>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</si>
  <si>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</si>
  <si>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</si>
  <si>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</si>
  <si>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</si>
  <si>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</si>
  <si>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</si>
  <si>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</si>
  <si>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</si>
  <si>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</si>
  <si>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</si>
  <si>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</si>
  <si>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</si>
  <si>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</si>
  <si>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</si>
  <si>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</si>
  <si>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</si>
  <si>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</si>
  <si>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</si>
  <si>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</si>
  <si>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</si>
  <si>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</si>
  <si>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</si>
  <si>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</si>
  <si>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</si>
  <si>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</si>
  <si>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</si>
  <si>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</si>
  <si>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</si>
  <si>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</si>
  <si>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</si>
  <si>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</si>
  <si>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</si>
  <si>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</si>
  <si>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</si>
  <si>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</si>
  <si>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</si>
  <si>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</si>
  <si>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</si>
  <si>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</si>
  <si>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</si>
  <si>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</si>
  <si>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</si>
  <si>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</si>
  <si>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</si>
  <si>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</si>
  <si>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</si>
  <si>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</si>
  <si>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</si>
  <si>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</si>
  <si>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</si>
  <si>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</si>
  <si>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</si>
  <si>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</si>
  <si>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</si>
  <si>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</si>
  <si>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</si>
  <si>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</si>
  <si>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</si>
  <si>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</si>
  <si>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</si>
  <si>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</si>
  <si>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</si>
  <si>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</si>
  <si>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</si>
  <si>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</si>
  <si>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</si>
  <si>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</si>
  <si>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</si>
  <si>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</si>
  <si>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</si>
  <si>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</si>
  <si>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</si>
  <si>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</si>
  <si>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</si>
  <si>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</si>
  <si>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</si>
  <si>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</si>
  <si>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</si>
  <si>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</si>
  <si>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</si>
  <si>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</si>
  <si>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</si>
  <si>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</si>
  <si>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</si>
  <si>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</si>
  <si>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</si>
  <si>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</si>
  <si>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</si>
  <si>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</si>
  <si>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</si>
  <si>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</si>
  <si>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</si>
  <si>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</si>
  <si>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</si>
  <si>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</si>
  <si>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</si>
  <si>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</si>
  <si>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</si>
  <si>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</si>
  <si>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</si>
  <si>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</si>
  <si>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</si>
  <si>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</si>
  <si>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</si>
  <si>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</si>
  <si>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</si>
  <si>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</si>
  <si>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</si>
  <si>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</si>
  <si>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</si>
  <si>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</si>
  <si>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</si>
  <si>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</si>
  <si>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</si>
  <si>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</si>
  <si>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</si>
  <si>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</si>
  <si>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</si>
  <si>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</si>
  <si>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</si>
  <si>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</si>
  <si>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</si>
  <si>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</si>
  <si>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</si>
  <si>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</si>
  <si>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</si>
  <si>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</si>
  <si>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</si>
  <si>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</si>
  <si>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</si>
  <si>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</si>
  <si>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</si>
  <si>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</si>
  <si>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</si>
  <si>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</si>
  <si>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</si>
  <si>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</si>
  <si>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</si>
  <si>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</si>
  <si>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</si>
  <si>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</si>
  <si>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</si>
  <si>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</si>
  <si>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</si>
  <si>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</si>
  <si>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</si>
  <si>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</si>
  <si>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</si>
  <si>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</si>
  <si>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</si>
  <si>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</si>
  <si>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</si>
  <si>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</si>
  <si>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</si>
  <si>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</si>
  <si>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</si>
  <si>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</si>
  <si>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</si>
  <si>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</si>
  <si>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</si>
  <si>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</si>
  <si>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</si>
  <si>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</si>
  <si>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</si>
  <si>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</si>
  <si>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</si>
  <si>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</si>
  <si>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</si>
  <si>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</si>
  <si>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</si>
  <si>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</si>
  <si>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</si>
  <si>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</si>
  <si>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</si>
  <si>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</si>
  <si>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</si>
  <si>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</si>
  <si>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</si>
  <si>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</si>
  <si>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</si>
  <si>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</si>
  <si>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</si>
  <si>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</si>
  <si>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</si>
  <si>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</si>
  <si>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</si>
  <si>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</si>
  <si>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</si>
  <si>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</si>
  <si>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</si>
  <si>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</si>
  <si>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</si>
  <si>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</si>
  <si>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</si>
  <si>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</si>
  <si>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</si>
  <si>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</si>
  <si>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</si>
  <si>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</si>
  <si>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</si>
  <si>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</si>
  <si>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</si>
  <si>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</si>
  <si>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</si>
  <si>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</si>
  <si>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</si>
  <si>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</si>
  <si>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</si>
  <si>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</si>
  <si>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</si>
  <si>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</si>
  <si>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</si>
  <si>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</si>
  <si>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</si>
  <si>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</si>
  <si>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</si>
  <si>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</si>
  <si>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</si>
  <si>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</si>
  <si>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</si>
  <si>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</si>
  <si>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</si>
  <si>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</si>
  <si>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</si>
  <si>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</si>
  <si>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</si>
  <si>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</si>
  <si>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</si>
  <si>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</si>
  <si>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</si>
  <si>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</si>
  <si>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</si>
  <si>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</si>
  <si>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</si>
  <si>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</si>
  <si>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</si>
  <si>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</si>
  <si>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</si>
  <si>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</si>
  <si>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</si>
  <si>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</si>
  <si>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</si>
  <si>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</si>
  <si>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</si>
  <si>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</si>
  <si>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</si>
  <si>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</si>
  <si>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</si>
  <si>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</si>
  <si>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</si>
  <si>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</si>
  <si>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</si>
  <si>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</si>
  <si>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</si>
  <si>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</si>
  <si>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</si>
  <si>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</si>
  <si>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</si>
  <si>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</si>
  <si>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</si>
  <si>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</si>
  <si>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</si>
  <si>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</si>
  <si>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</si>
  <si>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</si>
  <si>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</si>
  <si>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</si>
  <si>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</si>
  <si>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</si>
  <si>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</si>
  <si>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</si>
  <si>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</si>
  <si>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</si>
  <si>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</si>
  <si>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</si>
  <si>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</si>
  <si>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</si>
  <si>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</si>
  <si>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</si>
  <si>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</si>
  <si>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</si>
  <si>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</si>
  <si>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</si>
  <si>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</si>
  <si>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</si>
  <si>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</si>
  <si>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</si>
  <si>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</si>
  <si>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</si>
  <si>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</si>
  <si>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</si>
  <si>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</si>
  <si>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</si>
  <si>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</si>
  <si>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</si>
  <si>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</si>
  <si>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</si>
  <si>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</si>
  <si>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</si>
  <si>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</si>
  <si>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</si>
  <si>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</si>
  <si>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</si>
  <si>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</si>
  <si>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</si>
  <si>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</si>
  <si>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</si>
  <si>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</si>
  <si>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</si>
  <si>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</si>
  <si>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</si>
  <si>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</si>
  <si>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</si>
  <si>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</si>
  <si>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</si>
  <si>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</si>
  <si>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</si>
  <si>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</si>
  <si>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</si>
  <si>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</si>
  <si>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</si>
  <si>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</si>
  <si>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</si>
  <si>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</si>
  <si>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</si>
  <si>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</si>
  <si>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</si>
  <si>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</si>
  <si>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</si>
  <si>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</si>
  <si>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</si>
  <si>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</si>
  <si>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</si>
  <si>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</si>
  <si>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</si>
  <si>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</si>
  <si>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</si>
  <si>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</si>
  <si>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</si>
  <si>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</si>
  <si>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</si>
  <si>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</si>
  <si>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</si>
  <si>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</si>
  <si>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</si>
  <si>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</si>
  <si>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</si>
  <si>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</si>
  <si>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</si>
  <si>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</si>
  <si>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</si>
  <si>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</si>
  <si>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</si>
  <si>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</si>
  <si>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</si>
  <si>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</si>
  <si>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</si>
  <si>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</si>
  <si>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</si>
  <si>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</si>
  <si>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</si>
  <si>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</si>
  <si>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</si>
  <si>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</si>
  <si>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</si>
  <si>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</si>
  <si>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</si>
  <si>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</si>
  <si>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</si>
  <si>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</si>
  <si>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</si>
  <si>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</si>
  <si>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</si>
  <si>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</si>
  <si>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</si>
  <si>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</si>
  <si>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</si>
  <si>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</si>
  <si>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</si>
  <si>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</si>
  <si>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</si>
  <si>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</si>
  <si>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</si>
  <si>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</si>
  <si>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</si>
  <si>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</si>
  <si>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</si>
  <si>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</si>
  <si>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</si>
  <si>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</si>
  <si>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</si>
  <si>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</si>
  <si>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</si>
  <si>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</si>
  <si>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</si>
  <si>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</si>
  <si>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</si>
  <si>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</si>
  <si>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</si>
  <si>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</si>
  <si>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</si>
  <si>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</si>
  <si>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</si>
  <si>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</si>
  <si>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</si>
  <si>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</si>
  <si>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</si>
  <si>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</si>
  <si>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</si>
  <si>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</si>
  <si>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</si>
  <si>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</si>
  <si>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</si>
  <si>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</si>
  <si>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</si>
  <si>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</si>
  <si>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</si>
  <si>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</si>
  <si>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</si>
  <si>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</si>
  <si>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</si>
  <si>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</si>
  <si>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</si>
  <si>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</si>
  <si>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</si>
  <si>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</si>
  <si>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</si>
  <si>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</si>
  <si>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</si>
  <si>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</si>
  <si>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</si>
  <si>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</si>
  <si>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</si>
  <si>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</si>
  <si>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</si>
  <si>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</si>
  <si>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</si>
  <si>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</si>
  <si>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</si>
  <si>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</si>
  <si>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</si>
  <si>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</si>
  <si>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</si>
  <si>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</si>
  <si>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</si>
  <si>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</si>
  <si>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</si>
  <si>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</si>
  <si>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</si>
  <si>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</si>
  <si>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</si>
  <si>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</si>
  <si>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</si>
  <si>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</si>
  <si>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</si>
  <si>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</si>
  <si>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</si>
  <si>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</si>
  <si>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</si>
  <si>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</si>
  <si>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</si>
  <si>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</si>
  <si>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</si>
  <si>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</si>
  <si>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</si>
  <si>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</si>
  <si>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</si>
  <si>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</si>
  <si>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</si>
  <si>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</si>
  <si>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</si>
  <si>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</si>
  <si>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</si>
  <si>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</si>
  <si>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</si>
  <si>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</si>
  <si>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</si>
  <si>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</si>
  <si>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</si>
  <si>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</si>
  <si>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</si>
  <si>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</si>
  <si>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</si>
  <si>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</si>
  <si>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</si>
  <si>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</si>
  <si>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</si>
  <si>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</si>
  <si>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</si>
  <si>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</si>
  <si>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</si>
  <si>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</si>
  <si>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</si>
  <si>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</si>
  <si>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</si>
  <si>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</si>
  <si>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</si>
  <si>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</si>
  <si>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</si>
  <si>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</si>
  <si>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</si>
  <si>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</si>
  <si>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</si>
  <si>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</si>
  <si>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</si>
  <si>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</si>
  <si>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</si>
  <si>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</si>
  <si>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</si>
  <si>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</si>
  <si>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</si>
  <si>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</si>
  <si>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</si>
  <si>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</si>
  <si>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</si>
  <si>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</si>
  <si>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</si>
  <si>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</si>
  <si>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</si>
  <si>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</si>
  <si>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</si>
  <si>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</si>
  <si>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</si>
  <si>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</si>
  <si>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</si>
  <si>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</si>
  <si>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</si>
  <si>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</si>
  <si>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</si>
  <si>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</si>
  <si>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</si>
  <si>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</si>
  <si>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</si>
  <si>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</si>
  <si>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</si>
  <si>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</si>
  <si>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</si>
  <si>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</si>
  <si>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</si>
  <si>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</si>
  <si>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</si>
  <si>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</si>
  <si>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</si>
  <si>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</si>
  <si>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</si>
  <si>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</si>
  <si>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</si>
  <si>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</si>
  <si>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</si>
  <si>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</si>
  <si>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</si>
  <si>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</si>
  <si>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</si>
  <si>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</si>
  <si>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</si>
  <si>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</si>
  <si>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</si>
  <si>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</si>
  <si>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</si>
  <si>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</si>
  <si>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</si>
  <si>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</si>
  <si>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</si>
  <si>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</si>
  <si>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</si>
  <si>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</si>
  <si>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</si>
  <si>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</si>
  <si>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</si>
  <si>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</si>
  <si>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</si>
  <si>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</si>
  <si>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</si>
  <si>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</si>
  <si>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</si>
  <si>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</si>
  <si>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</si>
  <si>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</si>
  <si>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</si>
  <si>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</si>
  <si>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</si>
  <si>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</si>
  <si>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</si>
  <si>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</si>
  <si>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</si>
  <si>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</si>
  <si>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</si>
  <si>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</si>
  <si>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</si>
  <si>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</si>
  <si>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</si>
  <si>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</si>
  <si>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</si>
  <si>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</si>
  <si>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</si>
  <si>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</si>
  <si>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</si>
  <si>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</si>
  <si>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</si>
  <si>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</si>
  <si>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</si>
  <si>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</si>
  <si>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</si>
  <si>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</si>
  <si>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</si>
  <si>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</si>
  <si>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</si>
  <si>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</si>
  <si>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</si>
  <si>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</si>
  <si>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</si>
  <si>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</si>
  <si>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</si>
  <si>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</si>
  <si>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</si>
  <si>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</si>
  <si>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</si>
  <si>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</si>
  <si>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</si>
  <si>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</si>
  <si>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</si>
  <si>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</si>
  <si>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</si>
  <si>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</si>
  <si>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</si>
  <si>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</si>
  <si>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</si>
  <si>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</si>
  <si>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</si>
  <si>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</si>
  <si>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</si>
  <si>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</si>
  <si>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</si>
  <si>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</si>
  <si>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</si>
  <si>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</si>
  <si>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</si>
  <si>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</si>
  <si>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</si>
  <si>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</si>
  <si>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</si>
  <si>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</si>
  <si>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</si>
  <si>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</si>
  <si>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</si>
  <si>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</si>
  <si>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</si>
  <si>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</si>
  <si>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</si>
  <si>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</si>
  <si>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</si>
  <si>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</si>
  <si>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</si>
  <si>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</si>
  <si>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</si>
  <si>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</si>
  <si>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</si>
  <si>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</si>
  <si>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</si>
  <si>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</si>
  <si>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</si>
  <si>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</si>
  <si>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</si>
  <si>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</si>
  <si>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</si>
  <si>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</si>
  <si>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</si>
  <si>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</si>
  <si>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</si>
  <si>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</si>
  <si>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</si>
  <si>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</si>
  <si>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</si>
  <si>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</si>
  <si>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</si>
  <si>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</si>
  <si>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</si>
  <si>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</si>
  <si>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</si>
  <si>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</si>
  <si>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</si>
  <si>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</si>
  <si>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</si>
  <si>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</si>
  <si>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</si>
  <si>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</si>
  <si>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</si>
  <si>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</si>
  <si>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</si>
  <si>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</si>
  <si>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</si>
  <si>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</si>
  <si>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</si>
  <si>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</si>
  <si>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</si>
  <si>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</si>
  <si>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</si>
  <si>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</si>
  <si>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</si>
  <si>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</si>
  <si>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</si>
  <si>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</si>
  <si>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</si>
  <si>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</si>
  <si>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</si>
  <si>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</si>
  <si>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</si>
  <si>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</si>
  <si>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</si>
  <si>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</si>
  <si>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</si>
  <si>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</si>
  <si>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</si>
  <si>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</si>
  <si>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</si>
  <si>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</si>
  <si>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</si>
  <si>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</si>
  <si>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</si>
  <si>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</si>
  <si>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</si>
  <si>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</si>
  <si>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</si>
  <si>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</si>
  <si>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</si>
  <si>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</si>
  <si>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</si>
  <si>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</si>
  <si>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</si>
  <si>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</si>
  <si>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</si>
  <si>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</si>
  <si>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</si>
  <si>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</si>
  <si>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</si>
  <si>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</si>
  <si>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</si>
  <si>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</si>
  <si>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</si>
  <si>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</si>
  <si>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</si>
  <si>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</si>
  <si>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</si>
  <si>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</si>
  <si>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</si>
  <si>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</si>
  <si>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</si>
  <si>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</si>
  <si>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</si>
  <si>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</si>
  <si>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</si>
  <si>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</si>
  <si>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</si>
  <si>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</si>
  <si>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</si>
  <si>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</si>
  <si>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</si>
  <si>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</si>
  <si>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</si>
  <si>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</si>
  <si>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</si>
  <si>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</si>
  <si>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</si>
  <si>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</si>
  <si>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</si>
  <si>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</si>
  <si>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</si>
  <si>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</si>
  <si>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</si>
  <si>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</si>
  <si>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</si>
  <si>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</si>
  <si>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</si>
  <si>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</si>
  <si>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</si>
  <si>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</si>
  <si>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</si>
  <si>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</si>
  <si>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</si>
  <si>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</si>
  <si>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</si>
  <si>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</si>
  <si>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</si>
  <si>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</si>
  <si>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</si>
  <si>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</si>
  <si>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</si>
  <si>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</si>
  <si>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</si>
  <si>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</si>
  <si>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</si>
  <si>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</si>
  <si>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</si>
  <si>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</si>
  <si>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</si>
  <si>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</si>
  <si>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</si>
  <si>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</si>
  <si>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</si>
  <si>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</si>
  <si>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</si>
  <si>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</si>
  <si>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</si>
  <si>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</si>
  <si>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</si>
  <si>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</si>
  <si>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</si>
  <si>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</si>
  <si>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</si>
  <si>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</si>
  <si>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</si>
  <si>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</si>
  <si>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</si>
  <si>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</si>
  <si>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</si>
  <si>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</si>
  <si>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</si>
  <si>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</si>
  <si>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</si>
  <si>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</si>
  <si>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</si>
  <si>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</si>
  <si>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</si>
  <si>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</si>
  <si>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</si>
  <si>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</si>
  <si>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</si>
  <si>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</si>
  <si>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</si>
  <si>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</si>
  <si>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</si>
  <si>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</si>
  <si>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</si>
  <si>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</si>
  <si>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</si>
  <si>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</si>
  <si>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</si>
  <si>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</si>
  <si>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</si>
  <si>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</si>
  <si>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</si>
  <si>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</si>
  <si>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</si>
  <si>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</si>
  <si>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</si>
  <si>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</si>
  <si>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</si>
  <si>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</si>
  <si>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</si>
  <si>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</si>
  <si>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</si>
  <si>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</si>
  <si>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</si>
  <si>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</si>
  <si>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</si>
  <si>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</si>
  <si>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</si>
  <si>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</si>
  <si>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</si>
  <si>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</si>
  <si>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</si>
  <si>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</si>
  <si>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</si>
  <si>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</si>
  <si>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</si>
  <si>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</si>
  <si>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</si>
  <si>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</si>
  <si>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</si>
  <si>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</si>
  <si>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</si>
  <si>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</si>
  <si>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</si>
  <si>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</si>
  <si>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</si>
  <si>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</si>
  <si>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</si>
  <si>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</si>
  <si>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</si>
  <si>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</si>
  <si>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</si>
  <si>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</si>
  <si>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</si>
  <si>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</si>
  <si>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</si>
  <si>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</si>
  <si>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</si>
  <si>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</si>
  <si>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</si>
  <si>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</si>
  <si>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</si>
  <si>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</si>
  <si>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</si>
  <si>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</si>
  <si>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</si>
  <si>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</si>
  <si>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</si>
  <si>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</si>
  <si>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</si>
  <si>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</si>
  <si>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</si>
  <si>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</si>
  <si>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</si>
  <si>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</si>
  <si>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</si>
  <si>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</si>
  <si>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</si>
  <si>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</si>
  <si>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</si>
  <si>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</si>
  <si>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</si>
  <si>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</si>
  <si>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</si>
  <si>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</si>
  <si>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</si>
  <si>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</si>
  <si>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</si>
  <si>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</si>
  <si>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</si>
  <si>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</si>
  <si>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</si>
  <si>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</si>
  <si>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</si>
  <si>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</si>
  <si>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</si>
  <si>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</si>
  <si>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</si>
  <si>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</si>
  <si>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</si>
  <si>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</si>
  <si>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</si>
  <si>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</si>
  <si>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</si>
  <si>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</si>
  <si>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</si>
  <si>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</si>
  <si>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</si>
  <si>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</si>
  <si>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</si>
  <si>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</si>
  <si>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</si>
  <si>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</si>
  <si>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</si>
  <si>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</si>
  <si>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</si>
  <si>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</si>
  <si>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</si>
  <si>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</si>
  <si>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</si>
  <si>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</si>
  <si>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</si>
  <si>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</si>
  <si>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</si>
  <si>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</si>
  <si>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</si>
  <si>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</si>
  <si>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</si>
  <si>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</si>
  <si>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</si>
  <si>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</si>
  <si>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</si>
  <si>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</si>
  <si>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</si>
  <si>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</si>
  <si>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</si>
  <si>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</si>
  <si>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</si>
  <si>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</si>
  <si>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</si>
  <si>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</si>
  <si>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</si>
  <si>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</si>
  <si>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</si>
  <si>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</si>
  <si>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</si>
  <si>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</si>
  <si>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</si>
  <si>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</si>
  <si>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</si>
  <si>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</si>
  <si>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</si>
  <si>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</si>
  <si>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</si>
  <si>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</si>
  <si>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</si>
  <si>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</si>
  <si>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</si>
  <si>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</si>
  <si>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</si>
  <si>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</si>
  <si>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</si>
  <si>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</si>
  <si>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</si>
  <si>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</si>
  <si>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</si>
  <si>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</si>
  <si>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</si>
  <si>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</si>
  <si>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</si>
  <si>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</si>
  <si>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</si>
  <si>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</si>
  <si>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</si>
  <si>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</si>
  <si>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</si>
  <si>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</si>
  <si>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</si>
  <si>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</si>
  <si>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</si>
  <si>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</si>
  <si>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</si>
  <si>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</si>
  <si>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</si>
  <si>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</si>
  <si>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</si>
  <si>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</si>
  <si>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</si>
  <si>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</si>
  <si>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</si>
  <si>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</si>
  <si>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</si>
  <si>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</si>
  <si>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</si>
  <si>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</si>
  <si>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</si>
  <si>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</si>
  <si>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</si>
  <si>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</si>
  <si>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</si>
  <si>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</si>
  <si>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</si>
  <si>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</si>
  <si>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</si>
  <si>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</si>
  <si>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</si>
  <si>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</si>
  <si>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</si>
  <si>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</si>
  <si>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</si>
  <si>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</si>
  <si>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</si>
  <si>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</si>
  <si>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</si>
  <si>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</si>
  <si>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</si>
  <si>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</si>
  <si>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</si>
  <si>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</si>
  <si>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</si>
  <si>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</si>
  <si>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</si>
  <si>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</si>
  <si>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</si>
  <si>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</si>
  <si>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</si>
  <si>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</si>
  <si>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</si>
  <si>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</si>
  <si>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</si>
  <si>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</si>
  <si>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</si>
  <si>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</si>
  <si>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</si>
  <si>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</si>
  <si>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</si>
  <si>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</si>
  <si>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</si>
  <si>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</si>
  <si>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</si>
  <si>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</si>
  <si>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</si>
  <si>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</si>
  <si>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</si>
  <si>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</si>
  <si>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</si>
  <si>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</si>
  <si>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</si>
  <si>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</si>
  <si>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</si>
  <si>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</si>
  <si>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</si>
  <si>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</si>
  <si>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</si>
  <si>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</si>
  <si>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</si>
  <si>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</si>
  <si>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</si>
  <si>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</si>
  <si>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</si>
  <si>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</si>
  <si>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</si>
  <si>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</si>
  <si>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</si>
  <si>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</si>
  <si>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</si>
  <si>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</si>
  <si>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</si>
  <si>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</si>
  <si>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</si>
  <si>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</si>
  <si>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</si>
  <si>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</si>
  <si>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</si>
  <si>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</si>
  <si>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</si>
  <si>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</si>
  <si>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</si>
  <si>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</si>
  <si>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</si>
  <si>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</si>
  <si>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</si>
  <si>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</si>
  <si>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</si>
  <si>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</si>
  <si>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</si>
  <si>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</si>
  <si>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</si>
  <si>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</si>
  <si>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</si>
  <si>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</si>
  <si>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</si>
  <si>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</si>
  <si>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</si>
  <si>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</si>
  <si>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</si>
  <si>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</si>
  <si>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</si>
  <si>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</si>
  <si>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</si>
  <si>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</si>
  <si>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</si>
  <si>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</si>
  <si>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</si>
  <si>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</si>
  <si>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</si>
  <si>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</si>
  <si>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</si>
  <si>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</si>
  <si>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</si>
  <si>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</si>
  <si>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</si>
  <si>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</si>
  <si>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</si>
  <si>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</si>
  <si>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</si>
  <si>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</si>
  <si>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</si>
  <si>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</si>
  <si>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</si>
  <si>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</si>
  <si>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</si>
  <si>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</si>
  <si>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</si>
  <si>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</si>
  <si>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</si>
  <si>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</si>
  <si>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</si>
  <si>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</si>
  <si>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</si>
  <si>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</si>
  <si>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</si>
  <si>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</si>
  <si>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</si>
  <si>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</si>
  <si>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</si>
  <si>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</si>
  <si>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</si>
  <si>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</si>
  <si>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</si>
  <si>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</si>
  <si>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</si>
  <si>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</si>
  <si>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</si>
  <si>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</si>
  <si>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</si>
  <si>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</si>
  <si>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</si>
  <si>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</si>
  <si>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</si>
  <si>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</si>
  <si>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</si>
  <si>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</si>
  <si>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</si>
  <si>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</si>
  <si>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</si>
  <si>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</si>
  <si>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</si>
  <si>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</si>
  <si>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</si>
  <si>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</si>
  <si>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</si>
  <si>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</si>
  <si>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</si>
  <si>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</si>
  <si>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</si>
  <si>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</si>
  <si>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</si>
  <si>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</si>
  <si>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</si>
  <si>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</si>
  <si>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</si>
  <si>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</si>
  <si>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</si>
  <si>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</si>
  <si>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</si>
  <si>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</si>
  <si>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</si>
  <si>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</si>
  <si>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</si>
  <si>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</si>
  <si>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</si>
  <si>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</si>
  <si>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</si>
  <si>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</si>
  <si>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</si>
  <si>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</si>
  <si>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</si>
  <si>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</si>
  <si>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</si>
  <si>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</si>
  <si>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</si>
  <si>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</si>
  <si>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</si>
  <si>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</si>
  <si>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</si>
  <si>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</si>
  <si>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</si>
  <si>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</si>
  <si>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</si>
  <si>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</si>
  <si>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</si>
  <si>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</si>
  <si>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</si>
  <si>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</si>
  <si>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</si>
  <si>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</si>
  <si>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</si>
  <si>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</si>
  <si>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</si>
  <si>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</si>
  <si>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</si>
  <si>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</si>
  <si>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</si>
  <si>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</si>
  <si>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</si>
  <si>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</si>
  <si>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</si>
  <si>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</si>
  <si>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</si>
  <si>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</si>
  <si>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</si>
  <si>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</si>
  <si>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</si>
  <si>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</si>
  <si>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</si>
  <si>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</si>
  <si>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</si>
  <si>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</si>
  <si>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</si>
  <si>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</si>
  <si>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</si>
  <si>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</si>
  <si>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</si>
  <si>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</si>
  <si>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</si>
  <si>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</si>
  <si>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</si>
  <si>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</si>
  <si>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</si>
  <si>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</si>
  <si>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</si>
  <si>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</si>
  <si>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</si>
  <si>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</si>
  <si>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</si>
  <si>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</si>
  <si>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</si>
  <si>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</si>
  <si>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</si>
  <si>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</si>
  <si>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</si>
  <si>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</si>
  <si>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</si>
  <si>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</si>
  <si>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</si>
  <si>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</si>
  <si>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</si>
  <si>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</si>
  <si>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</si>
  <si>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</si>
  <si>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</si>
  <si>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</si>
  <si>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</si>
  <si>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</si>
  <si>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</si>
  <si>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</si>
  <si>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</si>
  <si>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</si>
  <si>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</si>
  <si>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</si>
  <si>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</si>
  <si>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</si>
  <si>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</si>
  <si>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</si>
  <si>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</si>
  <si>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</si>
  <si>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</si>
  <si>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</si>
  <si>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</si>
  <si>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</si>
  <si>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</si>
  <si>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</si>
  <si>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</si>
  <si>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</si>
  <si>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</si>
  <si>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</si>
  <si>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</si>
  <si>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</si>
  <si>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</si>
  <si>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</si>
  <si>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</si>
  <si>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</si>
  <si>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</si>
  <si>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</si>
  <si>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</si>
  <si>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</si>
  <si>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</si>
  <si>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</si>
  <si>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</si>
  <si>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</si>
  <si>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</si>
  <si>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</si>
  <si>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</si>
  <si>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</si>
  <si>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</si>
  <si>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</si>
  <si>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</si>
  <si>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</si>
  <si>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</si>
  <si>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</si>
  <si>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</si>
  <si>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</si>
  <si>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</si>
  <si>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</si>
  <si>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</si>
  <si>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</si>
  <si>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</si>
  <si>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</si>
  <si>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</si>
  <si>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</si>
  <si>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</si>
  <si>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</si>
  <si>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</si>
  <si>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</si>
  <si>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</si>
  <si>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</si>
  <si>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</si>
  <si>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</si>
  <si>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</si>
  <si>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</si>
  <si>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</si>
  <si>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</si>
  <si>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</si>
  <si>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</si>
  <si>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</si>
  <si>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</si>
  <si>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</si>
  <si>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</si>
  <si>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</si>
  <si>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</si>
  <si>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</si>
  <si>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</si>
  <si>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</si>
  <si>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</si>
  <si>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</si>
  <si>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</si>
  <si>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</si>
  <si>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</si>
  <si>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</si>
  <si>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</si>
  <si>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</si>
  <si>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</si>
  <si>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</si>
  <si>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</si>
  <si>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</si>
  <si>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</si>
  <si>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</si>
  <si>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</si>
  <si>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</si>
  <si>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</si>
  <si>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</si>
  <si>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</si>
  <si>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</si>
  <si>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</si>
  <si>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</si>
  <si>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</si>
  <si>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</si>
  <si>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</si>
  <si>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</si>
  <si>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</si>
  <si>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</si>
  <si>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</si>
  <si>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</si>
  <si>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</si>
  <si>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</si>
  <si>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</si>
  <si>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</si>
  <si>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</si>
  <si>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</si>
  <si>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</si>
  <si>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</si>
  <si>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</si>
  <si>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</si>
  <si>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</si>
  <si>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</si>
  <si>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Dennis G Koch &amp; Associates LLC</t>
  </si>
  <si>
    <t>Hancock</t>
  </si>
  <si>
    <t>Dennis G Koch</t>
  </si>
  <si>
    <t>1706 N 16th St</t>
  </si>
  <si>
    <t>2461 North State Highway 96</t>
  </si>
  <si>
    <t xml:space="preserve">Quincy </t>
  </si>
  <si>
    <t>IL</t>
  </si>
  <si>
    <t>Nauvoo</t>
  </si>
  <si>
    <t>217-224-8484</t>
  </si>
  <si>
    <t>217-224-0504</t>
  </si>
  <si>
    <t>millerv@nauvoo-colusa.com</t>
  </si>
  <si>
    <t>066-004856</t>
  </si>
  <si>
    <t>dgkoch@dgkochcpa.com</t>
  </si>
  <si>
    <t>Kent Young</t>
  </si>
  <si>
    <t>John Meixner</t>
  </si>
  <si>
    <t>kyoung@nauvoo-colusa.com</t>
  </si>
  <si>
    <t>jmeixner@roe26.net</t>
  </si>
  <si>
    <t>217-453-2231</t>
  </si>
  <si>
    <t>217-453-6395</t>
  </si>
  <si>
    <t>309-837-4821</t>
  </si>
  <si>
    <t>Deactiveated HS/Warsaw Jr. H to Nauvoo-Colusa</t>
  </si>
  <si>
    <t>Hancock County Schools - First Teacher Institute</t>
  </si>
  <si>
    <t>Western Area Purchasing Cooperative</t>
  </si>
  <si>
    <t>West Central Illinois Special Education  Cooperative</t>
  </si>
  <si>
    <t>Dallas City - Speech and Psyc. Warsaw Bank and Ag</t>
  </si>
  <si>
    <t>Support Services/Business Services/Fiscal</t>
  </si>
  <si>
    <t>10-2520-300</t>
  </si>
  <si>
    <t>Dennis G Koch &amp; Associates LLC - CPAs</t>
  </si>
  <si>
    <t>See signature on PDF</t>
  </si>
  <si>
    <t>Nauvoo-Colusa CUSD 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</si>
</sst>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7" xfId="17" applyNumberFormat="1" applyFont="1" applyBorder="1" applyAlignment="1" applyProtection="1">
      <alignment horizontal="center" vertical="top"/>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1" fillId="0" borderId="105" xfId="18" applyFont="1" applyBorder="1" applyProtection="1">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225137</xdr:colOff>
          <xdr:row>3</xdr:row>
          <xdr:rowOff>8659</xdr:rowOff>
        </xdr:from>
        <xdr:to>
          <xdr:col>1</xdr:col>
          <xdr:colOff>1117024</xdr:colOff>
          <xdr:row>7</xdr:row>
          <xdr:rowOff>6062</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F0"/>
    <pageSetUpPr fitToPage="1"/>
  </sheetPr>
  <dimension ref="A1:AB48"/>
  <sheetViews>
    <sheetView showGridLines="0" tabSelected="1" zoomScale="110" zoomScaleNormal="11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9" t="s">
        <v>405</v>
      </c>
      <c r="J1" s="2020"/>
      <c r="K1" s="2020"/>
      <c r="L1" s="2020"/>
      <c r="M1" s="2020"/>
      <c r="N1" s="2020"/>
      <c r="O1" s="2020"/>
      <c r="P1" s="2020"/>
      <c r="Q1" s="2020"/>
      <c r="R1" s="2020"/>
      <c r="S1" s="2020"/>
    </row>
    <row r="2" spans="1:28" ht="12" customHeight="1" x14ac:dyDescent="0.2">
      <c r="A2" s="47" t="s">
        <v>1991</v>
      </c>
      <c r="D2" s="48"/>
      <c r="I2" s="2021" t="s">
        <v>979</v>
      </c>
      <c r="J2" s="2020"/>
      <c r="K2" s="2020"/>
      <c r="L2" s="2020"/>
      <c r="M2" s="2020"/>
      <c r="N2" s="2020"/>
      <c r="O2" s="2020"/>
      <c r="P2" s="2020"/>
      <c r="Q2" s="2020"/>
      <c r="R2" s="2020"/>
      <c r="S2" s="2020"/>
    </row>
    <row r="3" spans="1:28" ht="12" customHeight="1" x14ac:dyDescent="0.2">
      <c r="A3" s="155" t="s">
        <v>1943</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2065</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2065</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26034325026</v>
      </c>
      <c r="B13" s="1990"/>
      <c r="C13" s="1990"/>
      <c r="D13" s="1990"/>
      <c r="E13" s="1990"/>
      <c r="F13" s="1990"/>
      <c r="G13" s="1990"/>
      <c r="H13" s="1991"/>
      <c r="I13" s="31"/>
      <c r="J13" s="30"/>
      <c r="K13" s="28"/>
      <c r="L13" s="30"/>
      <c r="M13" s="30"/>
      <c r="N13" s="30"/>
      <c r="O13" s="30"/>
      <c r="P13" s="30"/>
      <c r="Q13" s="30"/>
      <c r="R13" s="30"/>
      <c r="S13" s="30"/>
      <c r="T13" s="1994" t="s">
        <v>2066</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2067</v>
      </c>
      <c r="B15" s="1992"/>
      <c r="C15" s="1992"/>
      <c r="D15" s="1992"/>
      <c r="E15" s="1992"/>
      <c r="F15" s="1992"/>
      <c r="G15" s="1992"/>
      <c r="H15" s="1993"/>
      <c r="T15" s="1955" t="s">
        <v>2068</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2095</v>
      </c>
      <c r="B17" s="2017"/>
      <c r="C17" s="2017"/>
      <c r="D17" s="2017"/>
      <c r="E17" s="2017"/>
      <c r="F17" s="2017"/>
      <c r="G17" s="2017"/>
      <c r="H17" s="2018"/>
      <c r="T17" s="2004" t="s">
        <v>2069</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2070</v>
      </c>
      <c r="B19" s="1988"/>
      <c r="C19" s="1988"/>
      <c r="D19" s="1988"/>
      <c r="E19" s="1988"/>
      <c r="F19" s="1988"/>
      <c r="G19" s="1988"/>
      <c r="H19" s="1986"/>
      <c r="I19" s="30"/>
      <c r="J19" s="99"/>
      <c r="K19" s="40"/>
      <c r="L19" s="38"/>
      <c r="M19" s="112" t="s">
        <v>315</v>
      </c>
      <c r="P19" s="27"/>
      <c r="Q19" s="27"/>
      <c r="R19" s="27"/>
      <c r="S19" s="31"/>
      <c r="T19" s="1987" t="s">
        <v>2071</v>
      </c>
      <c r="U19" s="1985"/>
      <c r="V19" s="1985"/>
      <c r="W19" s="1986"/>
      <c r="X19" s="2002" t="s">
        <v>2072</v>
      </c>
      <c r="Y19" s="2003"/>
      <c r="Z19" s="2000">
        <v>62301</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2073</v>
      </c>
      <c r="B21" s="1985"/>
      <c r="C21" s="1985"/>
      <c r="D21" s="1985"/>
      <c r="E21" s="1985"/>
      <c r="F21" s="1985"/>
      <c r="G21" s="1985"/>
      <c r="H21" s="1986"/>
      <c r="I21" s="2010" t="s">
        <v>678</v>
      </c>
      <c r="J21" s="1973"/>
      <c r="K21" s="1973"/>
      <c r="L21" s="1973"/>
      <c r="M21" s="1973"/>
      <c r="N21" s="1973"/>
      <c r="O21" s="1973"/>
      <c r="P21" s="1973"/>
      <c r="Q21" s="1973"/>
      <c r="R21" s="1973"/>
      <c r="S21" s="1974"/>
      <c r="T21" s="1952" t="s">
        <v>2074</v>
      </c>
      <c r="U21" s="1953"/>
      <c r="V21" s="1953"/>
      <c r="W21" s="1953"/>
      <c r="X21" s="1966" t="s">
        <v>2075</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t="s">
        <v>2076</v>
      </c>
      <c r="B23" s="2008"/>
      <c r="C23" s="2008"/>
      <c r="D23" s="2008"/>
      <c r="E23" s="2008"/>
      <c r="F23" s="2008"/>
      <c r="G23" s="2008"/>
      <c r="H23" s="2009"/>
      <c r="T23" s="1947" t="s">
        <v>2077</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v>62354</v>
      </c>
      <c r="B25" s="1985"/>
      <c r="C25" s="1985"/>
      <c r="D25" s="1985"/>
      <c r="E25" s="1985"/>
      <c r="F25" s="1985"/>
      <c r="G25" s="1985"/>
      <c r="H25" s="1986"/>
      <c r="I25" s="113"/>
      <c r="J25" s="2051"/>
      <c r="K25" s="2051"/>
      <c r="L25" s="2051"/>
      <c r="M25" s="2051"/>
      <c r="N25" s="2051"/>
      <c r="O25" s="2051"/>
      <c r="P25" s="2051"/>
      <c r="Q25" s="2051"/>
      <c r="R25" s="2051"/>
      <c r="S25" s="2052"/>
      <c r="T25" s="1944" t="s">
        <v>2078</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2065</v>
      </c>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2065</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2079</v>
      </c>
      <c r="B38" s="2017"/>
      <c r="C38" s="2017"/>
      <c r="D38" s="2017"/>
      <c r="E38" s="2017"/>
      <c r="F38" s="1985"/>
      <c r="G38" s="1985"/>
      <c r="H38" s="1986"/>
      <c r="I38" s="2036"/>
      <c r="J38" s="1956"/>
      <c r="K38" s="1956"/>
      <c r="L38" s="1956"/>
      <c r="M38" s="1956"/>
      <c r="N38" s="1956"/>
      <c r="O38" s="1956"/>
      <c r="P38" s="1957"/>
      <c r="Q38" s="1957"/>
      <c r="R38" s="1957"/>
      <c r="S38" s="1958"/>
      <c r="T38" s="1955" t="s">
        <v>2080</v>
      </c>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2081</v>
      </c>
      <c r="B40" s="2044"/>
      <c r="C40" s="2045"/>
      <c r="D40" s="2045"/>
      <c r="E40" s="2045"/>
      <c r="F40" s="2046"/>
      <c r="G40" s="2046"/>
      <c r="H40" s="2047"/>
      <c r="I40" s="1959"/>
      <c r="J40" s="1961"/>
      <c r="K40" s="1961"/>
      <c r="L40" s="1961"/>
      <c r="M40" s="1961"/>
      <c r="N40" s="1961"/>
      <c r="O40" s="1961"/>
      <c r="P40" s="1961"/>
      <c r="Q40" s="1961"/>
      <c r="R40" s="1961"/>
      <c r="S40" s="1962"/>
      <c r="T40" s="1959" t="s">
        <v>2082</v>
      </c>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2083</v>
      </c>
      <c r="B42" s="2034"/>
      <c r="C42" s="2035"/>
      <c r="D42" s="2048" t="s">
        <v>2084</v>
      </c>
      <c r="E42" s="2034"/>
      <c r="F42" s="2034"/>
      <c r="G42" s="2034"/>
      <c r="H42" s="2035"/>
      <c r="I42" s="1954"/>
      <c r="J42" s="1950"/>
      <c r="K42" s="1950"/>
      <c r="L42" s="1950"/>
      <c r="M42" s="1950"/>
      <c r="N42" s="1950"/>
      <c r="O42" s="1951"/>
      <c r="P42" s="1949"/>
      <c r="Q42" s="1950"/>
      <c r="R42" s="1950"/>
      <c r="S42" s="1951"/>
      <c r="T42" s="1954" t="s">
        <v>2085</v>
      </c>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F36"/>
  <sheetViews>
    <sheetView showGridLines="0" defaultGridColor="0" colorId="8" zoomScale="110" zoomScaleNormal="110" workbookViewId="0">
      <selection activeCell="A4" sqref="A4:F4"/>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7" customHeight="1" x14ac:dyDescent="0.2">
      <c r="A4" s="715" t="s">
        <v>1155</v>
      </c>
      <c r="B4" s="1749">
        <f>'Revenues 9-14'!C5</f>
        <v>1438443</v>
      </c>
      <c r="C4" s="1524"/>
      <c r="D4" s="1752">
        <f>B4-C4</f>
        <v>1438443</v>
      </c>
      <c r="E4" s="1524">
        <v>1502288</v>
      </c>
      <c r="F4" s="1752">
        <f>E4-C4</f>
        <v>1502288</v>
      </c>
    </row>
    <row r="5" spans="1:6" ht="13.7" customHeight="1" x14ac:dyDescent="0.2">
      <c r="A5" s="715" t="s">
        <v>870</v>
      </c>
      <c r="B5" s="1750">
        <f>'Revenues 9-14'!D5</f>
        <v>282049</v>
      </c>
      <c r="C5" s="585"/>
      <c r="D5" s="1753">
        <f t="shared" ref="D5:D18" si="0">B5-C5</f>
        <v>282049</v>
      </c>
      <c r="E5" s="585">
        <v>294566</v>
      </c>
      <c r="F5" s="1753">
        <f>E5-C5</f>
        <v>294566</v>
      </c>
    </row>
    <row r="6" spans="1:6" ht="13.7" customHeight="1" x14ac:dyDescent="0.2">
      <c r="A6" s="715" t="s">
        <v>411</v>
      </c>
      <c r="B6" s="1750">
        <f>'Revenues 9-14'!E5</f>
        <v>0</v>
      </c>
      <c r="C6" s="585"/>
      <c r="D6" s="1753">
        <f t="shared" si="0"/>
        <v>0</v>
      </c>
      <c r="E6" s="585"/>
      <c r="F6" s="1753">
        <f t="shared" ref="F6:F18" si="1">E6-C6</f>
        <v>0</v>
      </c>
    </row>
    <row r="7" spans="1:6" ht="13.7" customHeight="1" x14ac:dyDescent="0.2">
      <c r="A7" s="715" t="s">
        <v>155</v>
      </c>
      <c r="B7" s="1750">
        <f>'Revenues 9-14'!F5</f>
        <v>112819</v>
      </c>
      <c r="C7" s="585"/>
      <c r="D7" s="1753">
        <f t="shared" si="0"/>
        <v>112819</v>
      </c>
      <c r="E7" s="585">
        <v>117826</v>
      </c>
      <c r="F7" s="1753">
        <f t="shared" si="1"/>
        <v>117826</v>
      </c>
    </row>
    <row r="8" spans="1:6" ht="13.7" customHeight="1" x14ac:dyDescent="0.2">
      <c r="A8" s="715" t="s">
        <v>1179</v>
      </c>
      <c r="B8" s="1750">
        <f>'Revenues 9-14'!G5</f>
        <v>29897</v>
      </c>
      <c r="C8" s="585"/>
      <c r="D8" s="1753">
        <f t="shared" si="0"/>
        <v>29897</v>
      </c>
      <c r="E8" s="585">
        <v>25439</v>
      </c>
      <c r="F8" s="1753">
        <f t="shared" si="1"/>
        <v>25439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28206</v>
      </c>
      <c r="C10" s="585"/>
      <c r="D10" s="1753">
        <f t="shared" si="0"/>
        <v>28206</v>
      </c>
      <c r="E10" s="585">
        <v>29457</v>
      </c>
      <c r="F10" s="1753">
        <f t="shared" si="1"/>
        <v>29457</v>
      </c>
    </row>
    <row r="11" spans="1:6" x14ac:dyDescent="0.2">
      <c r="A11" s="715" t="s">
        <v>409</v>
      </c>
      <c r="B11" s="1750">
        <f>'Revenues 9-14'!J5</f>
        <v>218398</v>
      </c>
      <c r="C11" s="585"/>
      <c r="D11" s="1753">
        <f t="shared" si="0"/>
        <v>218398</v>
      </c>
      <c r="E11" s="585">
        <v>196882</v>
      </c>
      <c r="F11" s="1753">
        <f t="shared" si="1"/>
        <v>196882</v>
      </c>
    </row>
    <row r="12" spans="1:6" ht="13.7" customHeight="1" x14ac:dyDescent="0.2">
      <c r="A12" s="715" t="s">
        <v>157</v>
      </c>
      <c r="B12" s="1750">
        <f>'Revenues 9-14'!K5</f>
        <v>28206</v>
      </c>
      <c r="C12" s="585"/>
      <c r="D12" s="1753">
        <f t="shared" si="0"/>
        <v>28206</v>
      </c>
      <c r="E12" s="585">
        <v>29457</v>
      </c>
      <c r="F12" s="1753">
        <f t="shared" si="1"/>
        <v>29457</v>
      </c>
    </row>
    <row r="13" spans="1:6" ht="13.7" customHeight="1" x14ac:dyDescent="0.2">
      <c r="A13" s="715" t="s">
        <v>936</v>
      </c>
      <c r="B13" s="1750">
        <f>SUM('Revenues 9-14'!C6:D6)</f>
        <v>28206</v>
      </c>
      <c r="C13" s="585"/>
      <c r="D13" s="1753">
        <f t="shared" si="0"/>
        <v>28206</v>
      </c>
      <c r="E13" s="585">
        <v>29457</v>
      </c>
      <c r="F13" s="1753">
        <f t="shared" si="1"/>
        <v>29457</v>
      </c>
    </row>
    <row r="14" spans="1:6" ht="13.7" customHeight="1" x14ac:dyDescent="0.2">
      <c r="A14" s="715" t="s">
        <v>410</v>
      </c>
      <c r="B14" s="1750">
        <f>SUM('Revenues 9-14'!C7:D7,'Revenues 9-14'!F7:H7)</f>
        <v>22563</v>
      </c>
      <c r="C14" s="585"/>
      <c r="D14" s="1753">
        <f t="shared" si="0"/>
        <v>22563</v>
      </c>
      <c r="E14" s="585">
        <v>23565</v>
      </c>
      <c r="F14" s="1753">
        <f t="shared" si="1"/>
        <v>23565</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74742</v>
      </c>
      <c r="C16" s="585"/>
      <c r="D16" s="1753">
        <f t="shared" si="0"/>
        <v>74742</v>
      </c>
      <c r="E16" s="585">
        <v>61052</v>
      </c>
      <c r="F16" s="1753">
        <f t="shared" si="1"/>
        <v>61052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2263529</v>
      </c>
      <c r="C19" s="1751">
        <f>SUM(C4:C18)</f>
        <v>0</v>
      </c>
      <c r="D19" s="1751">
        <f>SUM(D4:D18)</f>
        <v>2263529</v>
      </c>
      <c r="E19" s="1751">
        <f>SUM(E4:E18)</f>
        <v>2309989</v>
      </c>
      <c r="F19" s="1751">
        <f>SUM(F4:F18)</f>
        <v>2309989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pageSetUpPr fitToPage="1"/>
  </sheetPr>
  <dimension ref="A1:K59"/>
  <sheetViews>
    <sheetView showGridLines="0" defaultGridColor="0" topLeftCell="A16" colorId="8" zoomScale="110" zoomScaleNormal="110" workbookViewId="0">
      <selection activeCell="A4" sqref="A4:F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1954</v>
      </c>
      <c r="D2" s="723" t="s">
        <v>1955</v>
      </c>
      <c r="E2" s="723" t="s">
        <v>1956</v>
      </c>
      <c r="F2" s="1884" t="s">
        <v>1957</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F0"/>
  </sheetPr>
  <dimension ref="A1:K48"/>
  <sheetViews>
    <sheetView showGridLines="0" defaultGridColor="0" colorId="8" zoomScale="110" zoomScaleNormal="110" workbookViewId="0">
      <selection activeCell="A4" sqref="A4:F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1962</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22563</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22563</v>
      </c>
      <c r="I12" s="1758">
        <f>SUM(I5:I11)</f>
        <v>0</v>
      </c>
      <c r="J12" s="1758">
        <f>SUM(J5:J11)</f>
        <v>0</v>
      </c>
      <c r="K12" s="1758">
        <f>SUM(K5:K11)</f>
        <v>0</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22563</v>
      </c>
      <c r="I14" s="771"/>
      <c r="J14" s="773"/>
      <c r="K14" s="765"/>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22563</v>
      </c>
      <c r="I23" s="1758">
        <f>SUM(I14:I16,I21,I22)</f>
        <v>0</v>
      </c>
      <c r="J23" s="1758">
        <f>SUM(J14:J16,J21,J22)</f>
        <v>0</v>
      </c>
      <c r="K23" s="1758">
        <f>SUM(K14:K16,K21,K22)</f>
        <v>0</v>
      </c>
    </row>
    <row r="24" spans="1:11" ht="14.25" thickTop="1" thickBot="1" x14ac:dyDescent="0.25">
      <c r="A24" s="2238" t="s">
        <v>1963</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F0"/>
  </sheetPr>
  <dimension ref="A1:N27"/>
  <sheetViews>
    <sheetView showGridLines="0" defaultGridColor="0" topLeftCell="A3" colorId="8" zoomScale="110" zoomScaleNormal="110" workbookViewId="0">
      <selection activeCell="A4" sqref="A4:F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29900</v>
      </c>
      <c r="D5" s="841"/>
      <c r="E5" s="841"/>
      <c r="F5" s="1760">
        <f>(C5+D5)-E5</f>
        <v>29900</v>
      </c>
      <c r="G5" s="837"/>
      <c r="H5" s="842"/>
      <c r="I5" s="842"/>
      <c r="J5" s="842"/>
      <c r="K5" s="793"/>
      <c r="L5" s="1769">
        <f>F5-K5</f>
        <v>29900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2331706</v>
      </c>
      <c r="D8" s="844">
        <v>65036</v>
      </c>
      <c r="E8" s="844"/>
      <c r="F8" s="1760">
        <f>(C8+D8)-E8</f>
        <v>2396742</v>
      </c>
      <c r="G8" s="843">
        <v>50</v>
      </c>
      <c r="H8" s="765">
        <v>1408220</v>
      </c>
      <c r="I8" s="765">
        <v>34627</v>
      </c>
      <c r="J8" s="765"/>
      <c r="K8" s="1769">
        <f>(H8+I8)-J8</f>
        <v>1442847</v>
      </c>
      <c r="L8" s="1769">
        <f>F8-K8</f>
        <v>953895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153192</v>
      </c>
      <c r="D10" s="846">
        <v>23975</v>
      </c>
      <c r="E10" s="846"/>
      <c r="F10" s="1764">
        <f>(C10+D10)-E10</f>
        <v>177167</v>
      </c>
      <c r="G10" s="843">
        <v>20</v>
      </c>
      <c r="H10" s="847">
        <v>112269</v>
      </c>
      <c r="I10" s="847">
        <v>7593</v>
      </c>
      <c r="J10" s="847"/>
      <c r="K10" s="1769">
        <f>(H10+I10)-J10</f>
        <v>119862</v>
      </c>
      <c r="L10" s="1769">
        <f>F10-K10</f>
        <v>57305</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247522</v>
      </c>
      <c r="D12" s="844">
        <v>97633</v>
      </c>
      <c r="E12" s="844">
        <v>12546</v>
      </c>
      <c r="F12" s="1760">
        <f>(C12+D12)-E12</f>
        <v>332609</v>
      </c>
      <c r="G12" s="843">
        <v>10</v>
      </c>
      <c r="H12" s="765">
        <v>74043</v>
      </c>
      <c r="I12" s="765">
        <f>9862+18306</f>
        <v>28168</v>
      </c>
      <c r="J12" s="765"/>
      <c r="K12" s="1769">
        <f>(H12+I12)-J12</f>
        <v>102211</v>
      </c>
      <c r="L12" s="1769">
        <f>F12-K12</f>
        <v>230398</v>
      </c>
    </row>
    <row r="13" spans="1:14" ht="14.25" thickTop="1" thickBot="1" x14ac:dyDescent="0.25">
      <c r="A13" s="848" t="s">
        <v>1122</v>
      </c>
      <c r="B13" s="840">
        <v>252</v>
      </c>
      <c r="C13" s="844">
        <v>436057</v>
      </c>
      <c r="D13" s="844">
        <v>85656</v>
      </c>
      <c r="E13" s="844">
        <v>87793</v>
      </c>
      <c r="F13" s="1760">
        <f>(C13+D13)-E13</f>
        <v>433920</v>
      </c>
      <c r="G13" s="843">
        <v>5</v>
      </c>
      <c r="H13" s="765">
        <v>124950</v>
      </c>
      <c r="I13" s="765">
        <v>79059</v>
      </c>
      <c r="J13" s="765">
        <v>47501</v>
      </c>
      <c r="K13" s="1769">
        <f>(H13+I13)-J13</f>
        <v>156508</v>
      </c>
      <c r="L13" s="1769">
        <f>F13-K13</f>
        <v>277412</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3198377</v>
      </c>
      <c r="D16" s="1760">
        <f>SUM(D3,D5:D6,D8:D10,D12:D15)</f>
        <v>272300</v>
      </c>
      <c r="E16" s="1760">
        <f>SUM(E3,E5:E6,E8:E10,E12:E15)</f>
        <v>100339</v>
      </c>
      <c r="F16" s="1760">
        <f>SUM(F3,F5:F6,F8:F10,F12:F15)</f>
        <v>3370338</v>
      </c>
      <c r="G16" s="843"/>
      <c r="H16" s="1760">
        <f>SUM(H3,H6,H8:H10,H12:H14,)</f>
        <v>1719482</v>
      </c>
      <c r="I16" s="1760">
        <f>SUM(I3,I6,I8:I10,I12:I14,)</f>
        <v>149447</v>
      </c>
      <c r="J16" s="1760">
        <f>SUM(J3,J6,J8:J10,J12:J14,)</f>
        <v>47501</v>
      </c>
      <c r="K16" s="1760">
        <f>(H16+I16)-J16</f>
        <v>1821428</v>
      </c>
      <c r="L16" s="1760">
        <f>F16-K16</f>
        <v>1548910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149447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A4" sqref="A4:F4"/>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2631288</v>
      </c>
      <c r="G8" s="865"/>
    </row>
    <row r="9" spans="1:7" x14ac:dyDescent="0.2">
      <c r="A9" s="869" t="s">
        <v>460</v>
      </c>
      <c r="B9" s="870" t="s">
        <v>1876</v>
      </c>
      <c r="C9" s="871"/>
      <c r="D9" s="869" t="s">
        <v>501</v>
      </c>
      <c r="E9" s="868"/>
      <c r="F9" s="1909">
        <f>'Expenditures 15-22'!K151</f>
        <v>285592</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245045</v>
      </c>
      <c r="G11" s="872"/>
    </row>
    <row r="12" spans="1:7" x14ac:dyDescent="0.2">
      <c r="A12" s="869" t="s">
        <v>462</v>
      </c>
      <c r="B12" s="870" t="s">
        <v>1879</v>
      </c>
      <c r="C12" s="871"/>
      <c r="D12" s="869" t="s">
        <v>501</v>
      </c>
      <c r="E12" s="868"/>
      <c r="F12" s="1909">
        <f>'Expenditures 15-22'!K295</f>
        <v>89957</v>
      </c>
      <c r="G12" s="872"/>
    </row>
    <row r="13" spans="1:7" x14ac:dyDescent="0.2">
      <c r="A13" s="869" t="s">
        <v>106</v>
      </c>
      <c r="B13" s="870" t="s">
        <v>1880</v>
      </c>
      <c r="C13" s="871"/>
      <c r="D13" s="869" t="s">
        <v>501</v>
      </c>
      <c r="E13" s="868"/>
      <c r="F13" s="1909">
        <f>'Expenditures 15-22'!K342</f>
        <v>195678</v>
      </c>
      <c r="G13" s="873"/>
    </row>
    <row r="14" spans="1:7" ht="12" customHeight="1" thickBot="1" x14ac:dyDescent="0.25">
      <c r="A14" s="1770"/>
      <c r="B14" s="1771"/>
      <c r="C14" s="1772"/>
      <c r="D14" s="1773" t="s">
        <v>501</v>
      </c>
      <c r="E14" s="1774" t="s">
        <v>958</v>
      </c>
      <c r="F14" s="1775">
        <f>SUM(F8:F13)</f>
        <v>3447560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116233</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3106</v>
      </c>
      <c r="G52" s="865"/>
    </row>
    <row r="53" spans="1:7" x14ac:dyDescent="0.2">
      <c r="A53" s="869" t="s">
        <v>459</v>
      </c>
      <c r="B53" s="869" t="s">
        <v>1475</v>
      </c>
      <c r="C53" s="889">
        <f>'Expenditures 15-22'!B102</f>
        <v>4000</v>
      </c>
      <c r="D53" s="888" t="str">
        <f>'Expenditures 15-22'!A102</f>
        <v>Total Payments to Other Govt Units</v>
      </c>
      <c r="E53" s="868"/>
      <c r="F53" s="1913">
        <f>'Expenditures 15-22'!K102</f>
        <v>524343</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39966</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78062</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621</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34</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762365</v>
      </c>
      <c r="G76" s="865"/>
    </row>
    <row r="77" spans="1:8" s="893" customFormat="1" ht="12" customHeight="1" thickTop="1" thickBot="1" x14ac:dyDescent="0.25">
      <c r="A77" s="1779"/>
      <c r="B77" s="1776"/>
      <c r="C77" s="1772"/>
      <c r="D77" s="1777" t="s">
        <v>1899</v>
      </c>
      <c r="E77" s="1774"/>
      <c r="F77" s="1780">
        <f>(F14-F76)</f>
        <v>2685195</v>
      </c>
      <c r="G77" s="869"/>
    </row>
    <row r="78" spans="1:8" s="893" customFormat="1" ht="12" customHeight="1" thickTop="1" x14ac:dyDescent="0.2">
      <c r="A78" s="1781"/>
      <c r="B78" s="1776"/>
      <c r="C78" s="1772"/>
      <c r="D78" s="1777" t="s">
        <v>2060</v>
      </c>
      <c r="E78" s="1774"/>
      <c r="F78" s="898">
        <v>248.8</v>
      </c>
      <c r="G78" s="899"/>
      <c r="H78" s="869"/>
    </row>
    <row r="79" spans="1:8" s="893" customFormat="1" ht="12" customHeight="1" thickBot="1" x14ac:dyDescent="0.25">
      <c r="A79" s="1782"/>
      <c r="B79" s="1776"/>
      <c r="C79" s="1772"/>
      <c r="D79" s="1777" t="s">
        <v>1900</v>
      </c>
      <c r="E79" s="1774" t="s">
        <v>958</v>
      </c>
      <c r="F79" s="1783">
        <f>IF(F78&gt;0,F77/F78," Complete Line 78")</f>
        <v>10792.584405144695</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43260</v>
      </c>
      <c r="G94" s="912"/>
    </row>
    <row r="95" spans="1:7" x14ac:dyDescent="0.2">
      <c r="A95" s="908" t="s">
        <v>140</v>
      </c>
      <c r="B95" s="908" t="s">
        <v>175</v>
      </c>
      <c r="C95" s="910">
        <v>1700</v>
      </c>
      <c r="D95" s="918" t="str">
        <f>'Revenues 9-14'!A82</f>
        <v>Total District/School Activity Income</v>
      </c>
      <c r="E95" s="906"/>
      <c r="F95" s="1789">
        <f>SUM('Revenues 9-14'!C82,'Revenues 9-14'!D82)</f>
        <v>20741</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25590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18551</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1194</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227086</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72786</v>
      </c>
      <c r="G125" s="930"/>
    </row>
    <row r="126" spans="1:7" x14ac:dyDescent="0.2">
      <c r="A126" s="927" t="s">
        <v>668</v>
      </c>
      <c r="B126" s="927" t="s">
        <v>2022</v>
      </c>
      <c r="C126" s="932">
        <v>4300</v>
      </c>
      <c r="D126" s="933" t="str">
        <f>'Revenues 9-14'!A204</f>
        <v>Total Title I</v>
      </c>
      <c r="E126" s="906"/>
      <c r="F126" s="1789">
        <f>SUM('Revenues 9-14'!C204,'Revenues 9-14'!D204,'Revenues 9-14'!F204,'Revenues 9-14'!G204)</f>
        <v>69377</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1567</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7193</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24279</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511669</v>
      </c>
    </row>
    <row r="175" spans="1:7" ht="12" customHeight="1" x14ac:dyDescent="0.2">
      <c r="A175" s="1770"/>
      <c r="B175" s="1784"/>
      <c r="C175" s="1785"/>
      <c r="D175" s="1786" t="s">
        <v>2055</v>
      </c>
      <c r="E175" s="1787"/>
      <c r="F175" s="1789">
        <f>'PCTC-OEPP 27-28'!F77-F174</f>
        <v>2173526</v>
      </c>
    </row>
    <row r="176" spans="1:7" ht="12" customHeight="1" x14ac:dyDescent="0.2">
      <c r="A176" s="1770"/>
      <c r="B176" s="1784"/>
      <c r="C176" s="1785"/>
      <c r="D176" s="1786" t="s">
        <v>1817</v>
      </c>
      <c r="E176" s="1787"/>
      <c r="F176" s="1789">
        <f>'Cap Outlay Deprec 26'!I18</f>
        <v>149447</v>
      </c>
    </row>
    <row r="177" spans="1:7" ht="12" customHeight="1" x14ac:dyDescent="0.2">
      <c r="A177" s="1770"/>
      <c r="B177" s="1784"/>
      <c r="C177" s="1785"/>
      <c r="D177" s="1786" t="s">
        <v>2056</v>
      </c>
      <c r="E177" s="1787"/>
      <c r="F177" s="1789">
        <f>F175+F176</f>
        <v>2322973</v>
      </c>
    </row>
    <row r="178" spans="1:7" ht="12" customHeight="1" x14ac:dyDescent="0.2">
      <c r="A178" s="1770"/>
      <c r="B178" s="1790"/>
      <c r="C178" s="1785"/>
      <c r="D178" s="1786" t="str">
        <f>D78</f>
        <v>9 Month ADA from District Average Daily Attendance/Prior General State Aid Inquiry 2018-2019</v>
      </c>
      <c r="E178" s="1787"/>
      <c r="F178" s="1791">
        <f>'PCTC-OEPP 27-28'!F78</f>
        <v>248.8</v>
      </c>
      <c r="G178" s="930"/>
    </row>
    <row r="179" spans="1:7" ht="12" customHeight="1" thickBot="1" x14ac:dyDescent="0.25">
      <c r="A179" s="1770"/>
      <c r="B179" s="1790"/>
      <c r="C179" s="1785"/>
      <c r="D179" s="1786" t="s">
        <v>2057</v>
      </c>
      <c r="E179" s="1787" t="s">
        <v>1545</v>
      </c>
      <c r="F179" s="1792">
        <f>F177/F178</f>
        <v>9336.7081993569136</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F0"/>
    <pageSetUpPr fitToPage="1"/>
  </sheetPr>
  <dimension ref="A1:I46"/>
  <sheetViews>
    <sheetView showGridLines="0" defaultGridColor="0" topLeftCell="A15" colorId="8" zoomScale="110" zoomScaleNormal="110" workbookViewId="0">
      <selection activeCell="A4" sqref="A4:F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0" t="s">
        <v>1679</v>
      </c>
      <c r="B5" s="2271"/>
      <c r="C5" s="2271"/>
      <c r="D5" s="2271"/>
      <c r="E5" s="2271"/>
      <c r="F5" s="2271"/>
      <c r="G5" s="227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75" t="s">
        <v>1975</v>
      </c>
      <c r="B11" s="2276"/>
      <c r="C11" s="2276"/>
      <c r="D11" s="2277"/>
      <c r="E11" s="977">
        <v>10689</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1396414</v>
      </c>
      <c r="F19" s="1799"/>
      <c r="G19" s="1801">
        <f>'Expenditures 15-22'!K33-SUM('Expenditures 15-22'!G33,'Expenditures 15-22'!I33)+'Expenditures 15-22'!D229</f>
        <v>1396414</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160417</v>
      </c>
      <c r="F21" s="1802"/>
      <c r="G21" s="1805">
        <f>'Expenditures 15-22'!K42-SUM('Expenditures 15-22'!G42,'Expenditures 15-22'!I42)+'Expenditures 15-22'!K120-SUM('Expenditures 15-22'!G120,'Expenditures 15-22'!I120)+'Expenditures 15-22'!K180-SUM('Expenditures 15-22'!G180,'Expenditures 15-22'!I180)+'Expenditures 15-22'!D238</f>
        <v>160417</v>
      </c>
      <c r="H21" s="987"/>
      <c r="I21" s="162"/>
    </row>
    <row r="22" spans="1:9" s="668" customFormat="1" ht="12" customHeight="1" x14ac:dyDescent="0.2">
      <c r="A22" s="994" t="s">
        <v>564</v>
      </c>
      <c r="B22" s="995"/>
      <c r="C22" s="993">
        <v>2200</v>
      </c>
      <c r="D22" s="1802"/>
      <c r="E22" s="1804">
        <f>'Expenditures 15-22'!K47-SUM('Expenditures 15-22'!G47,'Expenditures 15-22'!I47)+'Expenditures 15-22'!D243</f>
        <v>47346</v>
      </c>
      <c r="F22" s="1802"/>
      <c r="G22" s="1805">
        <f>'Expenditures 15-22'!K47-SUM('Expenditures 15-22'!G47,'Expenditures 15-22'!I47)+'Expenditures 15-22'!D243</f>
        <v>47346</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376006</v>
      </c>
      <c r="F23" s="1802"/>
      <c r="G23" s="1804">
        <f>'Expenditures 15-22'!K53-SUM('Expenditures 15-22'!G53,'Expenditures 15-22'!I53)+'Expenditures 15-22'!D257+'Expenditures 15-22'!K330-SUM('Expenditures 15-22'!G330,'Expenditures 15-22'!I330)</f>
        <v>376006</v>
      </c>
      <c r="H23" s="987"/>
      <c r="I23" s="162"/>
    </row>
    <row r="24" spans="1:9" s="668" customFormat="1" ht="12" customHeight="1" x14ac:dyDescent="0.2">
      <c r="A24" s="994" t="s">
        <v>566</v>
      </c>
      <c r="B24" s="995"/>
      <c r="C24" s="993">
        <v>2400</v>
      </c>
      <c r="D24" s="1802"/>
      <c r="E24" s="1804">
        <f>'Expenditures 15-22'!K57-SUM('Expenditures 15-22'!G57,'Expenditures 15-22'!I57)+'Expenditures 15-22'!D261</f>
        <v>100658</v>
      </c>
      <c r="F24" s="1802"/>
      <c r="G24" s="1805">
        <f>'Expenditures 15-22'!K57-SUM('Expenditures 15-22'!G57,'Expenditures 15-22'!I57)+'Expenditures 15-22'!D261</f>
        <v>100658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200</v>
      </c>
      <c r="E26" s="1804">
        <f>'Expenditures 15-22'!K122-SUM('Expenditures 15-22'!G122,'Expenditures 15-22'!I122)+E7</f>
        <v>0</v>
      </c>
      <c r="F26" s="1804">
        <f>'Expenditures 15-22'!K59-SUM('Expenditures 15-22'!G59,'Expenditures 15-22'!I59)+'Expenditures 15-22'!D263-E7</f>
        <v>200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104337</v>
      </c>
      <c r="E27" s="1804">
        <f>E8</f>
        <v>0</v>
      </c>
      <c r="F27" s="1804">
        <f>'Expenditures 15-22'!K60-SUM('Expenditures 15-22'!G60,'Expenditures 15-22'!I60)+'Expenditures 15-22'!D264-E8</f>
        <v>104337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257470</v>
      </c>
      <c r="F28" s="1806">
        <f>'Expenditures 15-22'!K61-SUM('Expenditures 15-22'!G61,'Expenditures 15-22'!I61)+'Expenditures 15-22'!K124-SUM('Expenditures 15-22'!G124,'Expenditures 15-22'!I124)+'Expenditures 15-22'!D266-E9</f>
        <v>257470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175025</v>
      </c>
      <c r="F29" s="1802"/>
      <c r="G29" s="1805">
        <f>'Expenditures 15-22'!K62-SUM('Expenditures 15-22'!G62,'Expenditures 15-22'!I62)+'Expenditures 15-22'!K125-SUM('Expenditures 15-22'!G125,'Expenditures 15-22'!I125)+'Expenditures 15-22'!K182-SUM('Expenditures 15-22'!G182,'Expenditures 15-22'!I182)+'Expenditures 15-22'!D267</f>
        <v>175025</v>
      </c>
      <c r="H29" s="985"/>
    </row>
    <row r="30" spans="1:9" ht="12" customHeight="1" x14ac:dyDescent="0.2">
      <c r="A30" s="994" t="s">
        <v>100</v>
      </c>
      <c r="B30" s="997"/>
      <c r="C30" s="993">
        <v>2560</v>
      </c>
      <c r="D30" s="1802"/>
      <c r="E30" s="1804">
        <f>'Expenditures 15-22'!K63-SUM('Expenditures 15-22'!G63,'Expenditures 15-22'!I63)+'Expenditures 15-22'!D268-E10</f>
        <v>137820</v>
      </c>
      <c r="F30" s="1802"/>
      <c r="G30" s="1804">
        <f>'Expenditures 15-22'!K63-SUM('Expenditures 15-22'!G63,'Expenditures 15-22'!I63)+'Expenditures 15-22'!D268-E10</f>
        <v>137820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43617</v>
      </c>
      <c r="F35" s="1802"/>
      <c r="G35" s="1804">
        <f>'Expenditures 15-22'!K69-SUM('Expenditures 15-22'!G69,'Expenditures 15-22'!I69)+'Expenditures 15-22'!D274</f>
        <v>43617</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3140</v>
      </c>
      <c r="F39" s="1802"/>
      <c r="G39" s="1804">
        <f>'Expenditures 15-22'!K75-SUM('Expenditures 15-22'!G75,'Expenditures 15-22'!I75)+'Expenditures 15-22'!K130-SUM('Expenditures 15-22'!G130,'Expenditures 15-22'!I130)+'Expenditures 15-22'!K185-SUM('Expenditures 15-22'!G185,'Expenditures 15-22'!I185)+'Expenditures 15-22'!D280</f>
        <v>3140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104537</v>
      </c>
      <c r="E41" s="1806">
        <f>SUM(E19:E40)</f>
        <v>2697913</v>
      </c>
      <c r="F41" s="1806">
        <f>SUM(F19:F39)</f>
        <v>362007</v>
      </c>
      <c r="G41" s="1806">
        <f>SUM(G19:G40)</f>
        <v>2440443</v>
      </c>
    </row>
    <row r="42" spans="1:7" x14ac:dyDescent="0.2">
      <c r="A42" s="987"/>
      <c r="B42" s="162"/>
      <c r="C42" s="1001"/>
      <c r="D42" s="2273" t="s">
        <v>522</v>
      </c>
      <c r="E42" s="2274"/>
      <c r="F42" s="1002" t="s">
        <v>523</v>
      </c>
      <c r="G42" s="1003"/>
    </row>
    <row r="43" spans="1:7" ht="12" customHeight="1" x14ac:dyDescent="0.2">
      <c r="A43" s="987"/>
      <c r="B43" s="162"/>
      <c r="C43" s="1001"/>
      <c r="D43" s="1807" t="s">
        <v>473</v>
      </c>
      <c r="E43" s="1808">
        <f>D41</f>
        <v>104537</v>
      </c>
      <c r="F43" s="1807" t="s">
        <v>473</v>
      </c>
      <c r="G43" s="1808">
        <f>F41</f>
        <v>362007</v>
      </c>
    </row>
    <row r="44" spans="1:7" ht="12" customHeight="1" x14ac:dyDescent="0.2">
      <c r="A44" s="987"/>
      <c r="B44" s="162"/>
      <c r="C44" s="1001"/>
      <c r="D44" s="1807" t="s">
        <v>474</v>
      </c>
      <c r="E44" s="1808">
        <f>E41</f>
        <v>2697913</v>
      </c>
      <c r="F44" s="1807" t="s">
        <v>474</v>
      </c>
      <c r="G44" s="1808">
        <f>G41</f>
        <v>2440443</v>
      </c>
    </row>
    <row r="45" spans="1:7" ht="12" customHeight="1" x14ac:dyDescent="0.2">
      <c r="A45" s="987"/>
      <c r="B45" s="162"/>
      <c r="C45" s="162"/>
      <c r="D45" s="1809" t="s">
        <v>1006</v>
      </c>
      <c r="E45" s="1810">
        <f>(E43/E44)</f>
        <v>3.8747357679806575E-2</v>
      </c>
      <c r="F45" s="1809" t="s">
        <v>1006</v>
      </c>
      <c r="G45" s="1810">
        <f>(G43/G44)</f>
        <v>0.14833659298742072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9"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pageSetUpPr fitToPage="1"/>
  </sheetPr>
  <dimension ref="A1:H142"/>
  <sheetViews>
    <sheetView showGridLines="0" zoomScaleNormal="100" workbookViewId="0">
      <selection activeCell="A4" sqref="A4:G5"/>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81" t="s">
        <v>1818</v>
      </c>
      <c r="B4" s="2282"/>
      <c r="C4" s="2282"/>
      <c r="D4" s="2282"/>
      <c r="E4" s="2282"/>
      <c r="F4" s="2282"/>
      <c r="G4" s="2283"/>
    </row>
    <row r="5" spans="1:7" x14ac:dyDescent="0.25">
      <c r="A5" s="2284"/>
      <c r="B5" s="2285"/>
      <c r="C5" s="2285"/>
      <c r="D5" s="2285"/>
      <c r="E5" s="2285"/>
      <c r="F5" s="2285"/>
      <c r="G5" s="2286"/>
    </row>
    <row r="6" spans="1:7" ht="18.75" x14ac:dyDescent="0.25">
      <c r="A6" s="1938" t="s">
        <v>2064</v>
      </c>
      <c r="B6" s="1939"/>
      <c r="C6" s="1939"/>
      <c r="D6" s="1939"/>
      <c r="E6" s="1939"/>
      <c r="F6" s="1939"/>
      <c r="G6" s="1940"/>
    </row>
    <row r="7" spans="1:7" ht="18.75" x14ac:dyDescent="0.25">
      <c r="A7" s="1534" t="s">
        <v>1819</v>
      </c>
      <c r="B7" s="1535"/>
      <c r="C7" s="1535"/>
      <c r="D7" s="1535"/>
      <c r="E7" s="1535"/>
      <c r="F7" s="1535"/>
      <c r="G7" s="1536"/>
    </row>
    <row r="8" spans="1:7" ht="30.75" customHeight="1" x14ac:dyDescent="0.25">
      <c r="A8" s="2287" t="s">
        <v>1931</v>
      </c>
      <c r="B8" s="2288"/>
      <c r="C8" s="2288"/>
      <c r="D8" s="2288"/>
      <c r="E8" s="2288"/>
      <c r="F8" s="2288"/>
      <c r="G8" s="2289"/>
    </row>
    <row r="9" spans="1:7" ht="15.75" customHeight="1" x14ac:dyDescent="0.25">
      <c r="A9" s="2290" t="s">
        <v>1906</v>
      </c>
      <c r="B9" s="2291"/>
      <c r="C9" s="2291"/>
      <c r="D9" s="2291"/>
      <c r="E9" s="2291"/>
      <c r="F9" s="2291"/>
      <c r="G9" s="2292"/>
    </row>
    <row r="10" spans="1:7" ht="35.25" customHeight="1" x14ac:dyDescent="0.25">
      <c r="A10" s="2287" t="s">
        <v>2063</v>
      </c>
      <c r="B10" s="2288"/>
      <c r="C10" s="2288"/>
      <c r="D10" s="2288"/>
      <c r="E10" s="2288"/>
      <c r="F10" s="2288"/>
      <c r="G10" s="2289"/>
    </row>
    <row r="11" spans="1:7" ht="15" customHeight="1" x14ac:dyDescent="0.25">
      <c r="A11" s="1537" t="s">
        <v>1820</v>
      </c>
      <c r="B11" s="1538"/>
      <c r="C11" s="1538"/>
      <c r="D11" s="1538"/>
      <c r="E11" s="1538"/>
      <c r="F11" s="1538"/>
      <c r="G11" s="1539"/>
    </row>
    <row r="12" spans="1:7" ht="17.25" customHeight="1" x14ac:dyDescent="0.25">
      <c r="A12" s="2287" t="s">
        <v>1933</v>
      </c>
      <c r="B12" s="2288"/>
      <c r="C12" s="2288"/>
      <c r="D12" s="2288"/>
      <c r="E12" s="2288"/>
      <c r="F12" s="2288"/>
      <c r="G12" s="2289"/>
    </row>
    <row r="13" spans="1:7" ht="15" customHeight="1" x14ac:dyDescent="0.25">
      <c r="A13" s="1537" t="s">
        <v>1825</v>
      </c>
      <c r="B13" s="1538"/>
      <c r="C13" s="1538"/>
      <c r="D13" s="1538"/>
      <c r="E13" s="1538"/>
      <c r="F13" s="1538"/>
      <c r="G13" s="1539"/>
    </row>
    <row r="14" spans="1:7" ht="32.25" customHeight="1" x14ac:dyDescent="0.25">
      <c r="A14" s="2278" t="s">
        <v>1974</v>
      </c>
      <c r="B14" s="2279"/>
      <c r="C14" s="2279"/>
      <c r="D14" s="2279"/>
      <c r="E14" s="2279"/>
      <c r="F14" s="2279"/>
      <c r="G14" s="2280"/>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2" t="s">
        <v>2091</v>
      </c>
      <c r="B18" s="1936" t="s">
        <v>2092</v>
      </c>
      <c r="C18" s="1943" t="s">
        <v>2066</v>
      </c>
      <c r="D18" s="1844">
        <v>10950</v>
      </c>
      <c r="E18" s="1540">
        <f t="shared" ref="E18:E142" si="0">IF(D18&lt;=25000,D18,IF(D18&gt;25000,25000,0))</f>
        <v>10950</v>
      </c>
      <c r="F18" s="1937">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10950</v>
      </c>
      <c r="G18" s="1793">
        <f>IF(F18=0,0,D18-F18)</f>
        <v>0</v>
      </c>
      <c r="H18" s="1647"/>
    </row>
    <row r="19" spans="1:8" x14ac:dyDescent="0.25">
      <c r="A19" s="1653"/>
      <c r="B19" s="1933"/>
      <c r="C19" s="1656"/>
      <c r="D19" s="1844"/>
      <c r="E19" s="1540">
        <f t="shared" ref="E19:E141" si="2">IF(D19&lt;=25000,D19,IF(D19&gt;25000,25000,0))</f>
        <v>0</v>
      </c>
      <c r="F19" s="1937">
        <f t="shared" si="1"/>
        <v>0</v>
      </c>
      <c r="G19" s="1793">
        <f t="shared" ref="G19:G141" si="3">IF(F19=0,0,D19-F19)</f>
        <v>0</v>
      </c>
    </row>
    <row r="20" spans="1:8" x14ac:dyDescent="0.25">
      <c r="A20" s="1653"/>
      <c r="B20" s="1933"/>
      <c r="C20" s="1656"/>
      <c r="D20" s="1844"/>
      <c r="E20" s="1540">
        <f t="shared" si="2"/>
        <v>0</v>
      </c>
      <c r="F20" s="1937">
        <f t="shared" si="1"/>
        <v>0</v>
      </c>
      <c r="G20" s="1793">
        <f t="shared" si="3"/>
        <v>0</v>
      </c>
    </row>
    <row r="21" spans="1:8" x14ac:dyDescent="0.25">
      <c r="A21" s="1653"/>
      <c r="B21" s="1933"/>
      <c r="C21" s="1656"/>
      <c r="D21" s="1844"/>
      <c r="E21" s="1540">
        <f t="shared" si="2"/>
        <v>0</v>
      </c>
      <c r="F21" s="1937">
        <f t="shared" si="1"/>
        <v>0</v>
      </c>
      <c r="G21" s="1793">
        <f t="shared" si="3"/>
        <v>0</v>
      </c>
    </row>
    <row r="22" spans="1:8" x14ac:dyDescent="0.25">
      <c r="A22" s="1653"/>
      <c r="B22" s="1933"/>
      <c r="C22" s="1656"/>
      <c r="D22" s="1844"/>
      <c r="E22" s="1540">
        <f t="shared" si="2"/>
        <v>0</v>
      </c>
      <c r="F22" s="1937">
        <f t="shared" si="1"/>
        <v>0</v>
      </c>
      <c r="G22" s="1793">
        <f t="shared" si="3"/>
        <v>0</v>
      </c>
    </row>
    <row r="23" spans="1:8" x14ac:dyDescent="0.25">
      <c r="A23" s="1653"/>
      <c r="B23" s="1933"/>
      <c r="C23" s="1656"/>
      <c r="D23" s="1844"/>
      <c r="E23" s="1540">
        <f t="shared" si="2"/>
        <v>0</v>
      </c>
      <c r="F23" s="1937">
        <f t="shared" si="1"/>
        <v>0</v>
      </c>
      <c r="G23" s="1793">
        <f t="shared" si="3"/>
        <v>0</v>
      </c>
    </row>
    <row r="24" spans="1:8" x14ac:dyDescent="0.25">
      <c r="A24" s="1653"/>
      <c r="B24" s="1933"/>
      <c r="C24" s="1656"/>
      <c r="D24" s="1844"/>
      <c r="E24" s="1540">
        <f t="shared" si="2"/>
        <v>0</v>
      </c>
      <c r="F24" s="1937">
        <f t="shared" si="1"/>
        <v>0</v>
      </c>
      <c r="G24" s="1793">
        <f t="shared" si="3"/>
        <v>0</v>
      </c>
    </row>
    <row r="25" spans="1:8" x14ac:dyDescent="0.25">
      <c r="A25" s="1653"/>
      <c r="B25" s="1933"/>
      <c r="C25" s="1656"/>
      <c r="D25" s="1844"/>
      <c r="E25" s="1540">
        <f t="shared" si="2"/>
        <v>0</v>
      </c>
      <c r="F25" s="1937">
        <f t="shared" si="1"/>
        <v>0</v>
      </c>
      <c r="G25" s="1793">
        <f t="shared" si="3"/>
        <v>0</v>
      </c>
    </row>
    <row r="26" spans="1:8" x14ac:dyDescent="0.25">
      <c r="A26" s="1653"/>
      <c r="B26" s="1933"/>
      <c r="C26" s="1656"/>
      <c r="D26" s="1844"/>
      <c r="E26" s="1540">
        <f t="shared" si="2"/>
        <v>0</v>
      </c>
      <c r="F26" s="1937">
        <f t="shared" si="1"/>
        <v>0</v>
      </c>
      <c r="G26" s="1793">
        <f t="shared" si="3"/>
        <v>0</v>
      </c>
    </row>
    <row r="27" spans="1:8" x14ac:dyDescent="0.25">
      <c r="A27" s="1653"/>
      <c r="B27" s="1933"/>
      <c r="C27" s="1654"/>
      <c r="D27" s="1844"/>
      <c r="E27" s="1540">
        <f t="shared" si="2"/>
        <v>0</v>
      </c>
      <c r="F27" s="1937">
        <f t="shared" si="1"/>
        <v>0</v>
      </c>
      <c r="G27" s="1793">
        <f t="shared" si="3"/>
        <v>0</v>
      </c>
    </row>
    <row r="28" spans="1:8" x14ac:dyDescent="0.25">
      <c r="A28" s="1653"/>
      <c r="B28" s="1933"/>
      <c r="C28" s="1654"/>
      <c r="D28" s="1844"/>
      <c r="E28" s="1540">
        <f t="shared" si="2"/>
        <v>0</v>
      </c>
      <c r="F28" s="1937">
        <f t="shared" si="1"/>
        <v>0</v>
      </c>
      <c r="G28" s="1793">
        <f t="shared" si="3"/>
        <v>0</v>
      </c>
    </row>
    <row r="29" spans="1:8" x14ac:dyDescent="0.25">
      <c r="A29" s="1653"/>
      <c r="B29" s="1933"/>
      <c r="C29" s="1654"/>
      <c r="D29" s="1844"/>
      <c r="E29" s="1540">
        <f t="shared" si="2"/>
        <v>0</v>
      </c>
      <c r="F29" s="1937">
        <f t="shared" si="1"/>
        <v>0</v>
      </c>
      <c r="G29" s="1793">
        <f t="shared" si="3"/>
        <v>0</v>
      </c>
    </row>
    <row r="30" spans="1:8" x14ac:dyDescent="0.25">
      <c r="A30" s="1653"/>
      <c r="B30" s="1933"/>
      <c r="C30" s="1654"/>
      <c r="D30" s="1844"/>
      <c r="E30" s="1540">
        <f t="shared" si="2"/>
        <v>0</v>
      </c>
      <c r="F30" s="1937">
        <f t="shared" si="1"/>
        <v>0</v>
      </c>
      <c r="G30" s="1793">
        <f t="shared" si="3"/>
        <v>0</v>
      </c>
    </row>
    <row r="31" spans="1:8" x14ac:dyDescent="0.25">
      <c r="A31" s="1653"/>
      <c r="B31" s="1933"/>
      <c r="C31" s="1654"/>
      <c r="D31" s="1844"/>
      <c r="E31" s="1540">
        <f t="shared" si="2"/>
        <v>0</v>
      </c>
      <c r="F31" s="1937">
        <f t="shared" si="1"/>
        <v>0</v>
      </c>
      <c r="G31" s="1793">
        <f t="shared" si="3"/>
        <v>0</v>
      </c>
    </row>
    <row r="32" spans="1:8" x14ac:dyDescent="0.25">
      <c r="A32" s="1653"/>
      <c r="B32" s="1933"/>
      <c r="C32" s="1654"/>
      <c r="D32" s="1844"/>
      <c r="E32" s="1540">
        <f t="shared" si="2"/>
        <v>0</v>
      </c>
      <c r="F32" s="1937">
        <f t="shared" si="1"/>
        <v>0</v>
      </c>
      <c r="G32" s="1793">
        <f t="shared" si="3"/>
        <v>0</v>
      </c>
    </row>
    <row r="33" spans="1:7" x14ac:dyDescent="0.25">
      <c r="A33" s="1653"/>
      <c r="B33" s="1933"/>
      <c r="C33" s="1654"/>
      <c r="D33" s="1844"/>
      <c r="E33" s="1540">
        <f t="shared" si="2"/>
        <v>0</v>
      </c>
      <c r="F33" s="1937">
        <f t="shared" si="1"/>
        <v>0</v>
      </c>
      <c r="G33" s="1793">
        <f t="shared" si="3"/>
        <v>0</v>
      </c>
    </row>
    <row r="34" spans="1:7" x14ac:dyDescent="0.25">
      <c r="A34" s="1653"/>
      <c r="B34" s="1933"/>
      <c r="C34" s="1654"/>
      <c r="D34" s="1844"/>
      <c r="E34" s="1540">
        <f t="shared" si="2"/>
        <v>0</v>
      </c>
      <c r="F34" s="1937">
        <f t="shared" si="1"/>
        <v>0</v>
      </c>
      <c r="G34" s="1793">
        <f t="shared" si="3"/>
        <v>0</v>
      </c>
    </row>
    <row r="35" spans="1:7" x14ac:dyDescent="0.25">
      <c r="A35" s="1653"/>
      <c r="B35" s="1933"/>
      <c r="C35" s="1654"/>
      <c r="D35" s="1844"/>
      <c r="E35" s="1540">
        <f t="shared" si="2"/>
        <v>0</v>
      </c>
      <c r="F35" s="1937">
        <f t="shared" si="1"/>
        <v>0</v>
      </c>
      <c r="G35" s="1793">
        <f t="shared" si="3"/>
        <v>0</v>
      </c>
    </row>
    <row r="36" spans="1:7" x14ac:dyDescent="0.25">
      <c r="A36" s="1653"/>
      <c r="B36" s="1933"/>
      <c r="C36" s="1654"/>
      <c r="D36" s="1844"/>
      <c r="E36" s="1540">
        <f t="shared" si="2"/>
        <v>0</v>
      </c>
      <c r="F36" s="1937">
        <f t="shared" si="1"/>
        <v>0</v>
      </c>
      <c r="G36" s="1793">
        <f t="shared" si="3"/>
        <v>0</v>
      </c>
    </row>
    <row r="37" spans="1:7" x14ac:dyDescent="0.25">
      <c r="A37" s="1653"/>
      <c r="B37" s="1933"/>
      <c r="C37" s="1654"/>
      <c r="D37" s="1844"/>
      <c r="E37" s="1540">
        <f t="shared" si="2"/>
        <v>0</v>
      </c>
      <c r="F37" s="1937">
        <f t="shared" si="1"/>
        <v>0</v>
      </c>
      <c r="G37" s="1793">
        <f t="shared" si="3"/>
        <v>0</v>
      </c>
    </row>
    <row r="38" spans="1:7" x14ac:dyDescent="0.25">
      <c r="A38" s="1653"/>
      <c r="B38" s="1933"/>
      <c r="C38" s="1654"/>
      <c r="D38" s="1844"/>
      <c r="E38" s="1540">
        <f t="shared" si="2"/>
        <v>0</v>
      </c>
      <c r="F38" s="1937">
        <f t="shared" si="1"/>
        <v>0</v>
      </c>
      <c r="G38" s="1793">
        <f t="shared" si="3"/>
        <v>0</v>
      </c>
    </row>
    <row r="39" spans="1:7" x14ac:dyDescent="0.25">
      <c r="A39" s="1653"/>
      <c r="B39" s="1934"/>
      <c r="C39" s="1654"/>
      <c r="D39" s="1844"/>
      <c r="E39" s="1540">
        <f t="shared" si="2"/>
        <v>0</v>
      </c>
      <c r="F39" s="1937">
        <f t="shared" si="1"/>
        <v>0</v>
      </c>
      <c r="G39" s="1793">
        <f t="shared" si="3"/>
        <v>0</v>
      </c>
    </row>
    <row r="40" spans="1:7" x14ac:dyDescent="0.25">
      <c r="A40" s="1653"/>
      <c r="B40" s="1934"/>
      <c r="C40" s="1654"/>
      <c r="D40" s="1844"/>
      <c r="E40" s="1540">
        <f t="shared" si="2"/>
        <v>0</v>
      </c>
      <c r="F40" s="1937">
        <f t="shared" si="1"/>
        <v>0</v>
      </c>
      <c r="G40" s="1793">
        <f t="shared" si="3"/>
        <v>0</v>
      </c>
    </row>
    <row r="41" spans="1:7" x14ac:dyDescent="0.25">
      <c r="A41" s="1653"/>
      <c r="B41" s="1934"/>
      <c r="C41" s="1654"/>
      <c r="D41" s="1844"/>
      <c r="E41" s="1540">
        <f t="shared" si="2"/>
        <v>0</v>
      </c>
      <c r="F41" s="1937">
        <f t="shared" si="1"/>
        <v>0</v>
      </c>
      <c r="G41" s="1793">
        <f t="shared" si="3"/>
        <v>0</v>
      </c>
    </row>
    <row r="42" spans="1:7" x14ac:dyDescent="0.25">
      <c r="A42" s="1653"/>
      <c r="B42" s="1934"/>
      <c r="C42" s="1654"/>
      <c r="D42" s="1844"/>
      <c r="E42" s="1540">
        <f t="shared" si="2"/>
        <v>0</v>
      </c>
      <c r="F42" s="1937">
        <f t="shared" si="1"/>
        <v>0</v>
      </c>
      <c r="G42" s="1793">
        <f t="shared" si="3"/>
        <v>0</v>
      </c>
    </row>
    <row r="43" spans="1:7" x14ac:dyDescent="0.25">
      <c r="A43" s="1653"/>
      <c r="B43" s="1934"/>
      <c r="C43" s="1654"/>
      <c r="D43" s="1844"/>
      <c r="E43" s="1540">
        <f t="shared" si="2"/>
        <v>0</v>
      </c>
      <c r="F43" s="1937">
        <f t="shared" si="1"/>
        <v>0</v>
      </c>
      <c r="G43" s="1793">
        <f t="shared" si="3"/>
        <v>0</v>
      </c>
    </row>
    <row r="44" spans="1:7" x14ac:dyDescent="0.25">
      <c r="A44" s="1653"/>
      <c r="B44" s="1934"/>
      <c r="C44" s="1654"/>
      <c r="D44" s="1844"/>
      <c r="E44" s="1540">
        <f t="shared" si="2"/>
        <v>0</v>
      </c>
      <c r="F44" s="1937">
        <f t="shared" si="1"/>
        <v>0</v>
      </c>
      <c r="G44" s="1793">
        <f t="shared" si="3"/>
        <v>0</v>
      </c>
    </row>
    <row r="45" spans="1:7" x14ac:dyDescent="0.25">
      <c r="A45" s="1653"/>
      <c r="B45" s="1934"/>
      <c r="C45" s="1654"/>
      <c r="D45" s="1844"/>
      <c r="E45" s="1540">
        <f t="shared" si="2"/>
        <v>0</v>
      </c>
      <c r="F45" s="1937">
        <f t="shared" si="1"/>
        <v>0</v>
      </c>
      <c r="G45" s="1793">
        <f t="shared" si="3"/>
        <v>0</v>
      </c>
    </row>
    <row r="46" spans="1:7" x14ac:dyDescent="0.25">
      <c r="A46" s="1653"/>
      <c r="B46" s="1934"/>
      <c r="C46" s="1654"/>
      <c r="D46" s="1844"/>
      <c r="E46" s="1540">
        <f t="shared" si="2"/>
        <v>0</v>
      </c>
      <c r="F46" s="1937">
        <f t="shared" si="1"/>
        <v>0</v>
      </c>
      <c r="G46" s="1793">
        <f t="shared" si="3"/>
        <v>0</v>
      </c>
    </row>
    <row r="47" spans="1:7" x14ac:dyDescent="0.25">
      <c r="A47" s="1653"/>
      <c r="B47" s="1667"/>
      <c r="C47" s="1654"/>
      <c r="D47" s="1844"/>
      <c r="E47" s="1540">
        <f t="shared" si="2"/>
        <v>0</v>
      </c>
      <c r="F47" s="1937">
        <f t="shared" si="1"/>
        <v>0</v>
      </c>
      <c r="G47" s="1793">
        <f t="shared" si="3"/>
        <v>0</v>
      </c>
    </row>
    <row r="48" spans="1:7" x14ac:dyDescent="0.25">
      <c r="A48" s="1653"/>
      <c r="B48" s="1667"/>
      <c r="C48" s="1654"/>
      <c r="D48" s="1844"/>
      <c r="E48" s="1540">
        <f t="shared" si="2"/>
        <v>0</v>
      </c>
      <c r="F48" s="1937">
        <f t="shared" si="1"/>
        <v>0</v>
      </c>
      <c r="G48" s="1793">
        <f t="shared" si="3"/>
        <v>0</v>
      </c>
    </row>
    <row r="49" spans="1:7" x14ac:dyDescent="0.25">
      <c r="A49" s="1653"/>
      <c r="B49" s="1667"/>
      <c r="C49" s="1654"/>
      <c r="D49" s="1844"/>
      <c r="E49" s="1540">
        <f t="shared" si="2"/>
        <v>0</v>
      </c>
      <c r="F49" s="1937">
        <f t="shared" si="1"/>
        <v>0</v>
      </c>
      <c r="G49" s="1793">
        <f t="shared" si="3"/>
        <v>0</v>
      </c>
    </row>
    <row r="50" spans="1:7" x14ac:dyDescent="0.25">
      <c r="A50" s="1653"/>
      <c r="B50" s="1667"/>
      <c r="C50" s="1654"/>
      <c r="D50" s="1844"/>
      <c r="E50" s="1540">
        <f t="shared" si="2"/>
        <v>0</v>
      </c>
      <c r="F50" s="1937">
        <f t="shared" si="1"/>
        <v>0</v>
      </c>
      <c r="G50" s="1793">
        <f t="shared" si="3"/>
        <v>0</v>
      </c>
    </row>
    <row r="51" spans="1:7" x14ac:dyDescent="0.25">
      <c r="A51" s="1653"/>
      <c r="B51" s="1667"/>
      <c r="C51" s="1654"/>
      <c r="D51" s="1844"/>
      <c r="E51" s="1540">
        <f t="shared" si="2"/>
        <v>0</v>
      </c>
      <c r="F51" s="1937">
        <f t="shared" si="1"/>
        <v>0</v>
      </c>
      <c r="G51" s="1793">
        <f t="shared" si="3"/>
        <v>0</v>
      </c>
    </row>
    <row r="52" spans="1:7" x14ac:dyDescent="0.25">
      <c r="A52" s="1653"/>
      <c r="B52" s="1667"/>
      <c r="C52" s="1654"/>
      <c r="D52" s="1844"/>
      <c r="E52" s="1540">
        <f t="shared" si="2"/>
        <v>0</v>
      </c>
      <c r="F52" s="1937">
        <f t="shared" si="1"/>
        <v>0</v>
      </c>
      <c r="G52" s="1793">
        <f t="shared" si="3"/>
        <v>0</v>
      </c>
    </row>
    <row r="53" spans="1:7" x14ac:dyDescent="0.25">
      <c r="A53" s="1653"/>
      <c r="B53" s="1667"/>
      <c r="C53" s="1654"/>
      <c r="D53" s="1844"/>
      <c r="E53" s="1540">
        <f t="shared" si="2"/>
        <v>0</v>
      </c>
      <c r="F53" s="1937">
        <f t="shared" si="1"/>
        <v>0</v>
      </c>
      <c r="G53" s="1793">
        <f t="shared" si="3"/>
        <v>0</v>
      </c>
    </row>
    <row r="54" spans="1:7" x14ac:dyDescent="0.25">
      <c r="A54" s="1653"/>
      <c r="B54" s="1667"/>
      <c r="C54" s="1654"/>
      <c r="D54" s="1844"/>
      <c r="E54" s="1540">
        <f t="shared" si="2"/>
        <v>0</v>
      </c>
      <c r="F54" s="1937">
        <f t="shared" si="1"/>
        <v>0</v>
      </c>
      <c r="G54" s="1793">
        <f t="shared" si="3"/>
        <v>0</v>
      </c>
    </row>
    <row r="55" spans="1:7" x14ac:dyDescent="0.25">
      <c r="A55" s="1653"/>
      <c r="B55" s="1667"/>
      <c r="C55" s="1654"/>
      <c r="D55" s="1844"/>
      <c r="E55" s="1540">
        <f t="shared" si="2"/>
        <v>0</v>
      </c>
      <c r="F55" s="1937">
        <f t="shared" si="1"/>
        <v>0</v>
      </c>
      <c r="G55" s="1793">
        <f t="shared" si="3"/>
        <v>0</v>
      </c>
    </row>
    <row r="56" spans="1:7" x14ac:dyDescent="0.25">
      <c r="A56" s="1653"/>
      <c r="B56" s="1667"/>
      <c r="C56" s="1654"/>
      <c r="D56" s="1844"/>
      <c r="E56" s="1540">
        <f t="shared" si="2"/>
        <v>0</v>
      </c>
      <c r="F56" s="1937">
        <f t="shared" si="1"/>
        <v>0</v>
      </c>
      <c r="G56" s="1793">
        <f t="shared" si="3"/>
        <v>0</v>
      </c>
    </row>
    <row r="57" spans="1:7" x14ac:dyDescent="0.25">
      <c r="A57" s="1653"/>
      <c r="B57" s="1667"/>
      <c r="C57" s="1654"/>
      <c r="D57" s="1844"/>
      <c r="E57" s="1540">
        <f t="shared" si="2"/>
        <v>0</v>
      </c>
      <c r="F57" s="1937">
        <f t="shared" si="1"/>
        <v>0</v>
      </c>
      <c r="G57" s="1793">
        <f t="shared" si="3"/>
        <v>0</v>
      </c>
    </row>
    <row r="58" spans="1:7" x14ac:dyDescent="0.25">
      <c r="A58" s="1653"/>
      <c r="B58" s="1667"/>
      <c r="C58" s="1654"/>
      <c r="D58" s="1844"/>
      <c r="E58" s="1540">
        <f t="shared" si="2"/>
        <v>0</v>
      </c>
      <c r="F58" s="1937">
        <f t="shared" si="1"/>
        <v>0</v>
      </c>
      <c r="G58" s="1793">
        <f t="shared" si="3"/>
        <v>0</v>
      </c>
    </row>
    <row r="59" spans="1:7" x14ac:dyDescent="0.25">
      <c r="A59" s="1653"/>
      <c r="B59" s="1667"/>
      <c r="C59" s="1654"/>
      <c r="D59" s="1844"/>
      <c r="E59" s="1540">
        <f t="shared" si="2"/>
        <v>0</v>
      </c>
      <c r="F59" s="1937">
        <f t="shared" si="1"/>
        <v>0</v>
      </c>
      <c r="G59" s="1793">
        <f t="shared" si="3"/>
        <v>0</v>
      </c>
    </row>
    <row r="60" spans="1:7" x14ac:dyDescent="0.25">
      <c r="A60" s="1653"/>
      <c r="B60" s="1667"/>
      <c r="C60" s="1654"/>
      <c r="D60" s="1844"/>
      <c r="E60" s="1540">
        <f t="shared" si="2"/>
        <v>0</v>
      </c>
      <c r="F60" s="1937">
        <f t="shared" si="1"/>
        <v>0</v>
      </c>
      <c r="G60" s="1793">
        <f t="shared" si="3"/>
        <v>0</v>
      </c>
    </row>
    <row r="61" spans="1:7" x14ac:dyDescent="0.25">
      <c r="A61" s="1653"/>
      <c r="B61" s="1667"/>
      <c r="C61" s="1654"/>
      <c r="D61" s="1844"/>
      <c r="E61" s="1540">
        <f t="shared" si="2"/>
        <v>0</v>
      </c>
      <c r="F61" s="1937">
        <f t="shared" si="1"/>
        <v>0</v>
      </c>
      <c r="G61" s="1793">
        <f t="shared" si="3"/>
        <v>0</v>
      </c>
    </row>
    <row r="62" spans="1:7" x14ac:dyDescent="0.25">
      <c r="A62" s="1653"/>
      <c r="B62" s="1667"/>
      <c r="C62" s="1654"/>
      <c r="D62" s="1844"/>
      <c r="E62" s="1540">
        <f t="shared" si="2"/>
        <v>0</v>
      </c>
      <c r="F62" s="1937">
        <f t="shared" si="1"/>
        <v>0</v>
      </c>
      <c r="G62" s="1793">
        <f t="shared" si="3"/>
        <v>0</v>
      </c>
    </row>
    <row r="63" spans="1:7" x14ac:dyDescent="0.25">
      <c r="A63" s="1653"/>
      <c r="B63" s="1667"/>
      <c r="C63" s="1654"/>
      <c r="D63" s="1844"/>
      <c r="E63" s="1540">
        <f t="shared" si="2"/>
        <v>0</v>
      </c>
      <c r="F63" s="1937">
        <f t="shared" si="1"/>
        <v>0</v>
      </c>
      <c r="G63" s="1793">
        <f t="shared" si="3"/>
        <v>0</v>
      </c>
    </row>
    <row r="64" spans="1:7" x14ac:dyDescent="0.25">
      <c r="A64" s="1653"/>
      <c r="B64" s="1667"/>
      <c r="C64" s="1654"/>
      <c r="D64" s="1844"/>
      <c r="E64" s="1540">
        <f t="shared" si="2"/>
        <v>0</v>
      </c>
      <c r="F64" s="1937">
        <f t="shared" si="1"/>
        <v>0</v>
      </c>
      <c r="G64" s="1793">
        <f t="shared" si="3"/>
        <v>0</v>
      </c>
    </row>
    <row r="65" spans="1:7" x14ac:dyDescent="0.25">
      <c r="A65" s="1655"/>
      <c r="B65" s="1667"/>
      <c r="C65" s="1656"/>
      <c r="D65" s="1844"/>
      <c r="E65" s="1540">
        <f t="shared" si="2"/>
        <v>0</v>
      </c>
      <c r="F65" s="1937">
        <f t="shared" si="1"/>
        <v>0</v>
      </c>
      <c r="G65" s="1793">
        <f t="shared" si="3"/>
        <v>0</v>
      </c>
    </row>
    <row r="66" spans="1:7" x14ac:dyDescent="0.25">
      <c r="A66" s="1653"/>
      <c r="B66" s="1667"/>
      <c r="C66" s="1654"/>
      <c r="D66" s="1844"/>
      <c r="E66" s="1540">
        <f t="shared" si="2"/>
        <v>0</v>
      </c>
      <c r="F66" s="1937">
        <f t="shared" si="1"/>
        <v>0</v>
      </c>
      <c r="G66" s="1793">
        <f t="shared" si="3"/>
        <v>0</v>
      </c>
    </row>
    <row r="67" spans="1:7" x14ac:dyDescent="0.25">
      <c r="A67" s="1653"/>
      <c r="B67" s="1667"/>
      <c r="C67" s="1654"/>
      <c r="D67" s="1844"/>
      <c r="E67" s="1540">
        <f t="shared" si="2"/>
        <v>0</v>
      </c>
      <c r="F67" s="1937">
        <f t="shared" si="1"/>
        <v>0</v>
      </c>
      <c r="G67" s="1793">
        <f t="shared" si="3"/>
        <v>0</v>
      </c>
    </row>
    <row r="68" spans="1:7" x14ac:dyDescent="0.25">
      <c r="A68" s="1653"/>
      <c r="B68" s="1667"/>
      <c r="C68" s="1654"/>
      <c r="D68" s="1844"/>
      <c r="E68" s="1540">
        <f t="shared" si="2"/>
        <v>0</v>
      </c>
      <c r="F68" s="1937">
        <f t="shared" si="1"/>
        <v>0</v>
      </c>
      <c r="G68" s="1793">
        <f t="shared" si="3"/>
        <v>0</v>
      </c>
    </row>
    <row r="69" spans="1:7" x14ac:dyDescent="0.25">
      <c r="A69" s="1653"/>
      <c r="B69" s="1667"/>
      <c r="C69" s="1654"/>
      <c r="D69" s="1844"/>
      <c r="E69" s="1540">
        <f t="shared" si="2"/>
        <v>0</v>
      </c>
      <c r="F69" s="1937">
        <f t="shared" si="1"/>
        <v>0</v>
      </c>
      <c r="G69" s="1793">
        <f t="shared" si="3"/>
        <v>0</v>
      </c>
    </row>
    <row r="70" spans="1:7" x14ac:dyDescent="0.25">
      <c r="A70" s="1653"/>
      <c r="B70" s="1667"/>
      <c r="C70" s="1654"/>
      <c r="D70" s="1844"/>
      <c r="E70" s="1540">
        <f t="shared" si="2"/>
        <v>0</v>
      </c>
      <c r="F70" s="1937">
        <f t="shared" si="1"/>
        <v>0</v>
      </c>
      <c r="G70" s="1793">
        <f t="shared" si="3"/>
        <v>0</v>
      </c>
    </row>
    <row r="71" spans="1:7" x14ac:dyDescent="0.25">
      <c r="A71" s="1653"/>
      <c r="B71" s="1667"/>
      <c r="C71" s="1654"/>
      <c r="D71" s="1844"/>
      <c r="E71" s="1540">
        <f t="shared" si="2"/>
        <v>0</v>
      </c>
      <c r="F71" s="1937">
        <f t="shared" si="1"/>
        <v>0</v>
      </c>
      <c r="G71" s="1793">
        <f t="shared" si="3"/>
        <v>0</v>
      </c>
    </row>
    <row r="72" spans="1:7" x14ac:dyDescent="0.25">
      <c r="A72" s="1653"/>
      <c r="B72" s="1667"/>
      <c r="C72" s="1654"/>
      <c r="D72" s="1844"/>
      <c r="E72" s="1540">
        <f t="shared" si="2"/>
        <v>0</v>
      </c>
      <c r="F72" s="1937">
        <f t="shared" si="1"/>
        <v>0</v>
      </c>
      <c r="G72" s="1793">
        <f t="shared" si="3"/>
        <v>0</v>
      </c>
    </row>
    <row r="73" spans="1:7" x14ac:dyDescent="0.25">
      <c r="A73" s="1653"/>
      <c r="B73" s="1667"/>
      <c r="C73" s="1654"/>
      <c r="D73" s="1844"/>
      <c r="E73" s="1540">
        <f t="shared" si="2"/>
        <v>0</v>
      </c>
      <c r="F73" s="1937">
        <f t="shared" si="1"/>
        <v>0</v>
      </c>
      <c r="G73" s="1793">
        <f t="shared" si="3"/>
        <v>0</v>
      </c>
    </row>
    <row r="74" spans="1:7" x14ac:dyDescent="0.25">
      <c r="A74" s="1653"/>
      <c r="B74" s="1667"/>
      <c r="C74" s="1654"/>
      <c r="D74" s="1844"/>
      <c r="E74" s="1540">
        <f t="shared" ref="E74:E85" si="4">IF(D74&lt;=25000,D74,IF(D74&gt;25000,25000,0))</f>
        <v>0</v>
      </c>
      <c r="F74" s="1937">
        <f t="shared" si="1"/>
        <v>0</v>
      </c>
      <c r="G74" s="1793">
        <f t="shared" ref="G74:G85" si="5">IF(F74=0,0,D74-F74)</f>
        <v>0</v>
      </c>
    </row>
    <row r="75" spans="1:7" x14ac:dyDescent="0.25">
      <c r="A75" s="1653"/>
      <c r="B75" s="1667"/>
      <c r="C75" s="1654"/>
      <c r="D75" s="1844"/>
      <c r="E75" s="1540">
        <f t="shared" si="4"/>
        <v>0</v>
      </c>
      <c r="F75" s="1937">
        <f t="shared" si="1"/>
        <v>0</v>
      </c>
      <c r="G75" s="1793">
        <f t="shared" si="5"/>
        <v>0</v>
      </c>
    </row>
    <row r="76" spans="1:7" x14ac:dyDescent="0.25">
      <c r="A76" s="1653"/>
      <c r="B76" s="1667"/>
      <c r="C76" s="1654"/>
      <c r="D76" s="1844"/>
      <c r="E76" s="1540">
        <f t="shared" si="4"/>
        <v>0</v>
      </c>
      <c r="F76" s="1937">
        <f t="shared" si="1"/>
        <v>0</v>
      </c>
      <c r="G76" s="1793">
        <f t="shared" si="5"/>
        <v>0</v>
      </c>
    </row>
    <row r="77" spans="1:7" x14ac:dyDescent="0.25">
      <c r="A77" s="1653"/>
      <c r="B77" s="1667"/>
      <c r="C77" s="1654"/>
      <c r="D77" s="1844"/>
      <c r="E77" s="1540">
        <f t="shared" si="4"/>
        <v>0</v>
      </c>
      <c r="F77" s="1937">
        <f t="shared" si="1"/>
        <v>0</v>
      </c>
      <c r="G77" s="1793">
        <f t="shared" si="5"/>
        <v>0</v>
      </c>
    </row>
    <row r="78" spans="1:7" x14ac:dyDescent="0.25">
      <c r="A78" s="1653"/>
      <c r="B78" s="1667"/>
      <c r="C78" s="1654"/>
      <c r="D78" s="1844"/>
      <c r="E78" s="1540">
        <f t="shared" si="4"/>
        <v>0</v>
      </c>
      <c r="F78" s="1937">
        <f t="shared" si="1"/>
        <v>0</v>
      </c>
      <c r="G78" s="1793">
        <f t="shared" si="5"/>
        <v>0</v>
      </c>
    </row>
    <row r="79" spans="1:7" x14ac:dyDescent="0.25">
      <c r="A79" s="1653"/>
      <c r="B79" s="1667"/>
      <c r="C79" s="1654"/>
      <c r="D79" s="1844"/>
      <c r="E79" s="1540">
        <f t="shared" si="4"/>
        <v>0</v>
      </c>
      <c r="F79" s="1937">
        <f t="shared" si="1"/>
        <v>0</v>
      </c>
      <c r="G79" s="1793">
        <f t="shared" si="5"/>
        <v>0</v>
      </c>
    </row>
    <row r="80" spans="1:7" x14ac:dyDescent="0.25">
      <c r="A80" s="1653"/>
      <c r="B80" s="1667"/>
      <c r="C80" s="1654"/>
      <c r="D80" s="1844"/>
      <c r="E80" s="1540">
        <f t="shared" si="4"/>
        <v>0</v>
      </c>
      <c r="F80" s="1937">
        <f t="shared" si="1"/>
        <v>0</v>
      </c>
      <c r="G80" s="1793">
        <f t="shared" si="5"/>
        <v>0</v>
      </c>
    </row>
    <row r="81" spans="1:7" x14ac:dyDescent="0.25">
      <c r="A81" s="1653"/>
      <c r="B81" s="1667"/>
      <c r="C81" s="1654"/>
      <c r="D81" s="1844"/>
      <c r="E81" s="1540">
        <f t="shared" si="4"/>
        <v>0</v>
      </c>
      <c r="F81" s="1937">
        <f t="shared" si="1"/>
        <v>0</v>
      </c>
      <c r="G81" s="1793">
        <f t="shared" si="5"/>
        <v>0</v>
      </c>
    </row>
    <row r="82" spans="1:7" x14ac:dyDescent="0.25">
      <c r="A82" s="1653"/>
      <c r="B82" s="1667"/>
      <c r="C82" s="1654"/>
      <c r="D82" s="1844"/>
      <c r="E82" s="1540">
        <f t="shared" si="4"/>
        <v>0</v>
      </c>
      <c r="F82" s="1937">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7">
        <f t="shared" si="6"/>
        <v>0</v>
      </c>
      <c r="G83" s="1793">
        <f t="shared" si="5"/>
        <v>0</v>
      </c>
    </row>
    <row r="84" spans="1:7" x14ac:dyDescent="0.25">
      <c r="A84" s="1653"/>
      <c r="B84" s="1667"/>
      <c r="C84" s="1654"/>
      <c r="D84" s="1844"/>
      <c r="E84" s="1540">
        <f t="shared" si="4"/>
        <v>0</v>
      </c>
      <c r="F84" s="1937">
        <f t="shared" si="6"/>
        <v>0</v>
      </c>
      <c r="G84" s="1793">
        <f t="shared" si="5"/>
        <v>0</v>
      </c>
    </row>
    <row r="85" spans="1:7" x14ac:dyDescent="0.25">
      <c r="A85" s="1653"/>
      <c r="B85" s="1667"/>
      <c r="C85" s="1654"/>
      <c r="D85" s="1844"/>
      <c r="E85" s="1540">
        <f t="shared" si="4"/>
        <v>0</v>
      </c>
      <c r="F85" s="1937">
        <f t="shared" si="6"/>
        <v>0</v>
      </c>
      <c r="G85" s="1793">
        <f t="shared" si="5"/>
        <v>0</v>
      </c>
    </row>
    <row r="86" spans="1:7" x14ac:dyDescent="0.25">
      <c r="A86" s="1653"/>
      <c r="B86" s="1667"/>
      <c r="C86" s="1654"/>
      <c r="D86" s="1844"/>
      <c r="E86" s="1540">
        <f t="shared" si="2"/>
        <v>0</v>
      </c>
      <c r="F86" s="1937">
        <f t="shared" si="6"/>
        <v>0</v>
      </c>
      <c r="G86" s="1793">
        <f t="shared" si="3"/>
        <v>0</v>
      </c>
    </row>
    <row r="87" spans="1:7" x14ac:dyDescent="0.25">
      <c r="A87" s="1653"/>
      <c r="B87" s="1667"/>
      <c r="C87" s="1654"/>
      <c r="D87" s="1844"/>
      <c r="E87" s="1540">
        <f t="shared" si="2"/>
        <v>0</v>
      </c>
      <c r="F87" s="1937">
        <f t="shared" si="6"/>
        <v>0</v>
      </c>
      <c r="G87" s="1793">
        <f t="shared" si="3"/>
        <v>0</v>
      </c>
    </row>
    <row r="88" spans="1:7" x14ac:dyDescent="0.25">
      <c r="A88" s="1653"/>
      <c r="B88" s="1667"/>
      <c r="C88" s="1654"/>
      <c r="D88" s="1844"/>
      <c r="E88" s="1540">
        <f t="shared" si="2"/>
        <v>0</v>
      </c>
      <c r="F88" s="1937">
        <f t="shared" si="6"/>
        <v>0</v>
      </c>
      <c r="G88" s="1793">
        <f t="shared" si="3"/>
        <v>0</v>
      </c>
    </row>
    <row r="89" spans="1:7" x14ac:dyDescent="0.25">
      <c r="A89" s="1653"/>
      <c r="B89" s="1667"/>
      <c r="C89" s="1654"/>
      <c r="D89" s="1844"/>
      <c r="E89" s="1540">
        <f t="shared" si="2"/>
        <v>0</v>
      </c>
      <c r="F89" s="1937">
        <f t="shared" si="6"/>
        <v>0</v>
      </c>
      <c r="G89" s="1793">
        <f t="shared" si="3"/>
        <v>0</v>
      </c>
    </row>
    <row r="90" spans="1:7" x14ac:dyDescent="0.25">
      <c r="A90" s="1653"/>
      <c r="B90" s="1667"/>
      <c r="C90" s="1654"/>
      <c r="D90" s="1844"/>
      <c r="E90" s="1540">
        <f t="shared" si="2"/>
        <v>0</v>
      </c>
      <c r="F90" s="1937">
        <f t="shared" si="6"/>
        <v>0</v>
      </c>
      <c r="G90" s="1793">
        <f t="shared" si="3"/>
        <v>0</v>
      </c>
    </row>
    <row r="91" spans="1:7" x14ac:dyDescent="0.25">
      <c r="A91" s="1653"/>
      <c r="B91" s="1667"/>
      <c r="C91" s="1654"/>
      <c r="D91" s="1844"/>
      <c r="E91" s="1540">
        <f t="shared" si="2"/>
        <v>0</v>
      </c>
      <c r="F91" s="1937">
        <f t="shared" si="6"/>
        <v>0</v>
      </c>
      <c r="G91" s="1793">
        <f t="shared" si="3"/>
        <v>0</v>
      </c>
    </row>
    <row r="92" spans="1:7" x14ac:dyDescent="0.25">
      <c r="A92" s="1653"/>
      <c r="B92" s="1667"/>
      <c r="C92" s="1654"/>
      <c r="D92" s="1844"/>
      <c r="E92" s="1540">
        <f t="shared" si="2"/>
        <v>0</v>
      </c>
      <c r="F92" s="1937">
        <f t="shared" si="6"/>
        <v>0</v>
      </c>
      <c r="G92" s="1793">
        <f t="shared" si="3"/>
        <v>0</v>
      </c>
    </row>
    <row r="93" spans="1:7" x14ac:dyDescent="0.25">
      <c r="A93" s="1653"/>
      <c r="B93" s="1667"/>
      <c r="C93" s="1654"/>
      <c r="D93" s="1844"/>
      <c r="E93" s="1540">
        <f t="shared" si="2"/>
        <v>0</v>
      </c>
      <c r="F93" s="1937">
        <f t="shared" si="6"/>
        <v>0</v>
      </c>
      <c r="G93" s="1793">
        <f t="shared" si="3"/>
        <v>0</v>
      </c>
    </row>
    <row r="94" spans="1:7" x14ac:dyDescent="0.25">
      <c r="A94" s="1653"/>
      <c r="B94" s="1667"/>
      <c r="C94" s="1654"/>
      <c r="D94" s="1844"/>
      <c r="E94" s="1540">
        <f t="shared" ref="E94" si="7">IF(D94&lt;=25000,D94,IF(D94&gt;25000,25000,0))</f>
        <v>0</v>
      </c>
      <c r="F94" s="1937">
        <f t="shared" si="6"/>
        <v>0</v>
      </c>
      <c r="G94" s="1793">
        <f t="shared" ref="G94" si="8">IF(F94=0,0,D94-F94)</f>
        <v>0</v>
      </c>
    </row>
    <row r="95" spans="1:7" x14ac:dyDescent="0.25">
      <c r="A95" s="1653"/>
      <c r="B95" s="1667"/>
      <c r="C95" s="1654"/>
      <c r="D95" s="1844"/>
      <c r="E95" s="1540">
        <f t="shared" si="2"/>
        <v>0</v>
      </c>
      <c r="F95" s="1937">
        <f t="shared" si="6"/>
        <v>0</v>
      </c>
      <c r="G95" s="1793">
        <f t="shared" si="3"/>
        <v>0</v>
      </c>
    </row>
    <row r="96" spans="1:7" x14ac:dyDescent="0.25">
      <c r="A96" s="1653"/>
      <c r="B96" s="1667"/>
      <c r="C96" s="1654"/>
      <c r="D96" s="1844"/>
      <c r="E96" s="1540">
        <f t="shared" ref="E96:E99" si="9">IF(D96&lt;=25000,D96,IF(D96&gt;25000,25000,0))</f>
        <v>0</v>
      </c>
      <c r="F96" s="1937">
        <f t="shared" si="6"/>
        <v>0</v>
      </c>
      <c r="G96" s="1793">
        <f t="shared" ref="G96:G99" si="10">IF(F96=0,0,D96-F96)</f>
        <v>0</v>
      </c>
    </row>
    <row r="97" spans="1:7" x14ac:dyDescent="0.25">
      <c r="A97" s="1653"/>
      <c r="B97" s="1667"/>
      <c r="C97" s="1654"/>
      <c r="D97" s="1844"/>
      <c r="E97" s="1540">
        <f t="shared" si="9"/>
        <v>0</v>
      </c>
      <c r="F97" s="1937">
        <f t="shared" si="6"/>
        <v>0</v>
      </c>
      <c r="G97" s="1793">
        <f t="shared" si="10"/>
        <v>0</v>
      </c>
    </row>
    <row r="98" spans="1:7" x14ac:dyDescent="0.25">
      <c r="A98" s="1653"/>
      <c r="B98" s="1667"/>
      <c r="C98" s="1654"/>
      <c r="D98" s="1844"/>
      <c r="E98" s="1540">
        <f t="shared" si="9"/>
        <v>0</v>
      </c>
      <c r="F98" s="1937">
        <f t="shared" si="6"/>
        <v>0</v>
      </c>
      <c r="G98" s="1793">
        <f t="shared" si="10"/>
        <v>0</v>
      </c>
    </row>
    <row r="99" spans="1:7" x14ac:dyDescent="0.25">
      <c r="A99" s="1653"/>
      <c r="B99" s="1667"/>
      <c r="C99" s="1654"/>
      <c r="D99" s="1844"/>
      <c r="E99" s="1540">
        <f t="shared" si="9"/>
        <v>0</v>
      </c>
      <c r="F99" s="1937">
        <f t="shared" si="6"/>
        <v>0</v>
      </c>
      <c r="G99" s="1793">
        <f t="shared" si="10"/>
        <v>0</v>
      </c>
    </row>
    <row r="100" spans="1:7" x14ac:dyDescent="0.25">
      <c r="A100" s="1653"/>
      <c r="B100" s="1667"/>
      <c r="C100" s="1654"/>
      <c r="D100" s="1844"/>
      <c r="E100" s="1540">
        <f t="shared" ref="E100" si="11">IF(D100&lt;=25000,D100,IF(D100&gt;25000,25000,0))</f>
        <v>0</v>
      </c>
      <c r="F100" s="1937">
        <f t="shared" si="6"/>
        <v>0</v>
      </c>
      <c r="G100" s="1793">
        <f t="shared" ref="G100" si="12">IF(F100=0,0,D100-F100)</f>
        <v>0</v>
      </c>
    </row>
    <row r="101" spans="1:7" x14ac:dyDescent="0.25">
      <c r="A101" s="1653"/>
      <c r="B101" s="1667"/>
      <c r="C101" s="1654"/>
      <c r="D101" s="1844"/>
      <c r="E101" s="1540">
        <f t="shared" ref="E101:E113" si="13">IF(D101&lt;=25000,D101,IF(D101&gt;25000,25000,0))</f>
        <v>0</v>
      </c>
      <c r="F101" s="1937">
        <f t="shared" si="6"/>
        <v>0</v>
      </c>
      <c r="G101" s="1793">
        <f t="shared" ref="G101:G113" si="14">IF(F101=0,0,D101-F101)</f>
        <v>0</v>
      </c>
    </row>
    <row r="102" spans="1:7" x14ac:dyDescent="0.25">
      <c r="A102" s="1653"/>
      <c r="B102" s="1667"/>
      <c r="C102" s="1654"/>
      <c r="D102" s="1844"/>
      <c r="E102" s="1540">
        <f t="shared" si="13"/>
        <v>0</v>
      </c>
      <c r="F102" s="1937">
        <f t="shared" si="6"/>
        <v>0</v>
      </c>
      <c r="G102" s="1793">
        <f t="shared" si="14"/>
        <v>0</v>
      </c>
    </row>
    <row r="103" spans="1:7" x14ac:dyDescent="0.25">
      <c r="A103" s="1653"/>
      <c r="B103" s="1667"/>
      <c r="C103" s="1654"/>
      <c r="D103" s="1844"/>
      <c r="E103" s="1540">
        <f t="shared" si="13"/>
        <v>0</v>
      </c>
      <c r="F103" s="1937">
        <f t="shared" si="6"/>
        <v>0</v>
      </c>
      <c r="G103" s="1793">
        <f t="shared" si="14"/>
        <v>0</v>
      </c>
    </row>
    <row r="104" spans="1:7" x14ac:dyDescent="0.25">
      <c r="A104" s="1653"/>
      <c r="B104" s="1667"/>
      <c r="C104" s="1654"/>
      <c r="D104" s="1844"/>
      <c r="E104" s="1540">
        <f t="shared" si="13"/>
        <v>0</v>
      </c>
      <c r="F104" s="1937">
        <f t="shared" si="6"/>
        <v>0</v>
      </c>
      <c r="G104" s="1793">
        <f t="shared" si="14"/>
        <v>0</v>
      </c>
    </row>
    <row r="105" spans="1:7" x14ac:dyDescent="0.25">
      <c r="A105" s="1653"/>
      <c r="B105" s="1667"/>
      <c r="C105" s="1654"/>
      <c r="D105" s="1844"/>
      <c r="E105" s="1540">
        <f t="shared" si="13"/>
        <v>0</v>
      </c>
      <c r="F105" s="1937">
        <f t="shared" si="6"/>
        <v>0</v>
      </c>
      <c r="G105" s="1793">
        <f t="shared" si="14"/>
        <v>0</v>
      </c>
    </row>
    <row r="106" spans="1:7" x14ac:dyDescent="0.25">
      <c r="A106" s="1653"/>
      <c r="B106" s="1667"/>
      <c r="C106" s="1654"/>
      <c r="D106" s="1844"/>
      <c r="E106" s="1540">
        <f t="shared" si="13"/>
        <v>0</v>
      </c>
      <c r="F106" s="1937">
        <f t="shared" si="6"/>
        <v>0</v>
      </c>
      <c r="G106" s="1793">
        <f t="shared" si="14"/>
        <v>0</v>
      </c>
    </row>
    <row r="107" spans="1:7" x14ac:dyDescent="0.25">
      <c r="A107" s="1653"/>
      <c r="B107" s="1667"/>
      <c r="C107" s="1654"/>
      <c r="D107" s="1844"/>
      <c r="E107" s="1540">
        <f t="shared" si="13"/>
        <v>0</v>
      </c>
      <c r="F107" s="1937">
        <f t="shared" si="6"/>
        <v>0</v>
      </c>
      <c r="G107" s="1793">
        <f t="shared" si="14"/>
        <v>0</v>
      </c>
    </row>
    <row r="108" spans="1:7" x14ac:dyDescent="0.25">
      <c r="A108" s="1653"/>
      <c r="B108" s="1667"/>
      <c r="C108" s="1654"/>
      <c r="D108" s="1844"/>
      <c r="E108" s="1540">
        <f t="shared" si="13"/>
        <v>0</v>
      </c>
      <c r="F108" s="1937">
        <f t="shared" si="6"/>
        <v>0</v>
      </c>
      <c r="G108" s="1793">
        <f t="shared" si="14"/>
        <v>0</v>
      </c>
    </row>
    <row r="109" spans="1:7" x14ac:dyDescent="0.25">
      <c r="A109" s="1653"/>
      <c r="B109" s="1667"/>
      <c r="C109" s="1654"/>
      <c r="D109" s="1844"/>
      <c r="E109" s="1540">
        <f t="shared" si="13"/>
        <v>0</v>
      </c>
      <c r="F109" s="1937">
        <f t="shared" si="6"/>
        <v>0</v>
      </c>
      <c r="G109" s="1793">
        <f t="shared" si="14"/>
        <v>0</v>
      </c>
    </row>
    <row r="110" spans="1:7" x14ac:dyDescent="0.25">
      <c r="A110" s="1653"/>
      <c r="B110" s="1667"/>
      <c r="C110" s="1654"/>
      <c r="D110" s="1844"/>
      <c r="E110" s="1540">
        <f t="shared" si="13"/>
        <v>0</v>
      </c>
      <c r="F110" s="1937">
        <f t="shared" si="6"/>
        <v>0</v>
      </c>
      <c r="G110" s="1793">
        <f t="shared" si="14"/>
        <v>0</v>
      </c>
    </row>
    <row r="111" spans="1:7" x14ac:dyDescent="0.25">
      <c r="A111" s="1653"/>
      <c r="B111" s="1667"/>
      <c r="C111" s="1654"/>
      <c r="D111" s="1844"/>
      <c r="E111" s="1540">
        <f t="shared" si="13"/>
        <v>0</v>
      </c>
      <c r="F111" s="1937">
        <f t="shared" si="6"/>
        <v>0</v>
      </c>
      <c r="G111" s="1793">
        <f t="shared" si="14"/>
        <v>0</v>
      </c>
    </row>
    <row r="112" spans="1:7" x14ac:dyDescent="0.25">
      <c r="A112" s="1653"/>
      <c r="B112" s="1667"/>
      <c r="C112" s="1654"/>
      <c r="D112" s="1844"/>
      <c r="E112" s="1540">
        <f t="shared" si="13"/>
        <v>0</v>
      </c>
      <c r="F112" s="1937">
        <f t="shared" si="6"/>
        <v>0</v>
      </c>
      <c r="G112" s="1793">
        <f t="shared" si="14"/>
        <v>0</v>
      </c>
    </row>
    <row r="113" spans="1:7" x14ac:dyDescent="0.25">
      <c r="A113" s="1653"/>
      <c r="B113" s="1667"/>
      <c r="C113" s="1654"/>
      <c r="D113" s="1844"/>
      <c r="E113" s="1540">
        <f t="shared" si="13"/>
        <v>0</v>
      </c>
      <c r="F113" s="1937">
        <f t="shared" si="6"/>
        <v>0</v>
      </c>
      <c r="G113" s="1793">
        <f t="shared" si="14"/>
        <v>0</v>
      </c>
    </row>
    <row r="114" spans="1:7" x14ac:dyDescent="0.25">
      <c r="A114" s="1653"/>
      <c r="B114" s="1667"/>
      <c r="C114" s="1654"/>
      <c r="D114" s="1844"/>
      <c r="E114" s="1540">
        <f t="shared" ref="E114:E126" si="15">IF(D114&lt;=25000,D114,IF(D114&gt;25000,25000,0))</f>
        <v>0</v>
      </c>
      <c r="F114" s="1937">
        <f t="shared" si="6"/>
        <v>0</v>
      </c>
      <c r="G114" s="1793">
        <f t="shared" ref="G114:G126" si="16">IF(F114=0,0,D114-F114)</f>
        <v>0</v>
      </c>
    </row>
    <row r="115" spans="1:7" x14ac:dyDescent="0.25">
      <c r="A115" s="1653"/>
      <c r="B115" s="1667"/>
      <c r="C115" s="1654"/>
      <c r="D115" s="1844"/>
      <c r="E115" s="1540">
        <f t="shared" si="15"/>
        <v>0</v>
      </c>
      <c r="F115" s="1937">
        <f t="shared" si="6"/>
        <v>0</v>
      </c>
      <c r="G115" s="1793">
        <f t="shared" si="16"/>
        <v>0</v>
      </c>
    </row>
    <row r="116" spans="1:7" x14ac:dyDescent="0.25">
      <c r="A116" s="1653"/>
      <c r="B116" s="1667"/>
      <c r="C116" s="1654"/>
      <c r="D116" s="1844"/>
      <c r="E116" s="1540">
        <f t="shared" si="15"/>
        <v>0</v>
      </c>
      <c r="F116" s="1937">
        <f t="shared" si="6"/>
        <v>0</v>
      </c>
      <c r="G116" s="1793">
        <f t="shared" si="16"/>
        <v>0</v>
      </c>
    </row>
    <row r="117" spans="1:7" x14ac:dyDescent="0.25">
      <c r="A117" s="1653"/>
      <c r="B117" s="1667"/>
      <c r="C117" s="1654"/>
      <c r="D117" s="1844"/>
      <c r="E117" s="1540">
        <f t="shared" si="15"/>
        <v>0</v>
      </c>
      <c r="F117" s="1937">
        <f t="shared" si="6"/>
        <v>0</v>
      </c>
      <c r="G117" s="1793">
        <f t="shared" si="16"/>
        <v>0</v>
      </c>
    </row>
    <row r="118" spans="1:7" x14ac:dyDescent="0.25">
      <c r="A118" s="1653"/>
      <c r="B118" s="1667"/>
      <c r="C118" s="1654"/>
      <c r="D118" s="1844"/>
      <c r="E118" s="1540">
        <f t="shared" si="15"/>
        <v>0</v>
      </c>
      <c r="F118" s="1937">
        <f t="shared" si="6"/>
        <v>0</v>
      </c>
      <c r="G118" s="1793">
        <f t="shared" si="16"/>
        <v>0</v>
      </c>
    </row>
    <row r="119" spans="1:7" x14ac:dyDescent="0.25">
      <c r="A119" s="1653"/>
      <c r="B119" s="1667"/>
      <c r="C119" s="1654"/>
      <c r="D119" s="1844"/>
      <c r="E119" s="1540">
        <f t="shared" si="15"/>
        <v>0</v>
      </c>
      <c r="F119" s="1937">
        <f t="shared" si="6"/>
        <v>0</v>
      </c>
      <c r="G119" s="1793">
        <f t="shared" si="16"/>
        <v>0</v>
      </c>
    </row>
    <row r="120" spans="1:7" x14ac:dyDescent="0.25">
      <c r="A120" s="1653"/>
      <c r="B120" s="1667"/>
      <c r="C120" s="1654"/>
      <c r="D120" s="1844"/>
      <c r="E120" s="1540">
        <f t="shared" si="15"/>
        <v>0</v>
      </c>
      <c r="F120" s="1937">
        <f t="shared" si="6"/>
        <v>0</v>
      </c>
      <c r="G120" s="1793">
        <f t="shared" si="16"/>
        <v>0</v>
      </c>
    </row>
    <row r="121" spans="1:7" x14ac:dyDescent="0.25">
      <c r="A121" s="1653"/>
      <c r="B121" s="1667"/>
      <c r="C121" s="1654"/>
      <c r="D121" s="1844"/>
      <c r="E121" s="1540">
        <f t="shared" si="15"/>
        <v>0</v>
      </c>
      <c r="F121" s="1937">
        <f t="shared" si="6"/>
        <v>0</v>
      </c>
      <c r="G121" s="1793">
        <f t="shared" si="16"/>
        <v>0</v>
      </c>
    </row>
    <row r="122" spans="1:7" x14ac:dyDescent="0.25">
      <c r="A122" s="1653"/>
      <c r="B122" s="1667"/>
      <c r="C122" s="1654"/>
      <c r="D122" s="1844"/>
      <c r="E122" s="1540">
        <f t="shared" si="15"/>
        <v>0</v>
      </c>
      <c r="F122" s="1937">
        <f t="shared" si="6"/>
        <v>0</v>
      </c>
      <c r="G122" s="1793">
        <f t="shared" si="16"/>
        <v>0</v>
      </c>
    </row>
    <row r="123" spans="1:7" x14ac:dyDescent="0.25">
      <c r="A123" s="1653"/>
      <c r="B123" s="1667"/>
      <c r="C123" s="1654"/>
      <c r="D123" s="1844"/>
      <c r="E123" s="1540">
        <f t="shared" si="15"/>
        <v>0</v>
      </c>
      <c r="F123" s="1937">
        <f t="shared" si="6"/>
        <v>0</v>
      </c>
      <c r="G123" s="1793">
        <f t="shared" si="16"/>
        <v>0</v>
      </c>
    </row>
    <row r="124" spans="1:7" x14ac:dyDescent="0.25">
      <c r="A124" s="1653"/>
      <c r="B124" s="1667"/>
      <c r="C124" s="1654"/>
      <c r="D124" s="1844"/>
      <c r="E124" s="1540">
        <f t="shared" si="15"/>
        <v>0</v>
      </c>
      <c r="F124" s="1937">
        <f t="shared" si="6"/>
        <v>0</v>
      </c>
      <c r="G124" s="1793">
        <f t="shared" si="16"/>
        <v>0</v>
      </c>
    </row>
    <row r="125" spans="1:7" x14ac:dyDescent="0.25">
      <c r="A125" s="1653"/>
      <c r="B125" s="1667"/>
      <c r="C125" s="1654"/>
      <c r="D125" s="1844"/>
      <c r="E125" s="1540">
        <f t="shared" si="15"/>
        <v>0</v>
      </c>
      <c r="F125" s="1937">
        <f t="shared" si="6"/>
        <v>0</v>
      </c>
      <c r="G125" s="1793">
        <f t="shared" si="16"/>
        <v>0</v>
      </c>
    </row>
    <row r="126" spans="1:7" x14ac:dyDescent="0.25">
      <c r="A126" s="1653"/>
      <c r="B126" s="1667"/>
      <c r="C126" s="1654"/>
      <c r="D126" s="1844"/>
      <c r="E126" s="1540">
        <f t="shared" si="15"/>
        <v>0</v>
      </c>
      <c r="F126" s="1937">
        <f t="shared" si="6"/>
        <v>0</v>
      </c>
      <c r="G126" s="1793">
        <f t="shared" si="16"/>
        <v>0</v>
      </c>
    </row>
    <row r="127" spans="1:7" x14ac:dyDescent="0.25">
      <c r="A127" s="1653"/>
      <c r="B127" s="1667"/>
      <c r="C127" s="1654"/>
      <c r="D127" s="1844"/>
      <c r="E127" s="1540">
        <f t="shared" ref="E127:E135" si="17">IF(D127&lt;=25000,D127,IF(D127&gt;25000,25000,0))</f>
        <v>0</v>
      </c>
      <c r="F127" s="1937">
        <f t="shared" si="6"/>
        <v>0</v>
      </c>
      <c r="G127" s="1793">
        <f t="shared" ref="G127:G135" si="18">IF(F127=0,0,D127-F127)</f>
        <v>0</v>
      </c>
    </row>
    <row r="128" spans="1:7" x14ac:dyDescent="0.25">
      <c r="A128" s="1653"/>
      <c r="B128" s="1667"/>
      <c r="C128" s="1654"/>
      <c r="D128" s="1844"/>
      <c r="E128" s="1540">
        <f t="shared" si="17"/>
        <v>0</v>
      </c>
      <c r="F128" s="1937">
        <f t="shared" si="6"/>
        <v>0</v>
      </c>
      <c r="G128" s="1793">
        <f t="shared" si="18"/>
        <v>0</v>
      </c>
    </row>
    <row r="129" spans="1:7" x14ac:dyDescent="0.25">
      <c r="A129" s="1653"/>
      <c r="B129" s="1667"/>
      <c r="C129" s="1654"/>
      <c r="D129" s="1844"/>
      <c r="E129" s="1540">
        <f t="shared" si="17"/>
        <v>0</v>
      </c>
      <c r="F129" s="1937">
        <f t="shared" si="6"/>
        <v>0</v>
      </c>
      <c r="G129" s="1793">
        <f t="shared" si="18"/>
        <v>0</v>
      </c>
    </row>
    <row r="130" spans="1:7" x14ac:dyDescent="0.25">
      <c r="A130" s="1653"/>
      <c r="B130" s="1667"/>
      <c r="C130" s="1654"/>
      <c r="D130" s="1844"/>
      <c r="E130" s="1540">
        <f t="shared" si="17"/>
        <v>0</v>
      </c>
      <c r="F130" s="1937">
        <f t="shared" si="6"/>
        <v>0</v>
      </c>
      <c r="G130" s="1793">
        <f t="shared" si="18"/>
        <v>0</v>
      </c>
    </row>
    <row r="131" spans="1:7" x14ac:dyDescent="0.25">
      <c r="A131" s="1653"/>
      <c r="B131" s="1667"/>
      <c r="C131" s="1654"/>
      <c r="D131" s="1844"/>
      <c r="E131" s="1540">
        <f t="shared" si="17"/>
        <v>0</v>
      </c>
      <c r="F131" s="1937">
        <f t="shared" si="6"/>
        <v>0</v>
      </c>
      <c r="G131" s="1793">
        <f t="shared" si="18"/>
        <v>0</v>
      </c>
    </row>
    <row r="132" spans="1:7" x14ac:dyDescent="0.25">
      <c r="A132" s="1653"/>
      <c r="B132" s="1837"/>
      <c r="C132" s="1654"/>
      <c r="D132" s="1844"/>
      <c r="E132" s="1540">
        <f t="shared" si="17"/>
        <v>0</v>
      </c>
      <c r="F132" s="1937">
        <f t="shared" si="6"/>
        <v>0</v>
      </c>
      <c r="G132" s="1793">
        <f t="shared" si="18"/>
        <v>0</v>
      </c>
    </row>
    <row r="133" spans="1:7" x14ac:dyDescent="0.25">
      <c r="A133" s="1653"/>
      <c r="B133" s="1837"/>
      <c r="C133" s="1654"/>
      <c r="D133" s="1844"/>
      <c r="E133" s="1540">
        <f t="shared" si="17"/>
        <v>0</v>
      </c>
      <c r="F133" s="1937">
        <f t="shared" si="6"/>
        <v>0</v>
      </c>
      <c r="G133" s="1793">
        <f t="shared" si="18"/>
        <v>0</v>
      </c>
    </row>
    <row r="134" spans="1:7" x14ac:dyDescent="0.25">
      <c r="A134" s="1653"/>
      <c r="B134" s="1667"/>
      <c r="C134" s="1654"/>
      <c r="D134" s="1844"/>
      <c r="E134" s="1540">
        <f t="shared" si="17"/>
        <v>0</v>
      </c>
      <c r="F134" s="1937">
        <f t="shared" si="6"/>
        <v>0</v>
      </c>
      <c r="G134" s="1793">
        <f t="shared" si="18"/>
        <v>0</v>
      </c>
    </row>
    <row r="135" spans="1:7" x14ac:dyDescent="0.25">
      <c r="A135" s="1653"/>
      <c r="B135" s="1667"/>
      <c r="C135" s="1654"/>
      <c r="D135" s="1844"/>
      <c r="E135" s="1540">
        <f t="shared" si="17"/>
        <v>0</v>
      </c>
      <c r="F135" s="1937">
        <f t="shared" si="6"/>
        <v>0</v>
      </c>
      <c r="G135" s="1793">
        <f t="shared" si="18"/>
        <v>0</v>
      </c>
    </row>
    <row r="136" spans="1:7" x14ac:dyDescent="0.25">
      <c r="A136" s="1653"/>
      <c r="B136" s="1667"/>
      <c r="C136" s="1654"/>
      <c r="D136" s="1844"/>
      <c r="E136" s="1540">
        <f t="shared" ref="E136:E140" si="19">IF(D136&lt;=25000,D136,IF(D136&gt;25000,25000,0))</f>
        <v>0</v>
      </c>
      <c r="F136" s="1937">
        <f t="shared" si="6"/>
        <v>0</v>
      </c>
      <c r="G136" s="1793">
        <f t="shared" ref="G136:G140" si="20">IF(F136=0,0,D136-F136)</f>
        <v>0</v>
      </c>
    </row>
    <row r="137" spans="1:7" x14ac:dyDescent="0.25">
      <c r="A137" s="1653"/>
      <c r="B137" s="1667"/>
      <c r="C137" s="1654"/>
      <c r="D137" s="1844"/>
      <c r="E137" s="1540">
        <f t="shared" si="19"/>
        <v>0</v>
      </c>
      <c r="F137" s="1937">
        <f t="shared" si="6"/>
        <v>0</v>
      </c>
      <c r="G137" s="1793">
        <f t="shared" si="20"/>
        <v>0</v>
      </c>
    </row>
    <row r="138" spans="1:7" x14ac:dyDescent="0.25">
      <c r="A138" s="1653"/>
      <c r="B138" s="1667"/>
      <c r="C138" s="1654"/>
      <c r="D138" s="1844"/>
      <c r="E138" s="1540">
        <f t="shared" si="19"/>
        <v>0</v>
      </c>
      <c r="F138" s="1937">
        <f t="shared" si="6"/>
        <v>0</v>
      </c>
      <c r="G138" s="1793">
        <f t="shared" si="20"/>
        <v>0</v>
      </c>
    </row>
    <row r="139" spans="1:7" x14ac:dyDescent="0.25">
      <c r="A139" s="1653"/>
      <c r="B139" s="1667"/>
      <c r="C139" s="1654"/>
      <c r="D139" s="1844"/>
      <c r="E139" s="1540">
        <f t="shared" si="19"/>
        <v>0</v>
      </c>
      <c r="F139" s="1937">
        <f t="shared" si="6"/>
        <v>0</v>
      </c>
      <c r="G139" s="1793">
        <f t="shared" si="20"/>
        <v>0</v>
      </c>
    </row>
    <row r="140" spans="1:7" x14ac:dyDescent="0.25">
      <c r="A140" s="1653"/>
      <c r="B140" s="1667"/>
      <c r="C140" s="1654"/>
      <c r="D140" s="1844"/>
      <c r="E140" s="1540">
        <f t="shared" si="19"/>
        <v>0</v>
      </c>
      <c r="F140" s="1937">
        <f t="shared" si="6"/>
        <v>0</v>
      </c>
      <c r="G140" s="1793">
        <f t="shared" si="20"/>
        <v>0</v>
      </c>
    </row>
    <row r="141" spans="1:7" x14ac:dyDescent="0.25">
      <c r="A141" s="1653"/>
      <c r="B141" s="1666"/>
      <c r="C141" s="1654"/>
      <c r="D141" s="1844"/>
      <c r="E141" s="1540">
        <f t="shared" si="2"/>
        <v>0</v>
      </c>
      <c r="F141" s="1937">
        <f t="shared" si="6"/>
        <v>0</v>
      </c>
      <c r="G141" s="1793">
        <f t="shared" si="3"/>
        <v>0</v>
      </c>
    </row>
    <row r="142" spans="1:7" x14ac:dyDescent="0.25">
      <c r="A142" s="1796" t="s">
        <v>156</v>
      </c>
      <c r="B142" s="1797"/>
      <c r="C142" s="1798"/>
      <c r="D142" s="1794">
        <f>SUM(D18:D141)</f>
        <v>10950</v>
      </c>
      <c r="E142" s="1541">
        <f t="shared" si="0"/>
        <v>10950</v>
      </c>
      <c r="F142" s="1932">
        <f>SUM(F18:F141)</f>
        <v>10950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F0"/>
    <pageSetUpPr fitToPage="1"/>
  </sheetPr>
  <dimension ref="A1:L97"/>
  <sheetViews>
    <sheetView showGridLines="0" zoomScale="110" zoomScaleNormal="110" workbookViewId="0">
      <pane ySplit="4" topLeftCell="A14" activePane="bottomLeft" state="frozen"/>
      <selection activeCell="A4" sqref="A4:F4"/>
      <selection pane="bottomLeft" activeCell="A4" sqref="A4:F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Nauvoo-Colusa CUSD 325</v>
      </c>
      <c r="D6" s="2300"/>
      <c r="E6" s="2300"/>
      <c r="F6" s="1852"/>
    </row>
    <row r="7" spans="1:10" ht="11.25" customHeight="1" thickBot="1" x14ac:dyDescent="0.3">
      <c r="A7" s="1850"/>
      <c r="B7" s="1851"/>
      <c r="C7" s="2301">
        <f>COVER!A13</f>
        <v>26034325026</v>
      </c>
      <c r="D7" s="2301"/>
      <c r="E7" s="230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t="s">
        <v>2065</v>
      </c>
      <c r="D13" s="1865" t="s">
        <v>2065</v>
      </c>
      <c r="E13" s="1868"/>
      <c r="F13" s="1941" t="s">
        <v>2086</v>
      </c>
      <c r="H13" s="1878">
        <f t="shared" si="0"/>
        <v>5</v>
      </c>
      <c r="I13" s="1878">
        <f t="shared" si="1"/>
        <v>5</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t="s">
        <v>2065</v>
      </c>
      <c r="D24" s="1865" t="s">
        <v>2065</v>
      </c>
      <c r="E24" s="1868"/>
      <c r="F24" s="1941" t="s">
        <v>2087</v>
      </c>
      <c r="H24" s="1878">
        <f t="shared" si="0"/>
        <v>5</v>
      </c>
      <c r="I24" s="1878">
        <f t="shared" si="1"/>
        <v>5</v>
      </c>
      <c r="J24" s="1878">
        <f t="shared" si="2"/>
        <v>0</v>
      </c>
    </row>
    <row r="25" spans="1:12" ht="12" customHeight="1" x14ac:dyDescent="0.2">
      <c r="A25" s="1863" t="s">
        <v>1533</v>
      </c>
      <c r="B25" s="1864"/>
      <c r="C25" s="1865" t="s">
        <v>2065</v>
      </c>
      <c r="D25" s="1865" t="s">
        <v>2065</v>
      </c>
      <c r="E25" s="1868"/>
      <c r="F25" s="1941" t="s">
        <v>2090</v>
      </c>
      <c r="H25" s="1878">
        <f t="shared" si="0"/>
        <v>5</v>
      </c>
      <c r="I25" s="1878">
        <f t="shared" si="1"/>
        <v>5</v>
      </c>
      <c r="J25" s="1878">
        <f t="shared" si="2"/>
        <v>0</v>
      </c>
    </row>
    <row r="26" spans="1:12" ht="12" customHeight="1" x14ac:dyDescent="0.2">
      <c r="A26" s="1863" t="s">
        <v>1534</v>
      </c>
      <c r="B26" s="1864"/>
      <c r="C26" s="1865" t="s">
        <v>2065</v>
      </c>
      <c r="D26" s="1865" t="s">
        <v>2065</v>
      </c>
      <c r="E26" s="1868"/>
      <c r="F26" s="1941" t="s">
        <v>2089</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t="s">
        <v>2065</v>
      </c>
      <c r="D28" s="1865" t="s">
        <v>2065</v>
      </c>
      <c r="E28" s="1868"/>
      <c r="F28" s="1941" t="s">
        <v>2088</v>
      </c>
      <c r="H28" s="1878">
        <f t="shared" si="0"/>
        <v>5</v>
      </c>
      <c r="I28" s="1878">
        <f t="shared" si="1"/>
        <v>5</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25</v>
      </c>
      <c r="I34" s="1878">
        <f>SUM(I11:I32)</f>
        <v>25</v>
      </c>
      <c r="J34" s="1878">
        <f>SUM(J11:J32)</f>
        <v>0</v>
      </c>
      <c r="K34" s="1878">
        <f>SUM(H34:J34)</f>
        <v>50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00B0F0"/>
  </sheetPr>
  <dimension ref="A1:Q40"/>
  <sheetViews>
    <sheetView showGridLines="0" defaultGridColor="0" colorId="8" zoomScale="110" zoomScaleNormal="110" workbookViewId="0">
      <selection activeCell="A4" sqref="A4:F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Nauvoo-Colusa CUSD 325</v>
      </c>
      <c r="J6" s="2321"/>
      <c r="Q6" s="1664"/>
    </row>
    <row r="7" spans="1:17" x14ac:dyDescent="0.2">
      <c r="A7" s="2322" t="s">
        <v>869</v>
      </c>
      <c r="B7" s="2323"/>
      <c r="C7" s="2323"/>
      <c r="D7" s="2323"/>
      <c r="E7" s="2324"/>
      <c r="F7" s="1017"/>
      <c r="G7" s="1009"/>
      <c r="H7" s="1016" t="s">
        <v>372</v>
      </c>
      <c r="I7" s="2325">
        <f>COVER!A13</f>
        <v>26034325026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141350</v>
      </c>
      <c r="F12" s="1039"/>
      <c r="G12" s="1811">
        <f t="shared" ref="G12:G18" si="0">SUM(E12:F12)</f>
        <v>141350</v>
      </c>
      <c r="H12" s="1040">
        <v>148392</v>
      </c>
      <c r="I12" s="1039"/>
      <c r="J12" s="1811">
        <f t="shared" ref="J12:J18" si="1">SUM(H12:I12)</f>
        <v>148392</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200</v>
      </c>
      <c r="F15" s="1811">
        <f>'Expenditures 15-22'!K122</f>
        <v>0</v>
      </c>
      <c r="G15" s="1811">
        <f t="shared" si="0"/>
        <v>200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141550</v>
      </c>
      <c r="F19" s="1813">
        <f t="shared" si="2"/>
        <v>0</v>
      </c>
      <c r="G19" s="1813">
        <f t="shared" si="2"/>
        <v>141550</v>
      </c>
      <c r="H19" s="1813">
        <f t="shared" si="2"/>
        <v>148392</v>
      </c>
      <c r="I19" s="1813">
        <f t="shared" si="2"/>
        <v>0</v>
      </c>
      <c r="J19" s="1813">
        <f t="shared" si="2"/>
        <v>148392</v>
      </c>
    </row>
    <row r="20" spans="1:10" ht="13.5" thickTop="1" x14ac:dyDescent="0.2">
      <c r="A20" s="1035">
        <v>9</v>
      </c>
      <c r="B20" s="2332" t="s">
        <v>1979</v>
      </c>
      <c r="C20" s="2332"/>
      <c r="D20" s="2333"/>
      <c r="E20" s="1046"/>
      <c r="F20" s="1046"/>
      <c r="G20" s="1046"/>
      <c r="H20" s="1046"/>
      <c r="I20" s="1046"/>
      <c r="J20" s="1814">
        <f>IF(AND(G19&gt;0,J19&gt;0),(((J19-G19)/G19)),"Enter Budget Data")</f>
        <v>4.8336276933945599E-2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0000"/>
  </sheetPr>
  <dimension ref="A2:B65"/>
  <sheetViews>
    <sheetView showGridLines="0" zoomScale="110" zoomScaleNormal="110" workbookViewId="0">
      <selection activeCell="A4" sqref="A4:F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Nauvoo-Colusa CUSD 325</v>
      </c>
    </row>
    <row r="65" spans="2:2" x14ac:dyDescent="0.2">
      <c r="B65" s="1070">
        <f>COVER!A13</f>
        <v>26034325026</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I84"/>
  <sheetViews>
    <sheetView showGridLines="0" zoomScale="110" zoomScaleNormal="110" workbookViewId="0">
      <selection activeCell="A4" sqref="A4:F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FF0000"/>
  </sheetPr>
  <dimension ref="A1:D19"/>
  <sheetViews>
    <sheetView showGridLines="0" defaultGridColor="0"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FF0000"/>
  </sheetPr>
  <dimension ref="A11:F18"/>
  <sheetViews>
    <sheetView showGridLines="0" zoomScale="110" zoomScaleNormal="110" workbookViewId="0">
      <selection activeCell="D13" sqref="D13"/>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2" r:id="rId4">
          <objectPr defaultSize="0" autoPict="0" r:id="rId5">
            <anchor moveWithCells="1">
              <from>
                <xdr:col>1</xdr:col>
                <xdr:colOff>228600</xdr:colOff>
                <xdr:row>3</xdr:row>
                <xdr:rowOff>9525</xdr:rowOff>
              </from>
              <to>
                <xdr:col>1</xdr:col>
                <xdr:colOff>1114425</xdr:colOff>
                <xdr:row>7</xdr:row>
                <xdr:rowOff>9525</xdr:rowOff>
              </to>
            </anchor>
          </objectPr>
        </oleObject>
      </mc:Choice>
      <mc:Fallback>
        <oleObject progId="Acrobat Document" dvAspect="DVASPECT_ICON" shapeId="35842"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FF0000"/>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2885838</v>
      </c>
      <c r="C8" s="1815">
        <f>'Acct Summary 7-8'!D8</f>
        <v>289449</v>
      </c>
      <c r="D8" s="1815">
        <f>'Acct Summary 7-8'!F8</f>
        <v>342076</v>
      </c>
      <c r="E8" s="1815">
        <f>'Acct Summary 7-8'!I8</f>
        <v>28866</v>
      </c>
      <c r="F8" s="1815">
        <f>SUM(B8:E8)</f>
        <v>3546229</v>
      </c>
    </row>
    <row r="9" spans="1:8" s="1079" customFormat="1" ht="14.25" customHeight="1" thickBot="1" x14ac:dyDescent="0.25">
      <c r="A9" s="1078" t="s">
        <v>1369</v>
      </c>
      <c r="B9" s="1816">
        <f>'Acct Summary 7-8'!C17</f>
        <v>2631288</v>
      </c>
      <c r="C9" s="1816">
        <f>'Acct Summary 7-8'!D17</f>
        <v>285592</v>
      </c>
      <c r="D9" s="1816">
        <f>'Acct Summary 7-8'!F17</f>
        <v>245045</v>
      </c>
      <c r="E9" s="1815"/>
      <c r="F9" s="1815">
        <f>SUM(B9:E9)</f>
        <v>3161925</v>
      </c>
    </row>
    <row r="10" spans="1:8" s="1079" customFormat="1" ht="14.25" thickTop="1" thickBot="1" x14ac:dyDescent="0.25">
      <c r="A10" s="1080" t="s">
        <v>1370</v>
      </c>
      <c r="B10" s="1817">
        <f>(B8-B9)</f>
        <v>254550</v>
      </c>
      <c r="C10" s="1817">
        <f>(C8-C9)</f>
        <v>3857</v>
      </c>
      <c r="D10" s="1817">
        <f>(D8-D9)</f>
        <v>97031</v>
      </c>
      <c r="E10" s="1816">
        <f>(E8-E9)</f>
        <v>28866</v>
      </c>
      <c r="F10" s="1818">
        <f>SUM(F8-F9)</f>
        <v>384304</v>
      </c>
    </row>
    <row r="11" spans="1:8" s="1079" customFormat="1" ht="14.25" thickTop="1" thickBot="1" x14ac:dyDescent="0.25">
      <c r="A11" s="1081" t="s">
        <v>1983</v>
      </c>
      <c r="B11" s="1819">
        <f>'Acct Summary 7-8'!C81</f>
        <v>1084347</v>
      </c>
      <c r="C11" s="1819">
        <f>'Acct Summary 7-8'!D81</f>
        <v>933185</v>
      </c>
      <c r="D11" s="1819">
        <f>'Acct Summary 7-8'!F81</f>
        <v>404435</v>
      </c>
      <c r="E11" s="1819">
        <f>'Acct Summary 7-8'!I81</f>
        <v>247</v>
      </c>
      <c r="F11" s="1820">
        <f>SUM(B11:E11)</f>
        <v>2422214</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6" colorId="8" zoomScale="110" zoomScaleNormal="110" workbookViewId="0">
      <selection activeCell="D79" sqref="D79"/>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26034325026</v>
      </c>
    </row>
    <row r="3" spans="1:2" x14ac:dyDescent="0.2">
      <c r="A3" t="s">
        <v>956</v>
      </c>
      <c r="B3" s="138" t="str">
        <f>COVER!A15</f>
        <v>Hancock</v>
      </c>
    </row>
    <row r="4" spans="1:2" x14ac:dyDescent="0.2">
      <c r="A4" t="s">
        <v>1007</v>
      </c>
      <c r="B4" s="138" t="str">
        <f>COVER!A17</f>
        <v>Nauvoo-Colusa CUSD 325</v>
      </c>
    </row>
    <row r="5" spans="1:2" x14ac:dyDescent="0.2">
      <c r="A5" t="s">
        <v>704</v>
      </c>
      <c r="B5" s="138" t="str">
        <f>COVER!A38</f>
        <v>Kent Young</v>
      </c>
    </row>
    <row r="6" spans="1:2" x14ac:dyDescent="0.2">
      <c r="A6" t="s">
        <v>709</v>
      </c>
      <c r="B6" s="138">
        <f>COVER!P35</f>
        <v>0</v>
      </c>
    </row>
    <row r="7" spans="1:2" x14ac:dyDescent="0.2">
      <c r="A7" t="s">
        <v>705</v>
      </c>
      <c r="B7" s="138">
        <f>COVER!I38</f>
        <v>0</v>
      </c>
    </row>
    <row r="8" spans="1:2" x14ac:dyDescent="0.2">
      <c r="A8" t="s">
        <v>706</v>
      </c>
      <c r="B8" s="138" t="str">
        <f>COVER!T38</f>
        <v>John Meixner</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066-004856</v>
      </c>
    </row>
    <row r="16" spans="1:2" x14ac:dyDescent="0.2">
      <c r="A16" t="s">
        <v>422</v>
      </c>
      <c r="B16" s="138" t="str">
        <f>COVER!T13</f>
        <v>Dennis G Koch &amp; Associates LLC</v>
      </c>
    </row>
    <row r="17" spans="1:2" x14ac:dyDescent="0.2">
      <c r="A17" t="s">
        <v>884</v>
      </c>
      <c r="B17" s="138" t="str">
        <f>COVER!T15</f>
        <v>Dennis G Koch</v>
      </c>
    </row>
    <row r="18" spans="1:2" x14ac:dyDescent="0.2">
      <c r="A18" t="s">
        <v>1150</v>
      </c>
      <c r="B18" s="138" t="str">
        <f>COVER!T17</f>
        <v>1706 N 16th St</v>
      </c>
    </row>
    <row r="19" spans="1:2" x14ac:dyDescent="0.2">
      <c r="A19" t="s">
        <v>886</v>
      </c>
      <c r="B19" s="138" t="str">
        <f>COVER!T25</f>
        <v>dgkoch@dgkochcpa.com</v>
      </c>
    </row>
    <row r="20" spans="1:2" x14ac:dyDescent="0.2">
      <c r="A20" t="s">
        <v>887</v>
      </c>
      <c r="B20" s="138" t="str">
        <f>COVER!T19</f>
        <v xml:space="preserve">Quincy </v>
      </c>
    </row>
    <row r="21" spans="1:2" x14ac:dyDescent="0.2">
      <c r="A21" t="s">
        <v>479</v>
      </c>
      <c r="B21" s="138" t="str">
        <f>COVER!X19</f>
        <v>IL</v>
      </c>
    </row>
    <row r="22" spans="1:2" x14ac:dyDescent="0.2">
      <c r="A22" t="s">
        <v>888</v>
      </c>
      <c r="B22" s="138">
        <f>COVER!Z19</f>
        <v>62301</v>
      </c>
    </row>
    <row r="23" spans="1:2" x14ac:dyDescent="0.2">
      <c r="A23" t="s">
        <v>1152</v>
      </c>
      <c r="B23" s="138" t="str">
        <f>COVER!T21</f>
        <v>217-224-8484</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1123498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39151</v>
      </c>
      <c r="C91" s="2" t="s">
        <v>573</v>
      </c>
      <c r="D91" s="2" t="str">
        <f t="shared" si="0"/>
        <v>Error?</v>
      </c>
    </row>
    <row r="92" spans="1:4" x14ac:dyDescent="0.2">
      <c r="A92" s="5">
        <v>31</v>
      </c>
      <c r="B92" s="138">
        <f>'Assets-Liab 5-6'!C39</f>
        <v>1084347</v>
      </c>
      <c r="D92" s="2" t="str">
        <f t="shared" si="0"/>
        <v>Error?</v>
      </c>
    </row>
    <row r="93" spans="1:4" x14ac:dyDescent="0.2">
      <c r="A93" s="5">
        <v>32</v>
      </c>
      <c r="B93" s="138">
        <f>'Assets-Liab 5-6'!C41</f>
        <v>1123498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933185</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933185</v>
      </c>
      <c r="D123" s="2" t="str">
        <f t="shared" si="0"/>
        <v>Error?</v>
      </c>
    </row>
    <row r="124" spans="1:4" x14ac:dyDescent="0.2">
      <c r="A124" s="5">
        <v>63</v>
      </c>
      <c r="B124" s="138">
        <f>'Assets-Liab 5-6'!D41</f>
        <v>933185</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404435</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404435</v>
      </c>
      <c r="D170" s="2" t="str">
        <f t="shared" si="1"/>
        <v>Error?</v>
      </c>
    </row>
    <row r="171" spans="1:4" x14ac:dyDescent="0.2">
      <c r="A171" s="5">
        <v>110</v>
      </c>
      <c r="B171" s="138">
        <f>'Assets-Liab 5-6'!F41</f>
        <v>404435</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333265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333265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29900</v>
      </c>
      <c r="D273" s="2" t="str">
        <f t="shared" si="3"/>
        <v>Error?</v>
      </c>
    </row>
    <row r="274" spans="1:4" x14ac:dyDescent="0.2">
      <c r="A274" s="5">
        <v>213</v>
      </c>
      <c r="B274" s="138">
        <f>'Assets-Liab 5-6'!M17</f>
        <v>953894</v>
      </c>
      <c r="D274" s="2" t="str">
        <f t="shared" si="3"/>
        <v>Error?</v>
      </c>
    </row>
    <row r="275" spans="1:4" x14ac:dyDescent="0.2">
      <c r="A275" s="5">
        <v>214</v>
      </c>
      <c r="B275" s="138">
        <f>'Assets-Liab 5-6'!M18</f>
        <v>57306</v>
      </c>
      <c r="D275" s="2" t="str">
        <f t="shared" si="3"/>
        <v>Error?</v>
      </c>
    </row>
    <row r="276" spans="1:4" x14ac:dyDescent="0.2">
      <c r="A276" s="5">
        <v>215</v>
      </c>
      <c r="B276" s="138">
        <f>'Assets-Liab 5-6'!M19</f>
        <v>507810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1548910</v>
      </c>
      <c r="C279" s="2" t="s">
        <v>573</v>
      </c>
      <c r="D279" s="2" t="str">
        <f t="shared" si="3"/>
        <v>Error?</v>
      </c>
    </row>
    <row r="280" spans="1:4" x14ac:dyDescent="0.2">
      <c r="A280" s="5">
        <v>219</v>
      </c>
      <c r="B280" s="138">
        <f>'Assets-Liab 5-6'!M40</f>
        <v>1548910</v>
      </c>
      <c r="D280" s="2" t="str">
        <f t="shared" si="3"/>
        <v>Error?</v>
      </c>
    </row>
    <row r="281" spans="1:4" x14ac:dyDescent="0.2">
      <c r="A281" s="5">
        <v>220</v>
      </c>
      <c r="B281" s="138">
        <f>'Assets-Liab 5-6'!M41</f>
        <v>1548910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701967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23036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924632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49559</v>
      </c>
      <c r="D725" s="2" t="str">
        <f t="shared" si="10"/>
        <v>Error?</v>
      </c>
    </row>
    <row r="726" spans="1:4" x14ac:dyDescent="0.2">
      <c r="A726" s="5">
        <v>665</v>
      </c>
      <c r="B726" s="138">
        <f>'Expenditures 15-22'!C41</f>
        <v>77404</v>
      </c>
      <c r="D726" s="2" t="str">
        <f t="shared" si="10"/>
        <v>Error?</v>
      </c>
    </row>
    <row r="727" spans="1:4" x14ac:dyDescent="0.2">
      <c r="A727" s="5">
        <v>666</v>
      </c>
      <c r="B727" s="138">
        <f>'Expenditures 15-22'!C42</f>
        <v>126963</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43300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43300</v>
      </c>
      <c r="C731" s="2" t="s">
        <v>573</v>
      </c>
      <c r="D731" s="2" t="str">
        <f t="shared" si="10"/>
        <v>Error?</v>
      </c>
    </row>
    <row r="732" spans="1:4" x14ac:dyDescent="0.2">
      <c r="A732" s="5">
        <v>671</v>
      </c>
      <c r="B732" s="138">
        <f>'Expenditures 15-22'!C49</f>
        <v>3035</v>
      </c>
      <c r="D732" s="2" t="str">
        <f t="shared" si="10"/>
        <v>Error?</v>
      </c>
    </row>
    <row r="733" spans="1:4" x14ac:dyDescent="0.2">
      <c r="A733" s="5">
        <v>672</v>
      </c>
      <c r="B733" s="138">
        <f>'Expenditures 15-22'!C50</f>
        <v>96065</v>
      </c>
      <c r="D733" s="2" t="str">
        <f t="shared" si="10"/>
        <v>Error?</v>
      </c>
    </row>
    <row r="734" spans="1:4" x14ac:dyDescent="0.2">
      <c r="A734" s="5">
        <v>673</v>
      </c>
      <c r="B734" s="138">
        <f>'Expenditures 15-22'!C53</f>
        <v>99100</v>
      </c>
      <c r="C734" s="2" t="s">
        <v>573</v>
      </c>
      <c r="D734" s="2" t="str">
        <f t="shared" si="10"/>
        <v>Error?</v>
      </c>
    </row>
    <row r="735" spans="1:4" x14ac:dyDescent="0.2">
      <c r="A735" s="5">
        <v>674</v>
      </c>
      <c r="B735" s="138">
        <f>'Expenditures 15-22'!C55</f>
        <v>82572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82572</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67883</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45925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113808</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465743</v>
      </c>
      <c r="C755" s="2" t="s">
        <v>573</v>
      </c>
      <c r="D755" s="2" t="str">
        <f t="shared" si="10"/>
        <v>Error?</v>
      </c>
    </row>
    <row r="756" spans="1:4" x14ac:dyDescent="0.2">
      <c r="A756" s="5">
        <v>695</v>
      </c>
      <c r="B756" s="138">
        <f>'Expenditures 15-22'!C75</f>
        <v>2369</v>
      </c>
      <c r="D756" s="2" t="str">
        <f t="shared" si="10"/>
        <v>Error?</v>
      </c>
    </row>
    <row r="757" spans="1:4" x14ac:dyDescent="0.2">
      <c r="A757" s="5">
        <v>696</v>
      </c>
      <c r="B757" s="138">
        <f>'Expenditures 15-22'!C114</f>
        <v>1392744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131674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207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167040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4170</v>
      </c>
      <c r="D783" s="2" t="str">
        <f t="shared" si="11"/>
        <v>Error?</v>
      </c>
    </row>
    <row r="784" spans="1:4" x14ac:dyDescent="0.2">
      <c r="A784" s="5">
        <v>723</v>
      </c>
      <c r="B784" s="138">
        <f>'Expenditures 15-22'!D41</f>
        <v>673</v>
      </c>
      <c r="D784" s="2" t="str">
        <f t="shared" si="11"/>
        <v>Error?</v>
      </c>
    </row>
    <row r="785" spans="1:4" x14ac:dyDescent="0.2">
      <c r="A785" s="5">
        <v>724</v>
      </c>
      <c r="B785" s="138">
        <f>'Expenditures 15-22'!D42</f>
        <v>4843</v>
      </c>
      <c r="C785" s="2" t="s">
        <v>573</v>
      </c>
      <c r="D785" s="2" t="str">
        <f t="shared" si="11"/>
        <v>Error?</v>
      </c>
    </row>
    <row r="786" spans="1:4" x14ac:dyDescent="0.2">
      <c r="A786" s="5">
        <v>725</v>
      </c>
      <c r="B786" s="138">
        <f>'Expenditures 15-22'!D44</f>
        <v>2745</v>
      </c>
      <c r="D786" s="2" t="str">
        <f t="shared" si="11"/>
        <v>Error?</v>
      </c>
    </row>
    <row r="787" spans="1:4" x14ac:dyDescent="0.2">
      <c r="A787" s="5">
        <v>726</v>
      </c>
      <c r="B787" s="138">
        <f>'Expenditures 15-22'!D45</f>
        <v>673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3418</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41765</v>
      </c>
      <c r="D791" s="2" t="str">
        <f t="shared" si="11"/>
        <v>Error?</v>
      </c>
    </row>
    <row r="792" spans="1:4" x14ac:dyDescent="0.2">
      <c r="A792" s="5">
        <v>731</v>
      </c>
      <c r="B792" s="138">
        <f>'Expenditures 15-22'!D53</f>
        <v>41765</v>
      </c>
      <c r="C792" s="2" t="s">
        <v>573</v>
      </c>
      <c r="D792" s="2" t="str">
        <f t="shared" si="11"/>
        <v>Error?</v>
      </c>
    </row>
    <row r="793" spans="1:4" x14ac:dyDescent="0.2">
      <c r="A793" s="5">
        <v>732</v>
      </c>
      <c r="B793" s="138">
        <f>'Expenditures 15-22'!D55</f>
        <v>14776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14776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64</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26714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26778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91580</v>
      </c>
      <c r="C813" s="2" t="s">
        <v>573</v>
      </c>
      <c r="D813" s="2" t="str">
        <f t="shared" si="11"/>
        <v>Error?</v>
      </c>
    </row>
    <row r="814" spans="1:4" x14ac:dyDescent="0.2">
      <c r="A814" s="5">
        <v>753</v>
      </c>
      <c r="B814" s="138">
        <f>'Expenditures 15-22'!D75</f>
        <v>737</v>
      </c>
      <c r="D814" s="2" t="str">
        <f t="shared" si="11"/>
        <v>Error?</v>
      </c>
    </row>
    <row r="815" spans="1:4" x14ac:dyDescent="0.2">
      <c r="A815" s="5">
        <v>754</v>
      </c>
      <c r="B815" s="138">
        <f>'Expenditures 15-22'!D114</f>
        <v>259357</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82499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11165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146821</v>
      </c>
      <c r="C836" s="2" t="s">
        <v>573</v>
      </c>
      <c r="D836" s="2" t="str">
        <f t="shared" si="12"/>
        <v>Error?</v>
      </c>
    </row>
    <row r="837" spans="1:4" x14ac:dyDescent="0.2">
      <c r="A837" s="5">
        <v>776</v>
      </c>
      <c r="B837" s="138">
        <f>'Expenditures 15-22'!E36</f>
        <v>12501</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14906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27407</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28319</v>
      </c>
      <c r="D848" s="2" t="str">
        <f t="shared" si="12"/>
        <v>Error?</v>
      </c>
    </row>
    <row r="849" spans="1:4" x14ac:dyDescent="0.2">
      <c r="A849" s="5">
        <v>788</v>
      </c>
      <c r="B849" s="138">
        <f>'Expenditures 15-22'!E50</f>
        <v>3065</v>
      </c>
      <c r="D849" s="2" t="str">
        <f t="shared" si="12"/>
        <v>Error?</v>
      </c>
    </row>
    <row r="850" spans="1:4" x14ac:dyDescent="0.2">
      <c r="A850" s="5">
        <v>789</v>
      </c>
      <c r="B850" s="138">
        <f>'Expenditures 15-22'!E53</f>
        <v>31384</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200</v>
      </c>
      <c r="D854" s="2" t="str">
        <f t="shared" si="12"/>
        <v>Error?</v>
      </c>
    </row>
    <row r="855" spans="1:4" x14ac:dyDescent="0.2">
      <c r="A855" s="5">
        <v>794</v>
      </c>
      <c r="B855" s="138">
        <f>'Expenditures 15-22'!E60</f>
        <v>14048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2692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16940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28019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28019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103750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774914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86127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2267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126030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499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499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88</v>
      </c>
      <c r="D906" s="2" t="str">
        <f t="shared" si="13"/>
        <v>Error?</v>
      </c>
    </row>
    <row r="907" spans="1:4" x14ac:dyDescent="0.2">
      <c r="A907" s="5">
        <v>846</v>
      </c>
      <c r="B907" s="138">
        <f>'Expenditures 15-22'!F50</f>
        <v>0</v>
      </c>
      <c r="D907" s="2" t="str">
        <f t="shared" si="13"/>
        <v>Error?</v>
      </c>
    </row>
    <row r="908" spans="1:4" x14ac:dyDescent="0.2">
      <c r="A908" s="5">
        <v>847</v>
      </c>
      <c r="B908" s="138">
        <f>'Expenditures 15-22'!F53</f>
        <v>88</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217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56906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57123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15598</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15598</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73308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199338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1172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1852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1678</v>
      </c>
      <c r="D1022" s="2" t="str">
        <f t="shared" si="14"/>
        <v>Error?</v>
      </c>
    </row>
    <row r="1023" spans="1:4" x14ac:dyDescent="0.2">
      <c r="A1023" s="5">
        <v>962</v>
      </c>
      <c r="B1023" s="138">
        <f>'Expenditures 15-22'!H50</f>
        <v>455</v>
      </c>
      <c r="D1023" s="2" t="str">
        <f t="shared" ref="D1023:D1086" si="15">IF(ISBLANK(B1023),"OK",IF(A1023-B1023=0,"OK","Error?"))</f>
        <v>Error?</v>
      </c>
    </row>
    <row r="1024" spans="1:4" x14ac:dyDescent="0.2">
      <c r="A1024" s="5">
        <v>963</v>
      </c>
      <c r="B1024" s="138">
        <f>'Expenditures 15-22'!H53</f>
        <v>2133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950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3083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4935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1003439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37355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1366375</v>
      </c>
      <c r="C1108" s="2" t="s">
        <v>573</v>
      </c>
      <c r="D1108" s="2" t="str">
        <f t="shared" si="16"/>
        <v>Error?</v>
      </c>
    </row>
    <row r="1109" spans="1:4" x14ac:dyDescent="0.2">
      <c r="A1109" s="5">
        <v>1048</v>
      </c>
      <c r="B1109" s="138">
        <f>'Expenditures 15-22'!K36</f>
        <v>12501</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14906</v>
      </c>
      <c r="C1112" s="2" t="s">
        <v>573</v>
      </c>
      <c r="D1112" s="2" t="str">
        <f t="shared" si="16"/>
        <v>Error?</v>
      </c>
    </row>
    <row r="1113" spans="1:4" x14ac:dyDescent="0.2">
      <c r="A1113" s="5">
        <v>1052</v>
      </c>
      <c r="B1113" s="138">
        <f>'Expenditures 15-22'!K40</f>
        <v>54228</v>
      </c>
      <c r="C1113" s="2" t="s">
        <v>573</v>
      </c>
      <c r="D1113" s="2" t="str">
        <f t="shared" si="16"/>
        <v>Error?</v>
      </c>
    </row>
    <row r="1114" spans="1:4" x14ac:dyDescent="0.2">
      <c r="A1114" s="5">
        <v>1053</v>
      </c>
      <c r="B1114" s="138">
        <f>'Expenditures 15-22'!K41</f>
        <v>78077</v>
      </c>
      <c r="C1114" s="2" t="s">
        <v>573</v>
      </c>
      <c r="D1114" s="2" t="str">
        <f t="shared" si="16"/>
        <v>Error?</v>
      </c>
    </row>
    <row r="1115" spans="1:4" x14ac:dyDescent="0.2">
      <c r="A1115" s="5">
        <v>1054</v>
      </c>
      <c r="B1115" s="138">
        <f>'Expenditures 15-22'!K42</f>
        <v>159712</v>
      </c>
      <c r="C1115" s="2" t="s">
        <v>573</v>
      </c>
      <c r="D1115" s="2" t="str">
        <f t="shared" si="16"/>
        <v>Error?</v>
      </c>
    </row>
    <row r="1116" spans="1:4" x14ac:dyDescent="0.2">
      <c r="A1116" s="5">
        <v>1055</v>
      </c>
      <c r="B1116" s="138">
        <f>'Expenditures 15-22'!K44</f>
        <v>2745</v>
      </c>
      <c r="C1116" s="2" t="s">
        <v>573</v>
      </c>
      <c r="D1116" s="2" t="str">
        <f t="shared" si="16"/>
        <v>Error?</v>
      </c>
    </row>
    <row r="1117" spans="1:4" x14ac:dyDescent="0.2">
      <c r="A1117" s="5">
        <v>1056</v>
      </c>
      <c r="B1117" s="138">
        <f>'Expenditures 15-22'!K45</f>
        <v>43973</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46718</v>
      </c>
      <c r="C1119" s="2" t="s">
        <v>573</v>
      </c>
      <c r="D1119" s="2" t="str">
        <f t="shared" si="16"/>
        <v>Error?</v>
      </c>
    </row>
    <row r="1120" spans="1:4" x14ac:dyDescent="0.2">
      <c r="A1120" s="5">
        <v>1059</v>
      </c>
      <c r="B1120" s="138">
        <f>'Expenditures 15-22'!K49</f>
        <v>33120</v>
      </c>
      <c r="C1120" s="2" t="s">
        <v>573</v>
      </c>
      <c r="D1120" s="2" t="str">
        <f t="shared" si="16"/>
        <v>Error?</v>
      </c>
    </row>
    <row r="1121" spans="1:4" x14ac:dyDescent="0.2">
      <c r="A1121" s="5">
        <v>1060</v>
      </c>
      <c r="B1121" s="138">
        <f>'Expenditures 15-22'!K50</f>
        <v>141350</v>
      </c>
      <c r="C1121" s="2" t="s">
        <v>573</v>
      </c>
      <c r="D1121" s="2" t="str">
        <f t="shared" si="16"/>
        <v>Error?</v>
      </c>
    </row>
    <row r="1122" spans="1:4" x14ac:dyDescent="0.2">
      <c r="A1122" s="5">
        <v>1061</v>
      </c>
      <c r="B1122" s="138">
        <f>'Expenditures 15-22'!K53</f>
        <v>174470</v>
      </c>
      <c r="C1122" s="2" t="s">
        <v>573</v>
      </c>
      <c r="D1122" s="2" t="str">
        <f t="shared" si="16"/>
        <v>Error?</v>
      </c>
    </row>
    <row r="1123" spans="1:4" x14ac:dyDescent="0.2">
      <c r="A1123" s="5">
        <v>1062</v>
      </c>
      <c r="B1123" s="138">
        <f>'Expenditures 15-22'!K55</f>
        <v>97348</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97348</v>
      </c>
      <c r="C1125" s="2" t="s">
        <v>573</v>
      </c>
      <c r="D1125" s="2" t="str">
        <f t="shared" si="16"/>
        <v>Error?</v>
      </c>
    </row>
    <row r="1126" spans="1:4" x14ac:dyDescent="0.2">
      <c r="A1126" s="5">
        <v>1065</v>
      </c>
      <c r="B1126" s="138">
        <f>'Expenditures 15-22'!K59</f>
        <v>200</v>
      </c>
      <c r="C1126" s="2" t="s">
        <v>573</v>
      </c>
      <c r="D1126" s="2" t="str">
        <f t="shared" si="16"/>
        <v>Error?</v>
      </c>
    </row>
    <row r="1127" spans="1:4" x14ac:dyDescent="0.2">
      <c r="A1127" s="5">
        <v>1066</v>
      </c>
      <c r="B1127" s="138">
        <f>'Expenditures 15-22'!K60</f>
        <v>82892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132507</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215599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43617</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43617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737464</v>
      </c>
      <c r="C1143" s="2" t="s">
        <v>573</v>
      </c>
      <c r="D1143" s="2" t="str">
        <f t="shared" si="16"/>
        <v>Error?</v>
      </c>
    </row>
    <row r="1144" spans="1:4" x14ac:dyDescent="0.2">
      <c r="A1144" s="5">
        <v>1083</v>
      </c>
      <c r="B1144" s="138">
        <f>'Expenditures 15-22'!K75</f>
        <v>3106</v>
      </c>
      <c r="C1144" s="2" t="s">
        <v>573</v>
      </c>
      <c r="D1144" s="2" t="str">
        <f t="shared" si="16"/>
        <v>Error?</v>
      </c>
    </row>
    <row r="1145" spans="1:4" x14ac:dyDescent="0.2">
      <c r="A1145" s="5">
        <v>1084</v>
      </c>
      <c r="B1145" s="138">
        <f>'Expenditures 15-22'!K102</f>
        <v>524343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2631288</v>
      </c>
      <c r="C1152" s="2" t="s">
        <v>573</v>
      </c>
      <c r="D1152" s="2" t="str">
        <f t="shared" si="17"/>
        <v>Error?</v>
      </c>
    </row>
    <row r="1153" spans="1:4" x14ac:dyDescent="0.2">
      <c r="A1153" s="5">
        <v>1092</v>
      </c>
      <c r="B1153" s="138">
        <f>'Expenditures 15-22'!K115</f>
        <v>254550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99797</v>
      </c>
      <c r="D1221" s="2" t="str">
        <f t="shared" si="18"/>
        <v>Error?</v>
      </c>
    </row>
    <row r="1222" spans="1:4" x14ac:dyDescent="0.2">
      <c r="A1222" s="10">
        <v>1161</v>
      </c>
      <c r="D1222" s="2" t="str">
        <f t="shared" si="18"/>
        <v>OK</v>
      </c>
    </row>
    <row r="1223" spans="1:4" x14ac:dyDescent="0.2">
      <c r="A1223" s="5">
        <v>1162</v>
      </c>
      <c r="B1223" s="138">
        <f>'Expenditures 15-22'!C127</f>
        <v>99797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99797</v>
      </c>
      <c r="C1225" s="2" t="s">
        <v>573</v>
      </c>
      <c r="D1225" s="2" t="str">
        <f t="shared" si="18"/>
        <v>Error?</v>
      </c>
    </row>
    <row r="1226" spans="1:4" x14ac:dyDescent="0.2">
      <c r="A1226" s="5">
        <v>1165</v>
      </c>
      <c r="B1226" s="138">
        <f>'Expenditures 15-22'!C151</f>
        <v>99797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16028</v>
      </c>
      <c r="D1229" s="2" t="str">
        <f t="shared" si="18"/>
        <v>Error?</v>
      </c>
    </row>
    <row r="1230" spans="1:4" x14ac:dyDescent="0.2">
      <c r="A1230" s="10">
        <v>1169</v>
      </c>
      <c r="D1230" s="2" t="str">
        <f t="shared" si="18"/>
        <v>OK</v>
      </c>
    </row>
    <row r="1231" spans="1:4" x14ac:dyDescent="0.2">
      <c r="A1231" s="5">
        <v>1170</v>
      </c>
      <c r="B1231" s="138">
        <f>'Expenditures 15-22'!D127</f>
        <v>16028</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16028</v>
      </c>
      <c r="C1233" s="2" t="s">
        <v>573</v>
      </c>
      <c r="D1233" s="2" t="str">
        <f t="shared" si="18"/>
        <v>Error?</v>
      </c>
    </row>
    <row r="1234" spans="1:4" x14ac:dyDescent="0.2">
      <c r="A1234" s="5">
        <v>1173</v>
      </c>
      <c r="B1234" s="138">
        <f>'Expenditures 15-22'!D151</f>
        <v>16028</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46854</v>
      </c>
      <c r="D1237" s="2" t="str">
        <f t="shared" si="18"/>
        <v>Error?</v>
      </c>
    </row>
    <row r="1238" spans="1:4" x14ac:dyDescent="0.2">
      <c r="A1238" s="10">
        <v>1177</v>
      </c>
      <c r="D1238" s="2" t="str">
        <f t="shared" si="18"/>
        <v>OK</v>
      </c>
    </row>
    <row r="1239" spans="1:4" x14ac:dyDescent="0.2">
      <c r="A1239" s="5">
        <v>1178</v>
      </c>
      <c r="B1239" s="138">
        <f>'Expenditures 15-22'!E127</f>
        <v>46854</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46854</v>
      </c>
      <c r="C1241" s="2" t="s">
        <v>573</v>
      </c>
      <c r="D1241" s="2" t="str">
        <f t="shared" si="18"/>
        <v>Error?</v>
      </c>
    </row>
    <row r="1242" spans="1:4" x14ac:dyDescent="0.2">
      <c r="A1242" s="5">
        <v>1181</v>
      </c>
      <c r="B1242" s="138">
        <f>'Expenditures 15-22'!E151</f>
        <v>46854</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82947</v>
      </c>
      <c r="D1245" s="2" t="str">
        <f t="shared" si="18"/>
        <v>Error?</v>
      </c>
    </row>
    <row r="1246" spans="1:4" x14ac:dyDescent="0.2">
      <c r="A1246" s="10">
        <v>1185</v>
      </c>
      <c r="D1246" s="2" t="str">
        <f t="shared" si="18"/>
        <v>OK</v>
      </c>
    </row>
    <row r="1247" spans="1:4" x14ac:dyDescent="0.2">
      <c r="A1247" s="5">
        <v>1186</v>
      </c>
      <c r="B1247" s="138">
        <f>'Expenditures 15-22'!F127</f>
        <v>82947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82947</v>
      </c>
      <c r="C1249" s="2" t="s">
        <v>573</v>
      </c>
      <c r="D1249" s="2" t="str">
        <f t="shared" si="18"/>
        <v>Error?</v>
      </c>
    </row>
    <row r="1250" spans="1:4" x14ac:dyDescent="0.2">
      <c r="A1250" s="5">
        <v>1189</v>
      </c>
      <c r="B1250" s="138">
        <f>'Expenditures 15-22'!F151</f>
        <v>82947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39966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39966</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39966</v>
      </c>
      <c r="C1258" s="2" t="s">
        <v>573</v>
      </c>
      <c r="D1258" s="2" t="str">
        <f t="shared" si="18"/>
        <v>Error?</v>
      </c>
    </row>
    <row r="1259" spans="1:4" x14ac:dyDescent="0.2">
      <c r="A1259" s="5">
        <v>1198</v>
      </c>
      <c r="B1259" s="138">
        <f>'Expenditures 15-22'!G151</f>
        <v>39966</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285592</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285592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285592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285592</v>
      </c>
      <c r="C1288" s="2" t="s">
        <v>573</v>
      </c>
      <c r="D1288" s="2" t="str">
        <f t="shared" si="19"/>
        <v>Error?</v>
      </c>
    </row>
    <row r="1289" spans="1:4" x14ac:dyDescent="0.2">
      <c r="A1289" s="5">
        <v>1228</v>
      </c>
      <c r="B1289" s="138">
        <f>'Expenditures 15-22'!K152</f>
        <v>3857</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105899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105899</v>
      </c>
      <c r="C1339" s="2" t="s">
        <v>573</v>
      </c>
      <c r="D1339" s="2" t="str">
        <f t="shared" si="19"/>
        <v>Error?</v>
      </c>
    </row>
    <row r="1340" spans="1:4" x14ac:dyDescent="0.2">
      <c r="A1340" s="5">
        <v>1279</v>
      </c>
      <c r="B1340" s="138">
        <f>'Expenditures 15-22'!C210</f>
        <v>105899</v>
      </c>
      <c r="C1340" s="2" t="s">
        <v>573</v>
      </c>
      <c r="D1340" s="2" t="str">
        <f t="shared" si="19"/>
        <v>Error?</v>
      </c>
    </row>
    <row r="1341" spans="1:4" x14ac:dyDescent="0.2">
      <c r="A1341" s="5">
        <v>1280</v>
      </c>
      <c r="B1341" s="138">
        <f>'Expenditures 15-22'!D182</f>
        <v>10148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10148</v>
      </c>
      <c r="C1345" s="2" t="s">
        <v>573</v>
      </c>
      <c r="D1345" s="2" t="str">
        <f t="shared" si="20"/>
        <v>Error?</v>
      </c>
    </row>
    <row r="1346" spans="1:4" x14ac:dyDescent="0.2">
      <c r="A1346" s="5">
        <v>1285</v>
      </c>
      <c r="B1346" s="138">
        <f>'Expenditures 15-22'!D210</f>
        <v>10148</v>
      </c>
      <c r="C1346" s="2" t="s">
        <v>573</v>
      </c>
      <c r="D1346" s="2" t="str">
        <f t="shared" si="20"/>
        <v>Error?</v>
      </c>
    </row>
    <row r="1347" spans="1:4" x14ac:dyDescent="0.2">
      <c r="A1347" s="5">
        <v>1286</v>
      </c>
      <c r="B1347" s="138">
        <f>'Expenditures 15-22'!E182</f>
        <v>25632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25632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25632</v>
      </c>
      <c r="C1353" s="2" t="s">
        <v>573</v>
      </c>
      <c r="D1353" s="2" t="str">
        <f t="shared" si="20"/>
        <v>Error?</v>
      </c>
    </row>
    <row r="1354" spans="1:4" x14ac:dyDescent="0.2">
      <c r="A1354" s="5">
        <v>1293</v>
      </c>
      <c r="B1354" s="138">
        <f>'Expenditures 15-22'!F182</f>
        <v>22565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22565</v>
      </c>
      <c r="C1358" s="2" t="s">
        <v>573</v>
      </c>
      <c r="D1358" s="2" t="str">
        <f t="shared" si="20"/>
        <v>Error?</v>
      </c>
    </row>
    <row r="1359" spans="1:4" x14ac:dyDescent="0.2">
      <c r="A1359" s="5">
        <v>1298</v>
      </c>
      <c r="B1359" s="138">
        <f>'Expenditures 15-22'!F210</f>
        <v>22565</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80801</v>
      </c>
      <c r="C1375" s="2" t="s">
        <v>573</v>
      </c>
      <c r="D1375" s="2" t="str">
        <f t="shared" si="20"/>
        <v>Error?</v>
      </c>
    </row>
    <row r="1376" spans="1:4" x14ac:dyDescent="0.2">
      <c r="A1376" s="5">
        <v>1315</v>
      </c>
      <c r="B1376" s="138">
        <f>'Expenditures 15-22'!H210</f>
        <v>80801</v>
      </c>
      <c r="C1376" s="2" t="s">
        <v>573</v>
      </c>
      <c r="D1376" s="2" t="str">
        <f t="shared" si="20"/>
        <v>Error?</v>
      </c>
    </row>
    <row r="1377" spans="1:4" x14ac:dyDescent="0.2">
      <c r="A1377" s="5">
        <v>1316</v>
      </c>
      <c r="B1377" s="138">
        <f>'Expenditures 15-22'!K182</f>
        <v>164244</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164244</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80801</v>
      </c>
      <c r="C1387" s="2" t="s">
        <v>573</v>
      </c>
      <c r="D1387" s="2" t="str">
        <f t="shared" si="20"/>
        <v>Error?</v>
      </c>
    </row>
    <row r="1388" spans="1:4" x14ac:dyDescent="0.2">
      <c r="A1388" s="5">
        <v>1327</v>
      </c>
      <c r="B1388" s="138">
        <f>'Expenditures 15-22'!K210</f>
        <v>245045</v>
      </c>
      <c r="C1388" s="2" t="s">
        <v>573</v>
      </c>
      <c r="D1388" s="2" t="str">
        <f t="shared" si="20"/>
        <v>Error?</v>
      </c>
    </row>
    <row r="1389" spans="1:4" x14ac:dyDescent="0.2">
      <c r="A1389" s="5">
        <v>1328</v>
      </c>
      <c r="B1389" s="138">
        <f>'Expenditures 15-22'!K211</f>
        <v>97031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1037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30039</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705</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705</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628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628</v>
      </c>
      <c r="C1421" s="2" t="s">
        <v>573</v>
      </c>
      <c r="D1421" s="2" t="str">
        <f t="shared" si="21"/>
        <v>Error?</v>
      </c>
    </row>
    <row r="1422" spans="1:4" x14ac:dyDescent="0.2">
      <c r="A1422" s="5">
        <v>1361</v>
      </c>
      <c r="B1422" s="138">
        <f>'Expenditures 15-22'!D245</f>
        <v>232</v>
      </c>
      <c r="D1422" s="2" t="str">
        <f t="shared" si="21"/>
        <v>Error?</v>
      </c>
    </row>
    <row r="1423" spans="1:4" x14ac:dyDescent="0.2">
      <c r="A1423" s="5">
        <v>1362</v>
      </c>
      <c r="B1423" s="138">
        <f>'Expenditures 15-22'!D246</f>
        <v>1383</v>
      </c>
      <c r="D1423" s="2" t="str">
        <f t="shared" si="21"/>
        <v>Error?</v>
      </c>
    </row>
    <row r="1424" spans="1:4" x14ac:dyDescent="0.2">
      <c r="A1424" s="5">
        <v>1363</v>
      </c>
      <c r="B1424" s="138">
        <f>'Expenditures 15-22'!D257</f>
        <v>5858</v>
      </c>
      <c r="C1424" s="2" t="s">
        <v>573</v>
      </c>
      <c r="D1424" s="2" t="str">
        <f t="shared" si="21"/>
        <v>Error?</v>
      </c>
    </row>
    <row r="1425" spans="1:4" x14ac:dyDescent="0.2">
      <c r="A1425" s="5">
        <v>1364</v>
      </c>
      <c r="B1425" s="138">
        <f>'Expenditures 15-22'!D259</f>
        <v>3310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3310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21445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11844</v>
      </c>
      <c r="D1431" s="2" t="str">
        <f t="shared" si="21"/>
        <v>Error?</v>
      </c>
    </row>
    <row r="1432" spans="1:4" x14ac:dyDescent="0.2">
      <c r="A1432" s="5">
        <v>1371</v>
      </c>
      <c r="B1432" s="138">
        <f>'Expenditures 15-22'!D267</f>
        <v>10781</v>
      </c>
      <c r="D1432" s="2" t="str">
        <f t="shared" si="21"/>
        <v>Error?</v>
      </c>
    </row>
    <row r="1433" spans="1:4" x14ac:dyDescent="0.2">
      <c r="A1433" s="5">
        <v>1372</v>
      </c>
      <c r="B1433" s="138">
        <f>'Expenditures 15-22'!D268</f>
        <v>5313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49383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59884</v>
      </c>
      <c r="C1446" s="2" t="s">
        <v>573</v>
      </c>
      <c r="D1446" s="2" t="str">
        <f t="shared" si="21"/>
        <v>Error?</v>
      </c>
    </row>
    <row r="1447" spans="1:4" x14ac:dyDescent="0.2">
      <c r="A1447" s="5">
        <v>1386</v>
      </c>
      <c r="B1447" s="138">
        <f>'Expenditures 15-22'!D280</f>
        <v>34</v>
      </c>
      <c r="D1447" s="2" t="str">
        <f t="shared" si="21"/>
        <v>Error?</v>
      </c>
    </row>
    <row r="1448" spans="1:4" x14ac:dyDescent="0.2">
      <c r="A1448" s="5">
        <v>1387</v>
      </c>
      <c r="B1448" s="138">
        <f>'Expenditures 15-22'!D295</f>
        <v>89957</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1037</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30039</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705</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705</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628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628</v>
      </c>
      <c r="C1485" s="2" t="s">
        <v>573</v>
      </c>
      <c r="D1485" s="2" t="str">
        <f t="shared" si="22"/>
        <v>Error?</v>
      </c>
    </row>
    <row r="1486" spans="1:4" x14ac:dyDescent="0.2">
      <c r="A1486" s="5">
        <v>1425</v>
      </c>
      <c r="B1486" s="138">
        <f>'Expenditures 15-22'!K245</f>
        <v>232</v>
      </c>
      <c r="C1486" s="2" t="s">
        <v>573</v>
      </c>
      <c r="D1486" s="2" t="str">
        <f t="shared" si="22"/>
        <v>Error?</v>
      </c>
    </row>
    <row r="1487" spans="1:4" x14ac:dyDescent="0.2">
      <c r="A1487" s="5">
        <v>1426</v>
      </c>
      <c r="B1487" s="138">
        <f>'Expenditures 15-22'!K246</f>
        <v>1383</v>
      </c>
      <c r="C1487" s="2" t="s">
        <v>573</v>
      </c>
      <c r="D1487" s="2" t="str">
        <f t="shared" si="22"/>
        <v>Error?</v>
      </c>
    </row>
    <row r="1488" spans="1:4" x14ac:dyDescent="0.2">
      <c r="A1488" s="5">
        <v>1427</v>
      </c>
      <c r="B1488" s="138">
        <f>'Expenditures 15-22'!K257</f>
        <v>5858</v>
      </c>
      <c r="C1488" s="2" t="s">
        <v>573</v>
      </c>
      <c r="D1488" s="2" t="str">
        <f t="shared" si="22"/>
        <v>Error?</v>
      </c>
    </row>
    <row r="1489" spans="1:4" x14ac:dyDescent="0.2">
      <c r="A1489" s="5">
        <v>1428</v>
      </c>
      <c r="B1489" s="138">
        <f>'Expenditures 15-22'!K259</f>
        <v>3310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3310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21445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11844</v>
      </c>
      <c r="C1495" s="2" t="s">
        <v>573</v>
      </c>
      <c r="D1495" s="2" t="str">
        <f t="shared" si="22"/>
        <v>Error?</v>
      </c>
    </row>
    <row r="1496" spans="1:4" x14ac:dyDescent="0.2">
      <c r="A1496" s="5">
        <v>1435</v>
      </c>
      <c r="B1496" s="138">
        <f>'Expenditures 15-22'!K267</f>
        <v>10781</v>
      </c>
      <c r="C1496" s="2" t="s">
        <v>573</v>
      </c>
      <c r="D1496" s="2" t="str">
        <f t="shared" si="22"/>
        <v>Error?</v>
      </c>
    </row>
    <row r="1497" spans="1:4" x14ac:dyDescent="0.2">
      <c r="A1497" s="5">
        <v>1436</v>
      </c>
      <c r="B1497" s="138">
        <f>'Expenditures 15-22'!K268</f>
        <v>5313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49383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59884</v>
      </c>
      <c r="C1510" s="2" t="s">
        <v>573</v>
      </c>
      <c r="D1510" s="2" t="str">
        <f t="shared" si="22"/>
        <v>Error?</v>
      </c>
    </row>
    <row r="1511" spans="1:4" x14ac:dyDescent="0.2">
      <c r="A1511" s="5">
        <v>1450</v>
      </c>
      <c r="B1511" s="138">
        <f>'Expenditures 15-22'!K280</f>
        <v>34</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89957</v>
      </c>
      <c r="C1517" s="2" t="s">
        <v>573</v>
      </c>
      <c r="D1517" s="2" t="str">
        <f t="shared" si="22"/>
        <v>Error?</v>
      </c>
    </row>
    <row r="1518" spans="1:4" x14ac:dyDescent="0.2">
      <c r="A1518" s="5">
        <v>1457</v>
      </c>
      <c r="B1518" s="138">
        <f>'Expenditures 15-22'!K296</f>
        <v>16761</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624797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1084347</v>
      </c>
      <c r="C1630" s="2" t="s">
        <v>573</v>
      </c>
      <c r="D1630" s="2" t="str">
        <f t="shared" si="24"/>
        <v>Error?</v>
      </c>
    </row>
    <row r="1631" spans="1:4" x14ac:dyDescent="0.2">
      <c r="A1631" s="5">
        <v>1570</v>
      </c>
      <c r="B1631" s="138">
        <f>'Acct Summary 7-8'!D79</f>
        <v>429328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933185</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307404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404435</v>
      </c>
      <c r="C1672" s="2" t="s">
        <v>573</v>
      </c>
      <c r="D1672" s="2" t="str">
        <f t="shared" si="25"/>
        <v>Error?</v>
      </c>
    </row>
    <row r="1673" spans="1:4" x14ac:dyDescent="0.2">
      <c r="A1673" s="5">
        <v>1612</v>
      </c>
      <c r="B1673" s="138">
        <f>'Acct Summary 7-8'!G79</f>
        <v>316504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333265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1438443</v>
      </c>
      <c r="C1744" s="2" t="s">
        <v>573</v>
      </c>
      <c r="D1744" s="2" t="str">
        <f t="shared" si="26"/>
        <v>Error?</v>
      </c>
    </row>
    <row r="1745" spans="1:5" x14ac:dyDescent="0.2">
      <c r="A1745" s="5">
        <v>1684</v>
      </c>
      <c r="B1745" s="138">
        <f>'Tax Sched 23'!B5</f>
        <v>282049</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112819</v>
      </c>
      <c r="C1747" s="2" t="s">
        <v>573</v>
      </c>
      <c r="D1747" s="2" t="str">
        <f t="shared" si="26"/>
        <v>Error?</v>
      </c>
    </row>
    <row r="1748" spans="1:5" x14ac:dyDescent="0.2">
      <c r="A1748" s="5">
        <v>1687</v>
      </c>
      <c r="B1748" s="138">
        <f>'Tax Sched 23'!B8</f>
        <v>29897</v>
      </c>
      <c r="C1748" s="2" t="s">
        <v>573</v>
      </c>
      <c r="D1748" s="2" t="str">
        <f t="shared" si="26"/>
        <v>Error?</v>
      </c>
    </row>
    <row r="1749" spans="1:5" x14ac:dyDescent="0.2">
      <c r="A1749" s="5">
        <v>1688</v>
      </c>
      <c r="B1749" s="138">
        <f>'Tax Sched 23'!B10</f>
        <v>28206</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218398</v>
      </c>
      <c r="C1752" s="2" t="s">
        <v>573</v>
      </c>
      <c r="D1752" s="2" t="str">
        <f t="shared" si="26"/>
        <v>Error?</v>
      </c>
    </row>
    <row r="1753" spans="1:5" x14ac:dyDescent="0.2">
      <c r="A1753" s="5">
        <v>1692</v>
      </c>
      <c r="B1753" s="138">
        <f>'Tax Sched 23'!B12</f>
        <v>28206</v>
      </c>
      <c r="C1753" s="2" t="s">
        <v>573</v>
      </c>
      <c r="D1753" s="2" t="str">
        <f t="shared" si="26"/>
        <v>Error?</v>
      </c>
    </row>
    <row r="1754" spans="1:5" x14ac:dyDescent="0.2">
      <c r="A1754" s="5">
        <v>1693</v>
      </c>
      <c r="B1754" s="138">
        <f>'Tax Sched 23'!B14</f>
        <v>22563</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2263529</v>
      </c>
      <c r="C1759" s="2" t="s">
        <v>573</v>
      </c>
      <c r="D1759" s="2" t="str">
        <f t="shared" si="26"/>
        <v>Error?</v>
      </c>
    </row>
    <row r="1760" spans="1:5" x14ac:dyDescent="0.2">
      <c r="A1760" s="5">
        <v>1699</v>
      </c>
      <c r="B1760" s="138">
        <f>'Tax Sched 23'!D4</f>
        <v>1438443</v>
      </c>
      <c r="C1760" s="2" t="s">
        <v>573</v>
      </c>
      <c r="D1760" s="2" t="str">
        <f t="shared" si="26"/>
        <v>Error?</v>
      </c>
    </row>
    <row r="1761" spans="1:5" x14ac:dyDescent="0.2">
      <c r="A1761" s="5">
        <v>1700</v>
      </c>
      <c r="B1761" s="138">
        <f>'Tax Sched 23'!D5</f>
        <v>282049</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112819</v>
      </c>
      <c r="C1763" s="2" t="s">
        <v>573</v>
      </c>
      <c r="D1763" s="2" t="str">
        <f t="shared" si="26"/>
        <v>Error?</v>
      </c>
    </row>
    <row r="1764" spans="1:5" x14ac:dyDescent="0.2">
      <c r="A1764" s="5">
        <v>1703</v>
      </c>
      <c r="B1764" s="138">
        <f>'Tax Sched 23'!D8</f>
        <v>29897</v>
      </c>
      <c r="C1764" s="2" t="s">
        <v>573</v>
      </c>
      <c r="D1764" s="2" t="str">
        <f t="shared" si="26"/>
        <v>Error?</v>
      </c>
    </row>
    <row r="1765" spans="1:5" x14ac:dyDescent="0.2">
      <c r="A1765" s="5">
        <v>1704</v>
      </c>
      <c r="B1765" s="138">
        <f>'Tax Sched 23'!D10</f>
        <v>28206</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218398</v>
      </c>
      <c r="C1768" s="2" t="s">
        <v>573</v>
      </c>
      <c r="D1768" s="2" t="str">
        <f t="shared" si="26"/>
        <v>Error?</v>
      </c>
    </row>
    <row r="1769" spans="1:5" x14ac:dyDescent="0.2">
      <c r="A1769" s="5">
        <v>1708</v>
      </c>
      <c r="B1769" s="138">
        <f>'Tax Sched 23'!D12</f>
        <v>28206</v>
      </c>
      <c r="C1769" s="2" t="s">
        <v>573</v>
      </c>
      <c r="D1769" s="2" t="str">
        <f t="shared" si="26"/>
        <v>Error?</v>
      </c>
    </row>
    <row r="1770" spans="1:5" x14ac:dyDescent="0.2">
      <c r="A1770" s="5">
        <v>1709</v>
      </c>
      <c r="B1770" s="138">
        <f>'Tax Sched 23'!D14</f>
        <v>22563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2263529</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1502288</v>
      </c>
      <c r="C1792" s="2" t="s">
        <v>573</v>
      </c>
      <c r="D1792" s="2" t="str">
        <f t="shared" si="27"/>
        <v>Error?</v>
      </c>
    </row>
    <row r="1793" spans="1:4" x14ac:dyDescent="0.2">
      <c r="A1793" s="5">
        <v>1732</v>
      </c>
      <c r="B1793" s="138">
        <f>'Tax Sched 23'!F5</f>
        <v>294566</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117826</v>
      </c>
      <c r="C1795" s="2" t="s">
        <v>573</v>
      </c>
      <c r="D1795" s="2" t="str">
        <f t="shared" si="27"/>
        <v>Error?</v>
      </c>
    </row>
    <row r="1796" spans="1:4" x14ac:dyDescent="0.2">
      <c r="A1796" s="5">
        <v>1735</v>
      </c>
      <c r="B1796" s="138">
        <f>'Tax Sched 23'!F8</f>
        <v>25439</v>
      </c>
      <c r="C1796" s="2" t="s">
        <v>573</v>
      </c>
      <c r="D1796" s="2" t="str">
        <f t="shared" si="27"/>
        <v>Error?</v>
      </c>
    </row>
    <row r="1797" spans="1:4" x14ac:dyDescent="0.2">
      <c r="A1797" s="5">
        <v>1736</v>
      </c>
      <c r="B1797" s="138">
        <f>'Tax Sched 23'!F10</f>
        <v>29457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196882</v>
      </c>
      <c r="C1800" s="2" t="s">
        <v>573</v>
      </c>
      <c r="D1800" s="2" t="str">
        <f t="shared" si="27"/>
        <v>Error?</v>
      </c>
    </row>
    <row r="1801" spans="1:4" x14ac:dyDescent="0.2">
      <c r="A1801" s="5">
        <v>1740</v>
      </c>
      <c r="B1801" s="138">
        <f>'Tax Sched 23'!F12</f>
        <v>29457</v>
      </c>
      <c r="C1801" s="2" t="s">
        <v>573</v>
      </c>
      <c r="D1801" s="2" t="str">
        <f t="shared" si="27"/>
        <v>Error?</v>
      </c>
    </row>
    <row r="1802" spans="1:4" x14ac:dyDescent="0.2">
      <c r="A1802" s="5">
        <v>1741</v>
      </c>
      <c r="B1802" s="138">
        <f>'Tax Sched 23'!F14</f>
        <v>23565</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2309989</v>
      </c>
      <c r="C1807" s="2" t="s">
        <v>573</v>
      </c>
      <c r="D1807" s="2" t="str">
        <f t="shared" si="27"/>
        <v>Error?</v>
      </c>
    </row>
    <row r="1808" spans="1:4" x14ac:dyDescent="0.2">
      <c r="A1808" s="5">
        <v>1747</v>
      </c>
      <c r="B1808" s="138">
        <f>'Tax Sched 23'!E4</f>
        <v>1502288</v>
      </c>
      <c r="D1808" s="2" t="str">
        <f t="shared" si="27"/>
        <v>Error?</v>
      </c>
    </row>
    <row r="1809" spans="1:4" x14ac:dyDescent="0.2">
      <c r="A1809" s="5">
        <v>1748</v>
      </c>
      <c r="B1809" s="138">
        <f>'Tax Sched 23'!E5</f>
        <v>294566</v>
      </c>
      <c r="D1809" s="2" t="str">
        <f t="shared" si="27"/>
        <v>Error?</v>
      </c>
    </row>
    <row r="1810" spans="1:4" x14ac:dyDescent="0.2">
      <c r="A1810" s="5">
        <v>1749</v>
      </c>
      <c r="B1810" s="138">
        <f>'Tax Sched 23'!E6</f>
        <v>0</v>
      </c>
      <c r="D1810" s="2" t="str">
        <f t="shared" si="27"/>
        <v>Error?</v>
      </c>
    </row>
    <row r="1811" spans="1:4" x14ac:dyDescent="0.2">
      <c r="A1811" s="5">
        <v>1750</v>
      </c>
      <c r="B1811" s="138">
        <f>'Tax Sched 23'!E7</f>
        <v>117826</v>
      </c>
      <c r="D1811" s="2" t="str">
        <f t="shared" si="27"/>
        <v>Error?</v>
      </c>
    </row>
    <row r="1812" spans="1:4" x14ac:dyDescent="0.2">
      <c r="A1812" s="5">
        <v>1751</v>
      </c>
      <c r="B1812" s="138">
        <f>'Tax Sched 23'!E8</f>
        <v>25439</v>
      </c>
      <c r="D1812" s="2" t="str">
        <f t="shared" si="27"/>
        <v>Error?</v>
      </c>
    </row>
    <row r="1813" spans="1:4" x14ac:dyDescent="0.2">
      <c r="A1813" s="5">
        <v>1752</v>
      </c>
      <c r="B1813" s="138">
        <f>'Tax Sched 23'!E10</f>
        <v>29457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196882</v>
      </c>
      <c r="D1816" s="2" t="str">
        <f t="shared" si="27"/>
        <v>Error?</v>
      </c>
    </row>
    <row r="1817" spans="1:4" x14ac:dyDescent="0.2">
      <c r="A1817" s="5">
        <v>1756</v>
      </c>
      <c r="B1817" s="138">
        <f>'Tax Sched 23'!E12</f>
        <v>29457</v>
      </c>
      <c r="D1817" s="2" t="str">
        <f t="shared" si="27"/>
        <v>Error?</v>
      </c>
    </row>
    <row r="1818" spans="1:4" x14ac:dyDescent="0.2">
      <c r="A1818" s="5">
        <v>1757</v>
      </c>
      <c r="B1818" s="138">
        <f>'Tax Sched 23'!E14</f>
        <v>23565</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2309989</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22563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22563</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22563</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29900</v>
      </c>
      <c r="D2008" s="2" t="str">
        <f t="shared" si="30"/>
        <v>Error?</v>
      </c>
    </row>
    <row r="2009" spans="1:4" x14ac:dyDescent="0.2">
      <c r="A2009" s="5">
        <v>1948</v>
      </c>
      <c r="B2009" s="138">
        <f>'Cap Outlay Deprec 26'!C8</f>
        <v>2331706</v>
      </c>
      <c r="D2009" s="2" t="str">
        <f t="shared" si="30"/>
        <v>Error?</v>
      </c>
    </row>
    <row r="2010" spans="1:4" x14ac:dyDescent="0.2">
      <c r="A2010" s="5">
        <v>1949</v>
      </c>
      <c r="B2010" s="138">
        <f>'Cap Outlay Deprec 26'!C10</f>
        <v>153192</v>
      </c>
      <c r="D2010" s="2" t="str">
        <f t="shared" si="30"/>
        <v>Error?</v>
      </c>
    </row>
    <row r="2011" spans="1:4" x14ac:dyDescent="0.2">
      <c r="A2011" s="5">
        <v>1950</v>
      </c>
      <c r="B2011" s="138">
        <f>'Cap Outlay Deprec 26'!C12</f>
        <v>247522</v>
      </c>
      <c r="D2011" s="2" t="str">
        <f t="shared" si="30"/>
        <v>Error?</v>
      </c>
    </row>
    <row r="2012" spans="1:4" x14ac:dyDescent="0.2">
      <c r="A2012" s="5">
        <v>1951</v>
      </c>
      <c r="B2012" s="138">
        <f>'Cap Outlay Deprec 26'!C13</f>
        <v>436057</v>
      </c>
      <c r="D2012" s="2" t="str">
        <f t="shared" si="30"/>
        <v>Error?</v>
      </c>
    </row>
    <row r="2013" spans="1:4" x14ac:dyDescent="0.2">
      <c r="A2013" s="5">
        <v>1952</v>
      </c>
      <c r="B2013" s="138">
        <f>'Cap Outlay Deprec 26'!C16</f>
        <v>3198377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65036</v>
      </c>
      <c r="D2015" s="2" t="str">
        <f t="shared" si="30"/>
        <v>Error?</v>
      </c>
    </row>
    <row r="2016" spans="1:4" x14ac:dyDescent="0.2">
      <c r="A2016" s="5">
        <v>1955</v>
      </c>
      <c r="B2016" s="138">
        <f>'Cap Outlay Deprec 26'!D10</f>
        <v>23975</v>
      </c>
      <c r="D2016" s="2" t="str">
        <f t="shared" si="30"/>
        <v>Error?</v>
      </c>
    </row>
    <row r="2017" spans="1:4" x14ac:dyDescent="0.2">
      <c r="A2017" s="5">
        <v>1956</v>
      </c>
      <c r="B2017" s="138">
        <f>'Cap Outlay Deprec 26'!D12</f>
        <v>97633</v>
      </c>
      <c r="D2017" s="2" t="str">
        <f t="shared" si="30"/>
        <v>Error?</v>
      </c>
    </row>
    <row r="2018" spans="1:4" x14ac:dyDescent="0.2">
      <c r="A2018" s="5">
        <v>1957</v>
      </c>
      <c r="B2018" s="138">
        <f>'Cap Outlay Deprec 26'!D13</f>
        <v>85656</v>
      </c>
      <c r="D2018" s="2" t="str">
        <f t="shared" si="30"/>
        <v>Error?</v>
      </c>
    </row>
    <row r="2019" spans="1:4" x14ac:dyDescent="0.2">
      <c r="A2019" s="5">
        <v>1958</v>
      </c>
      <c r="B2019" s="138">
        <f>'Cap Outlay Deprec 26'!D16</f>
        <v>272300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12546</v>
      </c>
      <c r="D2023" s="2" t="str">
        <f t="shared" si="30"/>
        <v>Error?</v>
      </c>
    </row>
    <row r="2024" spans="1:4" x14ac:dyDescent="0.2">
      <c r="A2024" s="5">
        <v>1963</v>
      </c>
      <c r="B2024" s="138">
        <f>'Cap Outlay Deprec 26'!E13</f>
        <v>87793</v>
      </c>
      <c r="D2024" s="2" t="str">
        <f t="shared" si="30"/>
        <v>Error?</v>
      </c>
    </row>
    <row r="2025" spans="1:4" x14ac:dyDescent="0.2">
      <c r="A2025" s="5">
        <v>1964</v>
      </c>
      <c r="B2025" s="138">
        <f>'Cap Outlay Deprec 26'!E16</f>
        <v>100339</v>
      </c>
      <c r="C2025" s="2" t="s">
        <v>573</v>
      </c>
      <c r="D2025" s="2" t="str">
        <f t="shared" si="30"/>
        <v>Error?</v>
      </c>
    </row>
    <row r="2026" spans="1:4" x14ac:dyDescent="0.2">
      <c r="A2026" s="5">
        <v>1965</v>
      </c>
      <c r="B2026" s="138">
        <f>'Cap Outlay Deprec 26'!F5</f>
        <v>29900</v>
      </c>
      <c r="C2026" s="2" t="s">
        <v>573</v>
      </c>
      <c r="D2026" s="2" t="str">
        <f t="shared" si="30"/>
        <v>Error?</v>
      </c>
    </row>
    <row r="2027" spans="1:4" x14ac:dyDescent="0.2">
      <c r="A2027" s="5">
        <v>1966</v>
      </c>
      <c r="B2027" s="138">
        <f>'Cap Outlay Deprec 26'!F8</f>
        <v>2396742</v>
      </c>
      <c r="C2027" s="2" t="s">
        <v>573</v>
      </c>
      <c r="D2027" s="2" t="str">
        <f t="shared" si="30"/>
        <v>Error?</v>
      </c>
    </row>
    <row r="2028" spans="1:4" x14ac:dyDescent="0.2">
      <c r="A2028" s="5">
        <v>1967</v>
      </c>
      <c r="B2028" s="138">
        <f>'Cap Outlay Deprec 26'!F10</f>
        <v>177167</v>
      </c>
      <c r="C2028" s="2" t="s">
        <v>573</v>
      </c>
      <c r="D2028" s="2" t="str">
        <f t="shared" si="30"/>
        <v>Error?</v>
      </c>
    </row>
    <row r="2029" spans="1:4" x14ac:dyDescent="0.2">
      <c r="A2029" s="5">
        <v>1968</v>
      </c>
      <c r="B2029" s="138">
        <f>'Cap Outlay Deprec 26'!F12</f>
        <v>332609</v>
      </c>
      <c r="C2029" s="2" t="s">
        <v>573</v>
      </c>
      <c r="D2029" s="2" t="str">
        <f t="shared" si="30"/>
        <v>Error?</v>
      </c>
    </row>
    <row r="2030" spans="1:4" x14ac:dyDescent="0.2">
      <c r="A2030" s="5">
        <v>1969</v>
      </c>
      <c r="B2030" s="138">
        <f>'Cap Outlay Deprec 26'!F13</f>
        <v>433920</v>
      </c>
      <c r="C2030" s="2" t="s">
        <v>573</v>
      </c>
      <c r="D2030" s="2" t="str">
        <f t="shared" si="30"/>
        <v>Error?</v>
      </c>
    </row>
    <row r="2031" spans="1:4" x14ac:dyDescent="0.2">
      <c r="A2031" s="5">
        <v>1970</v>
      </c>
      <c r="B2031" s="138">
        <f>'Cap Outlay Deprec 26'!F16</f>
        <v>3370338</v>
      </c>
      <c r="C2031" s="2" t="s">
        <v>573</v>
      </c>
      <c r="D2031" s="2" t="str">
        <f t="shared" si="30"/>
        <v>Error?</v>
      </c>
    </row>
    <row r="2032" spans="1:4" x14ac:dyDescent="0.2">
      <c r="A2032" s="10">
        <v>1971</v>
      </c>
      <c r="D2032" s="2" t="str">
        <f t="shared" si="30"/>
        <v>OK</v>
      </c>
    </row>
    <row r="2033" spans="1:4" x14ac:dyDescent="0.2">
      <c r="A2033" s="5">
        <v>1972</v>
      </c>
      <c r="B2033" s="138">
        <f>'Cap Outlay Deprec 26'!H8</f>
        <v>1408220</v>
      </c>
      <c r="D2033" s="2" t="str">
        <f t="shared" si="30"/>
        <v>Error?</v>
      </c>
    </row>
    <row r="2034" spans="1:4" x14ac:dyDescent="0.2">
      <c r="A2034" s="5">
        <v>1973</v>
      </c>
      <c r="B2034" s="138">
        <f>'Cap Outlay Deprec 26'!H10</f>
        <v>112269</v>
      </c>
      <c r="D2034" s="2" t="str">
        <f t="shared" si="30"/>
        <v>Error?</v>
      </c>
    </row>
    <row r="2035" spans="1:4" x14ac:dyDescent="0.2">
      <c r="A2035" s="5">
        <v>1974</v>
      </c>
      <c r="B2035" s="138">
        <f>'Cap Outlay Deprec 26'!H12</f>
        <v>74043</v>
      </c>
      <c r="D2035" s="2" t="str">
        <f t="shared" si="30"/>
        <v>Error?</v>
      </c>
    </row>
    <row r="2036" spans="1:4" x14ac:dyDescent="0.2">
      <c r="A2036" s="5">
        <v>1975</v>
      </c>
      <c r="B2036" s="138">
        <f>'Cap Outlay Deprec 26'!H13</f>
        <v>124950</v>
      </c>
      <c r="D2036" s="2" t="str">
        <f t="shared" si="30"/>
        <v>Error?</v>
      </c>
    </row>
    <row r="2037" spans="1:4" x14ac:dyDescent="0.2">
      <c r="A2037" s="5">
        <v>1976</v>
      </c>
      <c r="B2037" s="138">
        <f>'Cap Outlay Deprec 26'!H16</f>
        <v>1719482</v>
      </c>
      <c r="C2037" s="2" t="s">
        <v>573</v>
      </c>
      <c r="D2037" s="2" t="str">
        <f t="shared" si="30"/>
        <v>Error?</v>
      </c>
    </row>
    <row r="2038" spans="1:4" x14ac:dyDescent="0.2">
      <c r="A2038" s="10">
        <v>1977</v>
      </c>
      <c r="D2038" s="2" t="str">
        <f t="shared" si="30"/>
        <v>OK</v>
      </c>
    </row>
    <row r="2039" spans="1:4" x14ac:dyDescent="0.2">
      <c r="A2039" s="5">
        <v>1978</v>
      </c>
      <c r="B2039" s="138">
        <f>'Cap Outlay Deprec 26'!I8</f>
        <v>34627</v>
      </c>
      <c r="D2039" s="2" t="str">
        <f t="shared" si="30"/>
        <v>Error?</v>
      </c>
    </row>
    <row r="2040" spans="1:4" x14ac:dyDescent="0.2">
      <c r="A2040" s="5">
        <v>1979</v>
      </c>
      <c r="B2040" s="138">
        <f>'Cap Outlay Deprec 26'!I10</f>
        <v>7593</v>
      </c>
      <c r="D2040" s="2" t="str">
        <f t="shared" si="30"/>
        <v>Error?</v>
      </c>
    </row>
    <row r="2041" spans="1:4" x14ac:dyDescent="0.2">
      <c r="A2041" s="5">
        <v>1980</v>
      </c>
      <c r="B2041" s="138">
        <f>'Cap Outlay Deprec 26'!I12</f>
        <v>28168</v>
      </c>
      <c r="D2041" s="2" t="str">
        <f t="shared" si="30"/>
        <v>Error?</v>
      </c>
    </row>
    <row r="2042" spans="1:4" x14ac:dyDescent="0.2">
      <c r="A2042" s="5">
        <v>1981</v>
      </c>
      <c r="B2042" s="138">
        <f>'Cap Outlay Deprec 26'!I13</f>
        <v>79059</v>
      </c>
      <c r="D2042" s="2" t="str">
        <f t="shared" si="30"/>
        <v>Error?</v>
      </c>
    </row>
    <row r="2043" spans="1:4" x14ac:dyDescent="0.2">
      <c r="A2043" s="5">
        <v>1982</v>
      </c>
      <c r="B2043" s="138">
        <f>'Cap Outlay Deprec 26'!I16</f>
        <v>149447</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47501</v>
      </c>
      <c r="D2048" s="2" t="str">
        <f t="shared" si="31"/>
        <v>Error?</v>
      </c>
    </row>
    <row r="2049" spans="1:4" x14ac:dyDescent="0.2">
      <c r="A2049" s="5">
        <v>1988</v>
      </c>
      <c r="B2049" s="138">
        <f>'Cap Outlay Deprec 26'!J16</f>
        <v>47501</v>
      </c>
      <c r="C2049" s="2" t="s">
        <v>573</v>
      </c>
      <c r="D2049" s="2" t="str">
        <f t="shared" si="31"/>
        <v>Error?</v>
      </c>
    </row>
    <row r="2050" spans="1:4" x14ac:dyDescent="0.2">
      <c r="A2050" s="10">
        <v>1989</v>
      </c>
      <c r="D2050" s="2" t="str">
        <f t="shared" si="31"/>
        <v>OK</v>
      </c>
    </row>
    <row r="2051" spans="1:4" x14ac:dyDescent="0.2">
      <c r="A2051" s="5">
        <v>1990</v>
      </c>
      <c r="B2051" s="138">
        <f>'Cap Outlay Deprec 26'!K8</f>
        <v>1442847</v>
      </c>
      <c r="C2051" s="2" t="s">
        <v>573</v>
      </c>
      <c r="D2051" s="2" t="str">
        <f t="shared" si="31"/>
        <v>Error?</v>
      </c>
    </row>
    <row r="2052" spans="1:4" x14ac:dyDescent="0.2">
      <c r="A2052" s="5">
        <v>1991</v>
      </c>
      <c r="B2052" s="138">
        <f>'Cap Outlay Deprec 26'!K10</f>
        <v>119862</v>
      </c>
      <c r="C2052" s="2" t="s">
        <v>573</v>
      </c>
      <c r="D2052" s="2" t="str">
        <f t="shared" si="31"/>
        <v>Error?</v>
      </c>
    </row>
    <row r="2053" spans="1:4" x14ac:dyDescent="0.2">
      <c r="A2053" s="5">
        <v>1992</v>
      </c>
      <c r="B2053" s="138">
        <f>'Cap Outlay Deprec 26'!K12</f>
        <v>102211</v>
      </c>
      <c r="C2053" s="2" t="s">
        <v>573</v>
      </c>
      <c r="D2053" s="2" t="str">
        <f t="shared" si="31"/>
        <v>Error?</v>
      </c>
    </row>
    <row r="2054" spans="1:4" x14ac:dyDescent="0.2">
      <c r="A2054" s="5">
        <v>1993</v>
      </c>
      <c r="B2054" s="138">
        <f>'Cap Outlay Deprec 26'!K13</f>
        <v>156508</v>
      </c>
      <c r="C2054" s="2" t="s">
        <v>573</v>
      </c>
      <c r="D2054" s="2" t="str">
        <f t="shared" si="31"/>
        <v>Error?</v>
      </c>
    </row>
    <row r="2055" spans="1:4" x14ac:dyDescent="0.2">
      <c r="A2055" s="5">
        <v>1994</v>
      </c>
      <c r="B2055" s="138">
        <f>'Cap Outlay Deprec 26'!K16</f>
        <v>1821428</v>
      </c>
      <c r="C2055" s="2" t="s">
        <v>573</v>
      </c>
      <c r="D2055" s="2" t="str">
        <f t="shared" si="31"/>
        <v>Error?</v>
      </c>
    </row>
    <row r="2056" spans="1:4" x14ac:dyDescent="0.2">
      <c r="A2056" s="5">
        <v>1995</v>
      </c>
      <c r="B2056" s="138">
        <f>'Cap Outlay Deprec 26'!L5</f>
        <v>29900</v>
      </c>
      <c r="C2056" s="2" t="s">
        <v>573</v>
      </c>
      <c r="D2056" s="2" t="str">
        <f t="shared" si="31"/>
        <v>Error?</v>
      </c>
    </row>
    <row r="2057" spans="1:4" x14ac:dyDescent="0.2">
      <c r="A2057" s="5">
        <v>1996</v>
      </c>
      <c r="B2057" s="138">
        <f>'Cap Outlay Deprec 26'!L8</f>
        <v>953895</v>
      </c>
      <c r="C2057" s="2" t="s">
        <v>573</v>
      </c>
      <c r="D2057" s="2" t="str">
        <f t="shared" si="31"/>
        <v>Error?</v>
      </c>
    </row>
    <row r="2058" spans="1:4" x14ac:dyDescent="0.2">
      <c r="A2058" s="5">
        <v>1997</v>
      </c>
      <c r="B2058" s="138">
        <f>'Cap Outlay Deprec 26'!L10</f>
        <v>57305</v>
      </c>
      <c r="C2058" s="2" t="s">
        <v>573</v>
      </c>
      <c r="D2058" s="2" t="str">
        <f t="shared" si="31"/>
        <v>Error?</v>
      </c>
    </row>
    <row r="2059" spans="1:4" x14ac:dyDescent="0.2">
      <c r="A2059" s="5">
        <v>1998</v>
      </c>
      <c r="B2059" s="138">
        <f>'Cap Outlay Deprec 26'!L12</f>
        <v>230398</v>
      </c>
      <c r="C2059" s="2" t="s">
        <v>573</v>
      </c>
      <c r="D2059" s="2" t="str">
        <f t="shared" si="31"/>
        <v>Error?</v>
      </c>
    </row>
    <row r="2060" spans="1:4" x14ac:dyDescent="0.2">
      <c r="A2060" s="5">
        <v>1999</v>
      </c>
      <c r="B2060" s="138">
        <f>'Cap Outlay Deprec 26'!L13</f>
        <v>277412</v>
      </c>
      <c r="C2060" s="2" t="s">
        <v>573</v>
      </c>
      <c r="D2060" s="2" t="str">
        <f t="shared" si="31"/>
        <v>Error?</v>
      </c>
    </row>
    <row r="2061" spans="1:4" x14ac:dyDescent="0.2">
      <c r="A2061" s="5">
        <v>2000</v>
      </c>
      <c r="B2061" s="138">
        <f>'Cap Outlay Deprec 26'!L16</f>
        <v>1548910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524343</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333265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2243091</v>
      </c>
      <c r="C2551" s="2" t="s">
        <v>573</v>
      </c>
      <c r="D2551" s="2" t="str">
        <f t="shared" si="38"/>
        <v>Error?</v>
      </c>
    </row>
    <row r="2552" spans="1:4" x14ac:dyDescent="0.2">
      <c r="A2552" s="10">
        <v>2491</v>
      </c>
      <c r="D2552" s="2" t="str">
        <f t="shared" si="38"/>
        <v>OK</v>
      </c>
    </row>
    <row r="2553" spans="1:4" x14ac:dyDescent="0.2">
      <c r="A2553" s="5">
        <v>2492</v>
      </c>
      <c r="B2553" s="138">
        <f>'Acct Summary 7-8'!C6</f>
        <v>467545</v>
      </c>
      <c r="C2553" s="2" t="s">
        <v>573</v>
      </c>
      <c r="D2553" s="2" t="str">
        <f t="shared" si="38"/>
        <v>Error?</v>
      </c>
    </row>
    <row r="2554" spans="1:4" x14ac:dyDescent="0.2">
      <c r="A2554" s="5">
        <v>2493</v>
      </c>
      <c r="B2554" s="138">
        <f>'Acct Summary 7-8'!C7</f>
        <v>175202</v>
      </c>
      <c r="C2554" s="2" t="s">
        <v>573</v>
      </c>
      <c r="D2554" s="2" t="str">
        <f t="shared" si="38"/>
        <v>Error?</v>
      </c>
    </row>
    <row r="2555" spans="1:4" x14ac:dyDescent="0.2">
      <c r="A2555" s="5">
        <v>2494</v>
      </c>
      <c r="B2555" s="138">
        <f>'Acct Summary 7-8'!C8</f>
        <v>2885838</v>
      </c>
      <c r="C2555" s="2" t="s">
        <v>573</v>
      </c>
      <c r="D2555" s="2" t="str">
        <f t="shared" si="38"/>
        <v>Error?</v>
      </c>
    </row>
    <row r="2556" spans="1:4" x14ac:dyDescent="0.2">
      <c r="A2556" s="5">
        <v>2495</v>
      </c>
      <c r="B2556" s="138">
        <f>'Acct Summary 7-8'!C12</f>
        <v>1366375</v>
      </c>
      <c r="C2556" s="2" t="s">
        <v>573</v>
      </c>
      <c r="D2556" s="2" t="str">
        <f t="shared" si="38"/>
        <v>Error?</v>
      </c>
    </row>
    <row r="2557" spans="1:4" x14ac:dyDescent="0.2">
      <c r="A2557" s="5">
        <v>2496</v>
      </c>
      <c r="B2557" s="138">
        <f>'Acct Summary 7-8'!C13</f>
        <v>737464</v>
      </c>
      <c r="C2557" s="2" t="s">
        <v>573</v>
      </c>
      <c r="D2557" s="2" t="str">
        <f t="shared" si="38"/>
        <v>Error?</v>
      </c>
    </row>
    <row r="2558" spans="1:4" x14ac:dyDescent="0.2">
      <c r="A2558" s="5">
        <v>2497</v>
      </c>
      <c r="B2558" s="138">
        <f>'Acct Summary 7-8'!C14</f>
        <v>3106</v>
      </c>
      <c r="C2558" s="2" t="s">
        <v>573</v>
      </c>
      <c r="D2558" s="2" t="str">
        <f t="shared" si="38"/>
        <v>Error?</v>
      </c>
    </row>
    <row r="2559" spans="1:4" x14ac:dyDescent="0.2">
      <c r="A2559" s="5">
        <v>2498</v>
      </c>
      <c r="B2559" s="138">
        <f>'Acct Summary 7-8'!C15</f>
        <v>524343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2631288</v>
      </c>
      <c r="C2561" s="2" t="s">
        <v>573</v>
      </c>
      <c r="D2561" s="2" t="str">
        <f t="shared" si="39"/>
        <v>Error?</v>
      </c>
    </row>
    <row r="2562" spans="1:4" x14ac:dyDescent="0.2">
      <c r="A2562" s="5">
        <v>2501</v>
      </c>
      <c r="B2562" s="138">
        <f>'Acct Summary 7-8'!C20</f>
        <v>254550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289449</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289449</v>
      </c>
      <c r="C2568" s="2" t="s">
        <v>573</v>
      </c>
      <c r="D2568" s="2" t="str">
        <f t="shared" si="39"/>
        <v>Error?</v>
      </c>
    </row>
    <row r="2569" spans="1:4" x14ac:dyDescent="0.2">
      <c r="A2569" s="5">
        <v>2508</v>
      </c>
      <c r="B2569" s="138">
        <f>'Acct Summary 7-8'!D13</f>
        <v>285592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285592</v>
      </c>
      <c r="C2573" s="2" t="s">
        <v>573</v>
      </c>
      <c r="D2573" s="2" t="str">
        <f t="shared" si="39"/>
        <v>Error?</v>
      </c>
    </row>
    <row r="2574" spans="1:4" x14ac:dyDescent="0.2">
      <c r="A2574" s="5">
        <v>2513</v>
      </c>
      <c r="B2574" s="138">
        <f>'Acct Summary 7-8'!D20</f>
        <v>3857</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114990</v>
      </c>
      <c r="C2591" s="2" t="s">
        <v>573</v>
      </c>
      <c r="D2591" s="2" t="str">
        <f t="shared" si="39"/>
        <v>Error?</v>
      </c>
    </row>
    <row r="2592" spans="1:4" x14ac:dyDescent="0.2">
      <c r="A2592" s="10">
        <v>2531</v>
      </c>
      <c r="D2592" s="2" t="str">
        <f t="shared" si="39"/>
        <v>OK</v>
      </c>
    </row>
    <row r="2593" spans="1:4" x14ac:dyDescent="0.2">
      <c r="A2593" s="5">
        <v>2532</v>
      </c>
      <c r="B2593" s="138">
        <f>'Acct Summary 7-8'!F6</f>
        <v>227086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342076</v>
      </c>
      <c r="C2595" s="2" t="s">
        <v>573</v>
      </c>
      <c r="D2595" s="2" t="str">
        <f t="shared" si="39"/>
        <v>Error?</v>
      </c>
    </row>
    <row r="2596" spans="1:4" x14ac:dyDescent="0.2">
      <c r="A2596" s="5">
        <v>2535</v>
      </c>
      <c r="B2596" s="138">
        <f>'Acct Summary 7-8'!F13</f>
        <v>164244</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80801</v>
      </c>
      <c r="C2599" s="2" t="s">
        <v>573</v>
      </c>
      <c r="D2599" s="2" t="str">
        <f t="shared" si="39"/>
        <v>Error?</v>
      </c>
    </row>
    <row r="2600" spans="1:4" x14ac:dyDescent="0.2">
      <c r="A2600" s="5">
        <v>2539</v>
      </c>
      <c r="B2600" s="138">
        <f>'Acct Summary 7-8'!F17</f>
        <v>245045</v>
      </c>
      <c r="C2600" s="2" t="s">
        <v>573</v>
      </c>
      <c r="D2600" s="2" t="str">
        <f t="shared" si="39"/>
        <v>Error?</v>
      </c>
    </row>
    <row r="2601" spans="1:4" x14ac:dyDescent="0.2">
      <c r="A2601" s="5">
        <v>2540</v>
      </c>
      <c r="B2601" s="138">
        <f>'Acct Summary 7-8'!F20</f>
        <v>97031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106718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106718</v>
      </c>
      <c r="C2606" s="2" t="s">
        <v>573</v>
      </c>
      <c r="D2606" s="2" t="str">
        <f t="shared" si="39"/>
        <v>Error?</v>
      </c>
    </row>
    <row r="2607" spans="1:4" x14ac:dyDescent="0.2">
      <c r="A2607" s="5">
        <v>2546</v>
      </c>
      <c r="B2607" s="138">
        <f>'Acct Summary 7-8'!G12</f>
        <v>30039</v>
      </c>
      <c r="C2607" s="2" t="s">
        <v>573</v>
      </c>
      <c r="D2607" s="2" t="str">
        <f t="shared" si="39"/>
        <v>Error?</v>
      </c>
    </row>
    <row r="2608" spans="1:4" x14ac:dyDescent="0.2">
      <c r="A2608" s="5">
        <v>2547</v>
      </c>
      <c r="B2608" s="138">
        <f>'Acct Summary 7-8'!G13</f>
        <v>59884</v>
      </c>
      <c r="C2608" s="2" t="s">
        <v>573</v>
      </c>
      <c r="D2608" s="2" t="str">
        <f t="shared" si="39"/>
        <v>Error?</v>
      </c>
    </row>
    <row r="2609" spans="1:4" x14ac:dyDescent="0.2">
      <c r="A2609" s="5">
        <v>2548</v>
      </c>
      <c r="B2609" s="138">
        <f>'Acct Summary 7-8'!G14</f>
        <v>34</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89957</v>
      </c>
      <c r="C2612" s="2" t="s">
        <v>573</v>
      </c>
      <c r="D2612" s="2" t="str">
        <f t="shared" si="39"/>
        <v>Error?</v>
      </c>
    </row>
    <row r="2613" spans="1:4" x14ac:dyDescent="0.2">
      <c r="A2613" s="5">
        <v>2552</v>
      </c>
      <c r="B2613" s="138">
        <f>'Acct Summary 7-8'!G20</f>
        <v>16761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524343</v>
      </c>
      <c r="C2789" s="2" t="s">
        <v>573</v>
      </c>
      <c r="D2789" s="2" t="str">
        <f t="shared" si="42"/>
        <v>Error?</v>
      </c>
    </row>
    <row r="2790" spans="1:4" x14ac:dyDescent="0.2">
      <c r="A2790" s="5">
        <v>2729</v>
      </c>
      <c r="B2790" s="138">
        <f>'Expenditures 15-22'!E102</f>
        <v>524343</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247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39151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247</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247</v>
      </c>
      <c r="C2913" s="2" t="s">
        <v>573</v>
      </c>
      <c r="D2913" s="2" t="str">
        <f t="shared" si="44"/>
        <v>Error?</v>
      </c>
    </row>
    <row r="2914" spans="1:4" x14ac:dyDescent="0.2">
      <c r="A2914" s="5">
        <v>2853</v>
      </c>
      <c r="B2914" s="138">
        <f>'Assets-Liab 5-6'!L33</f>
        <v>39151</v>
      </c>
      <c r="D2914" s="2" t="str">
        <f t="shared" si="44"/>
        <v>Error?</v>
      </c>
    </row>
    <row r="2915" spans="1:4" x14ac:dyDescent="0.2">
      <c r="A2915" s="10">
        <v>2854</v>
      </c>
      <c r="D2915" s="2" t="str">
        <f t="shared" si="44"/>
        <v>OK</v>
      </c>
    </row>
    <row r="2916" spans="1:4" x14ac:dyDescent="0.2">
      <c r="A2916" s="5">
        <v>2855</v>
      </c>
      <c r="B2916" s="138">
        <f>'Assets-Liab 5-6'!L34</f>
        <v>39151</v>
      </c>
      <c r="C2916" s="2" t="s">
        <v>573</v>
      </c>
      <c r="D2916" s="2" t="str">
        <f t="shared" si="44"/>
        <v>Error?</v>
      </c>
    </row>
    <row r="2917" spans="1:4" x14ac:dyDescent="0.2">
      <c r="A2917" s="5">
        <v>2856</v>
      </c>
      <c r="B2917" s="138">
        <f>'Assets-Liab 5-6'!L41</f>
        <v>39151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524343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524343</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40716</v>
      </c>
      <c r="D3055" s="2" t="str">
        <f t="shared" si="46"/>
        <v>Error?</v>
      </c>
    </row>
    <row r="3056" spans="1:4" x14ac:dyDescent="0.2">
      <c r="A3056" s="5">
        <v>2995</v>
      </c>
      <c r="B3056" s="138">
        <f>'Expenditures 15-22'!D10</f>
        <v>12634</v>
      </c>
      <c r="D3056" s="2" t="str">
        <f t="shared" si="46"/>
        <v>Error?</v>
      </c>
    </row>
    <row r="3057" spans="1:4" x14ac:dyDescent="0.2">
      <c r="A3057" s="5">
        <v>2996</v>
      </c>
      <c r="B3057" s="138">
        <f>'Expenditures 15-22'!E10</f>
        <v>4758</v>
      </c>
      <c r="D3057" s="2" t="str">
        <f t="shared" si="46"/>
        <v>Error?</v>
      </c>
    </row>
    <row r="3058" spans="1:4" x14ac:dyDescent="0.2">
      <c r="A3058" s="5">
        <v>2997</v>
      </c>
      <c r="B3058" s="138">
        <f>'Expenditures 15-22'!F10</f>
        <v>374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58482</v>
      </c>
      <c r="C3062" s="2" t="s">
        <v>573</v>
      </c>
      <c r="D3062" s="2" t="str">
        <f t="shared" si="46"/>
        <v>Error?</v>
      </c>
    </row>
    <row r="3063" spans="1:4" x14ac:dyDescent="0.2">
      <c r="A3063" s="10">
        <v>3002</v>
      </c>
      <c r="D3063" s="2" t="str">
        <f t="shared" si="46"/>
        <v>OK</v>
      </c>
    </row>
    <row r="3064" spans="1:4" x14ac:dyDescent="0.2">
      <c r="A3064" s="5">
        <v>3003</v>
      </c>
      <c r="B3064" s="138">
        <f>'Expenditures 15-22'!D219</f>
        <v>578</v>
      </c>
      <c r="D3064" s="2" t="str">
        <f t="shared" si="46"/>
        <v>Error?</v>
      </c>
    </row>
    <row r="3065" spans="1:4" x14ac:dyDescent="0.2">
      <c r="A3065" s="5">
        <v>3004</v>
      </c>
      <c r="B3065" s="138">
        <f>'Expenditures 15-22'!K219</f>
        <v>578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28866</v>
      </c>
      <c r="C3225" s="2" t="s">
        <v>573</v>
      </c>
      <c r="D3225" s="2" t="str">
        <f t="shared" si="49"/>
        <v>Error?</v>
      </c>
    </row>
    <row r="3226" spans="1:4" x14ac:dyDescent="0.2">
      <c r="A3226" s="5">
        <v>3165</v>
      </c>
      <c r="B3226" s="138">
        <f>'Acct Summary 7-8'!I8</f>
        <v>28866</v>
      </c>
      <c r="C3226" s="2" t="s">
        <v>573</v>
      </c>
      <c r="D3226" s="2" t="str">
        <f t="shared" si="49"/>
        <v>Error?</v>
      </c>
    </row>
    <row r="3227" spans="1:4" x14ac:dyDescent="0.2">
      <c r="A3227" s="5">
        <v>3166</v>
      </c>
      <c r="B3227" s="138">
        <f>'Acct Summary 7-8'!I20</f>
        <v>28866</v>
      </c>
      <c r="C3227" s="2" t="s">
        <v>573</v>
      </c>
      <c r="D3227" s="2" t="str">
        <f t="shared" si="49"/>
        <v>Error?</v>
      </c>
    </row>
    <row r="3228" spans="1:4" x14ac:dyDescent="0.2">
      <c r="A3228" s="5">
        <v>3167</v>
      </c>
      <c r="B3228" s="138">
        <f>'Acct Summary 7-8'!C43</f>
        <v>205000</v>
      </c>
      <c r="D3228" s="2" t="str">
        <f t="shared" si="49"/>
        <v>Error?</v>
      </c>
    </row>
    <row r="3229" spans="1:4" x14ac:dyDescent="0.2">
      <c r="A3229" s="5">
        <v>3168</v>
      </c>
      <c r="B3229" s="138">
        <f>'Acct Summary 7-8'!C44</f>
        <v>205000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205000</v>
      </c>
      <c r="C3232" s="2" t="s">
        <v>573</v>
      </c>
      <c r="D3232" s="2" t="str">
        <f t="shared" si="49"/>
        <v>Error?</v>
      </c>
    </row>
    <row r="3233" spans="1:4" x14ac:dyDescent="0.2">
      <c r="A3233" s="5">
        <v>3172</v>
      </c>
      <c r="B3233" s="138">
        <f>'Acct Summary 7-8'!C78</f>
        <v>459550</v>
      </c>
      <c r="C3233" s="2" t="s">
        <v>573</v>
      </c>
      <c r="D3233" s="2" t="str">
        <f t="shared" si="49"/>
        <v>Error?</v>
      </c>
    </row>
    <row r="3234" spans="1:4" x14ac:dyDescent="0.2">
      <c r="A3234" s="5">
        <v>3173</v>
      </c>
      <c r="B3234" s="138">
        <f>'Acct Summary 7-8'!D43</f>
        <v>500000</v>
      </c>
      <c r="D3234" s="2" t="str">
        <f t="shared" si="49"/>
        <v>Error?</v>
      </c>
    </row>
    <row r="3235" spans="1:4" x14ac:dyDescent="0.2">
      <c r="A3235" s="5">
        <v>3174</v>
      </c>
      <c r="B3235" s="138">
        <f>'Acct Summary 7-8'!D44</f>
        <v>500000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500000</v>
      </c>
      <c r="C3238" s="2" t="s">
        <v>573</v>
      </c>
      <c r="D3238" s="2" t="str">
        <f t="shared" si="49"/>
        <v>Error?</v>
      </c>
    </row>
    <row r="3239" spans="1:4" x14ac:dyDescent="0.2">
      <c r="A3239" s="5">
        <v>3178</v>
      </c>
      <c r="B3239" s="138">
        <f>'Acct Summary 7-8'!D78</f>
        <v>503857</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97031</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16761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205000</v>
      </c>
      <c r="C3318" s="2" t="s">
        <v>573</v>
      </c>
      <c r="D3318" s="2" t="str">
        <f t="shared" si="50"/>
        <v>Error?</v>
      </c>
    </row>
    <row r="3319" spans="1:4" x14ac:dyDescent="0.2">
      <c r="A3319" s="5">
        <v>3258</v>
      </c>
      <c r="B3319" s="138">
        <f>'Acct Summary 7-8'!I77</f>
        <v>-205000</v>
      </c>
      <c r="C3319" s="2" t="s">
        <v>573</v>
      </c>
      <c r="D3319" s="2" t="str">
        <f t="shared" si="50"/>
        <v>Error?</v>
      </c>
    </row>
    <row r="3320" spans="1:4" x14ac:dyDescent="0.2">
      <c r="A3320" s="5">
        <v>3259</v>
      </c>
      <c r="B3320" s="138">
        <f>'Acct Summary 7-8'!I78</f>
        <v>-176134</v>
      </c>
      <c r="C3320" s="2" t="s">
        <v>573</v>
      </c>
      <c r="D3320" s="2" t="str">
        <f t="shared" si="50"/>
        <v>Error?</v>
      </c>
    </row>
    <row r="3321" spans="1:4" x14ac:dyDescent="0.2">
      <c r="A3321" s="5">
        <v>3260</v>
      </c>
      <c r="B3321" s="138">
        <f>'Acct Summary 7-8'!I79</f>
        <v>176381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247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115140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13231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22282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150866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24152</v>
      </c>
      <c r="D3387" s="2" t="str">
        <f t="shared" si="51"/>
        <v>Error?</v>
      </c>
    </row>
    <row r="3388" spans="1:4" x14ac:dyDescent="0.2">
      <c r="A3388" s="5">
        <v>3327</v>
      </c>
      <c r="B3388" s="138">
        <f>'Expenditures 15-22'!D217</f>
        <v>3651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24152</v>
      </c>
      <c r="C3390" s="2" t="s">
        <v>573</v>
      </c>
      <c r="D3390" s="2" t="str">
        <f t="shared" si="51"/>
        <v>Error?</v>
      </c>
    </row>
    <row r="3391" spans="1:4" x14ac:dyDescent="0.2">
      <c r="A3391" s="5">
        <v>3330</v>
      </c>
      <c r="B3391" s="138">
        <f>'Expenditures 15-22'!K217</f>
        <v>3651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1123498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933185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404435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333265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247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39151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74742</v>
      </c>
      <c r="C3446" s="2" t="s">
        <v>573</v>
      </c>
      <c r="D3446" s="2" t="str">
        <f t="shared" si="52"/>
        <v>Error?</v>
      </c>
    </row>
    <row r="3447" spans="1:4" x14ac:dyDescent="0.2">
      <c r="A3447" s="5">
        <v>3386</v>
      </c>
      <c r="B3447" s="138">
        <f>'Tax Sched 23'!D16</f>
        <v>74742</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61052</v>
      </c>
      <c r="C3449" s="2" t="s">
        <v>573</v>
      </c>
      <c r="D3449" s="2" t="str">
        <f t="shared" si="52"/>
        <v>Error?</v>
      </c>
    </row>
    <row r="3450" spans="1:4" x14ac:dyDescent="0.2">
      <c r="A3450" s="5">
        <v>3389</v>
      </c>
      <c r="B3450" s="138">
        <f>'Tax Sched 23'!E16</f>
        <v>61052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7274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7274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7274</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7274</v>
      </c>
      <c r="C3568" s="2" t="s">
        <v>573</v>
      </c>
      <c r="D3568" s="2" t="str">
        <f t="shared" si="54"/>
        <v>Error?</v>
      </c>
    </row>
    <row r="3569" spans="1:4" x14ac:dyDescent="0.2">
      <c r="A3569" s="5">
        <v>3508</v>
      </c>
      <c r="B3569" s="138">
        <f>'Acct Summary 7-8'!K4</f>
        <v>28566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28566</v>
      </c>
      <c r="C3571" s="2" t="s">
        <v>573</v>
      </c>
      <c r="D3571" s="2" t="str">
        <f t="shared" si="54"/>
        <v>Error?</v>
      </c>
    </row>
    <row r="3572" spans="1:4" x14ac:dyDescent="0.2">
      <c r="A3572" s="5">
        <v>3511</v>
      </c>
      <c r="B3572" s="138">
        <f>'Acct Summary 7-8'!K13</f>
        <v>141640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141640</v>
      </c>
      <c r="C3575" s="2" t="s">
        <v>573</v>
      </c>
      <c r="D3575" s="2" t="str">
        <f t="shared" si="54"/>
        <v>Error?</v>
      </c>
    </row>
    <row r="3576" spans="1:4" x14ac:dyDescent="0.2">
      <c r="A3576" s="5">
        <v>3515</v>
      </c>
      <c r="B3576" s="138">
        <f>'Acct Summary 7-8'!K20</f>
        <v>-113074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-113074</v>
      </c>
      <c r="C3588" s="2" t="s">
        <v>573</v>
      </c>
      <c r="D3588" s="2" t="str">
        <f t="shared" si="55"/>
        <v>Error?</v>
      </c>
    </row>
    <row r="3589" spans="1:4" x14ac:dyDescent="0.2">
      <c r="A3589" s="5">
        <v>3528</v>
      </c>
      <c r="B3589" s="138">
        <f>'Acct Summary 7-8'!K79</f>
        <v>120348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7274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7508</v>
      </c>
      <c r="D3632" s="2" t="str">
        <f t="shared" si="55"/>
        <v>Error?</v>
      </c>
    </row>
    <row r="3633" spans="1:4" x14ac:dyDescent="0.2">
      <c r="A3633" s="5">
        <v>3572</v>
      </c>
      <c r="B3633" s="138">
        <f>'Expenditures 15-22'!E350</f>
        <v>7508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7508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134132</v>
      </c>
      <c r="D3646" s="2" t="str">
        <f t="shared" si="55"/>
        <v>Error?</v>
      </c>
    </row>
    <row r="3647" spans="1:4" x14ac:dyDescent="0.2">
      <c r="A3647" s="5">
        <v>3586</v>
      </c>
      <c r="B3647" s="138">
        <f>'Expenditures 15-22'!G350</f>
        <v>134132</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134132</v>
      </c>
      <c r="C3649" s="2" t="s">
        <v>573</v>
      </c>
      <c r="D3649" s="2" t="str">
        <f t="shared" si="56"/>
        <v>Error?</v>
      </c>
    </row>
    <row r="3650" spans="1:4" x14ac:dyDescent="0.2">
      <c r="A3650" s="5">
        <v>3589</v>
      </c>
      <c r="B3650" s="138">
        <f>'Expenditures 15-22'!G367</f>
        <v>134132</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141640</v>
      </c>
      <c r="C3669" s="2" t="s">
        <v>573</v>
      </c>
      <c r="D3669" s="2" t="str">
        <f t="shared" si="56"/>
        <v>Error?</v>
      </c>
    </row>
    <row r="3670" spans="1:4" x14ac:dyDescent="0.2">
      <c r="A3670" s="5">
        <v>3609</v>
      </c>
      <c r="B3670" s="138">
        <f>'Expenditures 15-22'!K350</f>
        <v>141640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141640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141640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-113074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28206</v>
      </c>
      <c r="C3725" s="2" t="s">
        <v>573</v>
      </c>
      <c r="D3725" s="2" t="str">
        <f t="shared" si="57"/>
        <v>Error?</v>
      </c>
    </row>
    <row r="3726" spans="1:4" x14ac:dyDescent="0.2">
      <c r="A3726" s="5">
        <v>3665</v>
      </c>
      <c r="B3726" s="138">
        <f>'Tax Sched 23'!D13</f>
        <v>28206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29457</v>
      </c>
      <c r="C3728" s="2" t="s">
        <v>573</v>
      </c>
      <c r="D3728" s="2" t="str">
        <f t="shared" si="57"/>
        <v>Error?</v>
      </c>
    </row>
    <row r="3729" spans="1:4" x14ac:dyDescent="0.2">
      <c r="A3729" s="5">
        <v>3668</v>
      </c>
      <c r="B3729" s="138">
        <f>'Tax Sched 23'!E13</f>
        <v>29457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948732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3834570</v>
      </c>
      <c r="C4122" s="2" t="s">
        <v>573</v>
      </c>
      <c r="D4122" s="2" t="str">
        <f t="shared" si="63"/>
        <v>Error?</v>
      </c>
    </row>
    <row r="4123" spans="1:4" x14ac:dyDescent="0.2">
      <c r="A4123" s="5">
        <v>4062</v>
      </c>
      <c r="B4123" s="138">
        <f>'Acct Summary 7-8'!D10</f>
        <v>289449</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342076</v>
      </c>
      <c r="C4125" s="2" t="s">
        <v>573</v>
      </c>
      <c r="D4125" s="2" t="str">
        <f t="shared" si="63"/>
        <v>Error?</v>
      </c>
    </row>
    <row r="4126" spans="1:4" x14ac:dyDescent="0.2">
      <c r="A4126" s="5">
        <v>4065</v>
      </c>
      <c r="B4126" s="138">
        <f>'Acct Summary 7-8'!G10</f>
        <v>106718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28866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28566</v>
      </c>
      <c r="C4130" s="2" t="s">
        <v>573</v>
      </c>
      <c r="D4130" s="2" t="str">
        <f t="shared" si="63"/>
        <v>Error?</v>
      </c>
    </row>
    <row r="4131" spans="1:4" x14ac:dyDescent="0.2">
      <c r="A4131" s="5">
        <v>4070</v>
      </c>
      <c r="B4131" s="138">
        <f>'Acct Summary 7-8'!C18</f>
        <v>948732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3580020</v>
      </c>
      <c r="C4136" s="2" t="s">
        <v>573</v>
      </c>
      <c r="D4136" s="2" t="str">
        <f t="shared" si="63"/>
        <v>Error?</v>
      </c>
    </row>
    <row r="4137" spans="1:4" x14ac:dyDescent="0.2">
      <c r="A4137" s="5">
        <v>4076</v>
      </c>
      <c r="B4137" s="138">
        <f>'Acct Summary 7-8'!D19</f>
        <v>285592</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245045</v>
      </c>
      <c r="C4139" s="2" t="s">
        <v>573</v>
      </c>
      <c r="D4139" s="2" t="str">
        <f t="shared" si="63"/>
        <v>Error?</v>
      </c>
    </row>
    <row r="4140" spans="1:4" x14ac:dyDescent="0.2">
      <c r="A4140" s="5">
        <v>4079</v>
      </c>
      <c r="B4140" s="138">
        <f>'Acct Summary 7-8'!G19</f>
        <v>89957</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141640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78062</v>
      </c>
      <c r="D4210" s="2" t="str">
        <f t="shared" si="64"/>
        <v>Error?</v>
      </c>
    </row>
    <row r="4211" spans="1:4" x14ac:dyDescent="0.2">
      <c r="A4211" s="5">
        <v>4150</v>
      </c>
      <c r="B4211" s="138">
        <f>'Expenditures 15-22'!K206</f>
        <v>78062</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3250</v>
      </c>
      <c r="C4268" s="2" t="s">
        <v>573</v>
      </c>
      <c r="D4268" s="2" t="str">
        <f t="shared" si="65"/>
        <v>Error?</v>
      </c>
    </row>
    <row r="4269" spans="1:5" x14ac:dyDescent="0.2">
      <c r="A4269" s="12">
        <v>4208</v>
      </c>
      <c r="B4269" s="138">
        <f>'FP Info 3'!J16</f>
        <v>2422214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1567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7193</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24279</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57902279</v>
      </c>
      <c r="D4995" s="2" t="str">
        <f t="shared" si="77"/>
        <v>Error?</v>
      </c>
    </row>
    <row r="4996" spans="1:4" x14ac:dyDescent="0.2">
      <c r="A4996" s="12">
        <v>4935</v>
      </c>
      <c r="B4996" s="138">
        <f>'FP Info 3'!H31</f>
        <v>3995257.2510000002</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28206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1438443</v>
      </c>
      <c r="D5061" s="2" t="str">
        <f t="shared" si="78"/>
        <v>Error?</v>
      </c>
    </row>
    <row r="5062" spans="1:4" x14ac:dyDescent="0.2">
      <c r="A5062" s="10">
        <v>5001</v>
      </c>
      <c r="D5062" s="2" t="str">
        <f t="shared" si="78"/>
        <v>OK</v>
      </c>
    </row>
    <row r="5063" spans="1:4" x14ac:dyDescent="0.2">
      <c r="A5063" s="5">
        <v>5002</v>
      </c>
      <c r="B5063" s="138">
        <f>'Revenues 9-14'!C7</f>
        <v>22563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1489212</v>
      </c>
      <c r="C5066" s="2" t="s">
        <v>573</v>
      </c>
      <c r="D5066" s="2" t="str">
        <f t="shared" si="78"/>
        <v>Error?</v>
      </c>
    </row>
    <row r="5067" spans="1:4" x14ac:dyDescent="0.2">
      <c r="A5067" s="5">
        <v>5006</v>
      </c>
      <c r="B5067" s="138">
        <f>'Revenues 9-14'!C14</f>
        <v>726</v>
      </c>
      <c r="D5067" s="2" t="str">
        <f t="shared" si="78"/>
        <v>Error?</v>
      </c>
    </row>
    <row r="5068" spans="1:4" x14ac:dyDescent="0.2">
      <c r="A5068" s="5">
        <v>5007</v>
      </c>
      <c r="B5068" s="138">
        <f>'Revenues 9-14'!C15</f>
        <v>0</v>
      </c>
      <c r="D5068" s="2" t="str">
        <f t="shared" si="78"/>
        <v>Error?</v>
      </c>
    </row>
    <row r="5069" spans="1:4" x14ac:dyDescent="0.2">
      <c r="A5069" s="5">
        <v>5008</v>
      </c>
      <c r="B5069" s="138">
        <f>'Revenues 9-14'!C16</f>
        <v>89103</v>
      </c>
      <c r="D5069" s="2" t="str">
        <f t="shared" si="78"/>
        <v>Error?</v>
      </c>
    </row>
    <row r="5070" spans="1:4" x14ac:dyDescent="0.2">
      <c r="A5070" s="5">
        <v>5009</v>
      </c>
      <c r="B5070" s="138">
        <f>'Revenues 9-14'!C17</f>
        <v>201008</v>
      </c>
      <c r="D5070" s="2" t="str">
        <f t="shared" si="78"/>
        <v>Error?</v>
      </c>
    </row>
    <row r="5071" spans="1:4" x14ac:dyDescent="0.2">
      <c r="A5071" s="5">
        <v>5010</v>
      </c>
      <c r="B5071" s="138">
        <f>'Revenues 9-14'!C18</f>
        <v>290837</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352337</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352337</v>
      </c>
      <c r="C5087" s="2" t="s">
        <v>573</v>
      </c>
      <c r="D5087" s="2" t="str">
        <f t="shared" si="78"/>
        <v>Error?</v>
      </c>
    </row>
    <row r="5088" spans="1:4" x14ac:dyDescent="0.2">
      <c r="A5088" s="5">
        <v>5027</v>
      </c>
      <c r="B5088" s="138">
        <f>'Revenues 9-14'!C65</f>
        <v>2563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2563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2694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43260</v>
      </c>
      <c r="C5096" s="2" t="s">
        <v>573</v>
      </c>
      <c r="D5096" s="2" t="str">
        <f t="shared" si="78"/>
        <v>Error?</v>
      </c>
    </row>
    <row r="5097" spans="1:4" x14ac:dyDescent="0.2">
      <c r="A5097" s="5">
        <v>5036</v>
      </c>
      <c r="B5097" s="138">
        <f>'Revenues 9-14'!C77</f>
        <v>13565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7176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20741</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25590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18551</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44141</v>
      </c>
      <c r="C5120" s="2" t="s">
        <v>573</v>
      </c>
      <c r="D5120" s="2" t="str">
        <f t="shared" si="79"/>
        <v>Error?</v>
      </c>
    </row>
    <row r="5121" spans="1:4" x14ac:dyDescent="0.2">
      <c r="A5121" s="5">
        <v>5060</v>
      </c>
      <c r="B5121" s="138">
        <f>'Revenues 9-14'!C109</f>
        <v>2243091</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315898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315898</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1194</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150453</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151647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467545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60065</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12721</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72786</v>
      </c>
      <c r="C5246" s="2" t="s">
        <v>573</v>
      </c>
      <c r="D5246" s="2" t="str">
        <f t="shared" si="80"/>
        <v>Error?</v>
      </c>
    </row>
    <row r="5247" spans="1:4" x14ac:dyDescent="0.2">
      <c r="A5247" s="5">
        <v>5186</v>
      </c>
      <c r="B5247" s="138">
        <f>'Revenues 9-14'!C200</f>
        <v>69377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69377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175202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175202</v>
      </c>
      <c r="C5326" s="2" t="s">
        <v>573</v>
      </c>
      <c r="D5326" s="2" t="str">
        <f t="shared" si="82"/>
        <v>Error?</v>
      </c>
    </row>
    <row r="5327" spans="1:5" x14ac:dyDescent="0.2">
      <c r="A5327" s="5">
        <v>5266</v>
      </c>
      <c r="B5327" s="138">
        <f>'Revenues 9-14'!C268</f>
        <v>2885838</v>
      </c>
      <c r="C5327" s="2" t="s">
        <v>573</v>
      </c>
      <c r="D5327" s="2" t="str">
        <f t="shared" si="82"/>
        <v>Error?</v>
      </c>
    </row>
    <row r="5328" spans="1:5" x14ac:dyDescent="0.2">
      <c r="A5328" s="5">
        <v>5267</v>
      </c>
      <c r="B5328" s="138">
        <f>'Revenues 9-14'!D5</f>
        <v>282049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282049</v>
      </c>
      <c r="C5334" s="2" t="s">
        <v>573</v>
      </c>
      <c r="D5334" s="2" t="str">
        <f t="shared" si="82"/>
        <v>Error?</v>
      </c>
    </row>
    <row r="5335" spans="1:4" x14ac:dyDescent="0.2">
      <c r="A5335" s="5">
        <v>5274</v>
      </c>
      <c r="B5335" s="138">
        <f>'Revenues 9-14'!D14</f>
        <v>137</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3031</v>
      </c>
      <c r="D5338" s="2" t="str">
        <f t="shared" si="82"/>
        <v>Error?</v>
      </c>
    </row>
    <row r="5339" spans="1:4" x14ac:dyDescent="0.2">
      <c r="A5339" s="5">
        <v>5278</v>
      </c>
      <c r="B5339" s="138">
        <f>'Revenues 9-14'!D18</f>
        <v>3168</v>
      </c>
      <c r="C5339" s="2" t="s">
        <v>573</v>
      </c>
      <c r="D5339" s="2" t="str">
        <f t="shared" si="82"/>
        <v>Error?</v>
      </c>
    </row>
    <row r="5340" spans="1:4" x14ac:dyDescent="0.2">
      <c r="A5340" s="5">
        <v>5279</v>
      </c>
      <c r="B5340" s="138">
        <f>'Revenues 9-14'!D65</f>
        <v>2187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2187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2000</v>
      </c>
      <c r="D5354" s="2" t="str">
        <f t="shared" si="82"/>
        <v>Error?</v>
      </c>
    </row>
    <row r="5355" spans="1:4" x14ac:dyDescent="0.2">
      <c r="A5355" s="5">
        <v>5294</v>
      </c>
      <c r="B5355" s="138">
        <f>'Revenues 9-14'!D108</f>
        <v>2045</v>
      </c>
      <c r="C5355" s="2" t="s">
        <v>573</v>
      </c>
      <c r="D5355" s="2" t="str">
        <f t="shared" si="82"/>
        <v>Error?</v>
      </c>
    </row>
    <row r="5356" spans="1:4" x14ac:dyDescent="0.2">
      <c r="A5356" s="5">
        <v>5295</v>
      </c>
      <c r="B5356" s="138">
        <f>'Revenues 9-14'!D109</f>
        <v>289449</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289449</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112819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112819</v>
      </c>
      <c r="C5557" s="2" t="s">
        <v>573</v>
      </c>
      <c r="D5557" s="2" t="str">
        <f t="shared" si="85"/>
        <v>Error?</v>
      </c>
    </row>
    <row r="5558" spans="1:4" x14ac:dyDescent="0.2">
      <c r="A5558" s="5">
        <v>5497</v>
      </c>
      <c r="B5558" s="138">
        <f>'Revenues 9-14'!F14</f>
        <v>55</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1263</v>
      </c>
      <c r="D5561" s="2" t="str">
        <f t="shared" si="85"/>
        <v>Error?</v>
      </c>
    </row>
    <row r="5562" spans="1:4" x14ac:dyDescent="0.2">
      <c r="A5562" s="5">
        <v>5501</v>
      </c>
      <c r="B5562" s="138">
        <f>'Revenues 9-14'!F18</f>
        <v>1318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755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755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98</v>
      </c>
      <c r="C5587" s="2" t="s">
        <v>573</v>
      </c>
      <c r="D5587" s="2" t="str">
        <f t="shared" si="86"/>
        <v>Error?</v>
      </c>
    </row>
    <row r="5588" spans="1:4" x14ac:dyDescent="0.2">
      <c r="A5588" s="5">
        <v>5527</v>
      </c>
      <c r="B5588" s="138">
        <f>'Revenues 9-14'!F109</f>
        <v>114990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160369</v>
      </c>
      <c r="D5615" s="2" t="str">
        <f t="shared" si="86"/>
        <v>Error?</v>
      </c>
    </row>
    <row r="5616" spans="1:4" x14ac:dyDescent="0.2">
      <c r="A5616" s="10">
        <v>5555</v>
      </c>
      <c r="D5616" s="2" t="str">
        <f t="shared" si="86"/>
        <v>OK</v>
      </c>
    </row>
    <row r="5617" spans="1:5" x14ac:dyDescent="0.2">
      <c r="A5617" s="5">
        <v>5556</v>
      </c>
      <c r="B5617" s="138">
        <f>'Revenues 9-14'!F153</f>
        <v>66717</v>
      </c>
      <c r="D5617" s="2" t="str">
        <f t="shared" si="86"/>
        <v>Error?</v>
      </c>
    </row>
    <row r="5618" spans="1:5" x14ac:dyDescent="0.2">
      <c r="A5618" s="5">
        <v>5557</v>
      </c>
      <c r="B5618" s="138">
        <f>'Revenues 9-14'!F155</f>
        <v>227086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227086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227086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342076</v>
      </c>
      <c r="C5720" s="2" t="s">
        <v>573</v>
      </c>
      <c r="D5720" s="2" t="str">
        <f t="shared" si="88"/>
        <v>Error?</v>
      </c>
    </row>
    <row r="5721" spans="1:4" x14ac:dyDescent="0.2">
      <c r="A5721" s="5">
        <v>5660</v>
      </c>
      <c r="B5721" s="138">
        <f>'Revenues 9-14'!G5</f>
        <v>29897</v>
      </c>
      <c r="D5721" s="2" t="str">
        <f t="shared" si="88"/>
        <v>Error?</v>
      </c>
    </row>
    <row r="5722" spans="1:4" x14ac:dyDescent="0.2">
      <c r="A5722" s="5">
        <v>5661</v>
      </c>
      <c r="B5722" s="138">
        <f>'Revenues 9-14'!G7</f>
        <v>0</v>
      </c>
      <c r="D5722" s="2" t="str">
        <f t="shared" si="88"/>
        <v>Error?</v>
      </c>
    </row>
    <row r="5723" spans="1:4" x14ac:dyDescent="0.2">
      <c r="A5723" s="5">
        <v>5662</v>
      </c>
      <c r="B5723" s="138">
        <f>'Revenues 9-14'!G8</f>
        <v>74742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104639</v>
      </c>
      <c r="C5725" s="2" t="s">
        <v>573</v>
      </c>
      <c r="D5725" s="2" t="str">
        <f t="shared" si="88"/>
        <v>Error?</v>
      </c>
    </row>
    <row r="5726" spans="1:4" x14ac:dyDescent="0.2">
      <c r="A5726" s="5">
        <v>5665</v>
      </c>
      <c r="B5726" s="138">
        <f>'Revenues 9-14'!G14</f>
        <v>51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1263</v>
      </c>
      <c r="D5729" s="2" t="str">
        <f t="shared" si="88"/>
        <v>Error?</v>
      </c>
    </row>
    <row r="5730" spans="1:4" x14ac:dyDescent="0.2">
      <c r="A5730" s="5">
        <v>5669</v>
      </c>
      <c r="B5730" s="138">
        <f>'Revenues 9-14'!G18</f>
        <v>1314</v>
      </c>
      <c r="C5730" s="2" t="s">
        <v>573</v>
      </c>
      <c r="D5730" s="2" t="str">
        <f t="shared" si="88"/>
        <v>Error?</v>
      </c>
    </row>
    <row r="5731" spans="1:4" x14ac:dyDescent="0.2">
      <c r="A5731" s="5">
        <v>5670</v>
      </c>
      <c r="B5731" s="138">
        <f>'Revenues 9-14'!G65</f>
        <v>765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765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106718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28206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28206</v>
      </c>
      <c r="C5918" s="2" t="s">
        <v>573</v>
      </c>
      <c r="D5918" s="2" t="str">
        <f t="shared" si="91"/>
        <v>Error?</v>
      </c>
    </row>
    <row r="5919" spans="1:4" x14ac:dyDescent="0.2">
      <c r="A5919" s="5">
        <v>5858</v>
      </c>
      <c r="B5919" s="138">
        <f>'Revenues 9-14'!I14</f>
        <v>14</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253</v>
      </c>
      <c r="D5922" s="2" t="str">
        <f t="shared" si="91"/>
        <v>Error?</v>
      </c>
    </row>
    <row r="5923" spans="1:4" x14ac:dyDescent="0.2">
      <c r="A5923" s="5">
        <v>5862</v>
      </c>
      <c r="B5923" s="138">
        <f>'Revenues 9-14'!I18</f>
        <v>267</v>
      </c>
      <c r="C5923" s="2" t="s">
        <v>573</v>
      </c>
      <c r="D5923" s="2" t="str">
        <f t="shared" si="91"/>
        <v>Error?</v>
      </c>
    </row>
    <row r="5924" spans="1:4" x14ac:dyDescent="0.2">
      <c r="A5924" s="5">
        <v>5863</v>
      </c>
      <c r="B5924" s="138">
        <f>'Revenues 9-14'!I65</f>
        <v>393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393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28866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28206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28206</v>
      </c>
      <c r="C5987" s="2" t="s">
        <v>573</v>
      </c>
      <c r="D5987" s="2" t="str">
        <f t="shared" si="92"/>
        <v>Error?</v>
      </c>
    </row>
    <row r="5988" spans="1:4" x14ac:dyDescent="0.2">
      <c r="A5988" s="5">
        <v>5927</v>
      </c>
      <c r="B5988" s="138">
        <f>'Revenues 9-14'!K14</f>
        <v>14</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253</v>
      </c>
      <c r="D5991" s="2" t="str">
        <f t="shared" si="92"/>
        <v>Error?</v>
      </c>
    </row>
    <row r="5992" spans="1:4" x14ac:dyDescent="0.2">
      <c r="A5992" s="5">
        <v>5931</v>
      </c>
      <c r="B5992" s="138">
        <f>'Revenues 9-14'!K18</f>
        <v>267</v>
      </c>
      <c r="C5992" s="2" t="s">
        <v>573</v>
      </c>
      <c r="D5992" s="2" t="str">
        <f t="shared" si="92"/>
        <v>Error?</v>
      </c>
    </row>
    <row r="5993" spans="1:4" x14ac:dyDescent="0.2">
      <c r="A5993" s="5">
        <v>5932</v>
      </c>
      <c r="B5993" s="138">
        <f>'Revenues 9-14'!K65</f>
        <v>93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93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28566</v>
      </c>
      <c r="C6023" s="2" t="s">
        <v>573</v>
      </c>
      <c r="D6023" s="2" t="str">
        <f t="shared" si="93"/>
        <v>Error?</v>
      </c>
    </row>
    <row r="6024" spans="1:5" x14ac:dyDescent="0.2">
      <c r="A6024" s="5">
        <v>5963</v>
      </c>
      <c r="B6024" s="138">
        <f>'Revenues 9-14'!G109</f>
        <v>106718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28866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28566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40566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10689</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248.8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136403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39151</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136403</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136403</v>
      </c>
      <c r="D6216" s="2" t="str">
        <f t="shared" si="96"/>
        <v>Error?</v>
      </c>
      <c r="E6216" s="2" t="s">
        <v>190</v>
      </c>
    </row>
    <row r="6217" spans="1:5" x14ac:dyDescent="0.2">
      <c r="A6217">
        <v>6156</v>
      </c>
      <c r="B6217" s="138">
        <f>'Assets-Liab 5-6'!J4</f>
        <v>136403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221340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221340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221340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195678</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195678</v>
      </c>
      <c r="D6229" s="2" t="str">
        <f t="shared" si="96"/>
        <v>Error?</v>
      </c>
      <c r="E6229" s="2" t="s">
        <v>190</v>
      </c>
    </row>
    <row r="6230" spans="1:5" x14ac:dyDescent="0.2">
      <c r="A6230">
        <v>6169</v>
      </c>
      <c r="B6230" s="138">
        <f>'Acct Summary 7-8'!J20</f>
        <v>25662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205000</v>
      </c>
      <c r="D6259" s="2" t="str">
        <f t="shared" si="96"/>
        <v>Error?</v>
      </c>
      <c r="E6259" s="2" t="s">
        <v>190</v>
      </c>
    </row>
    <row r="6260" spans="1:5" x14ac:dyDescent="0.2">
      <c r="A6260">
        <v>6199</v>
      </c>
      <c r="B6260" s="138">
        <f>'Acct Summary 7-8'!J75</f>
        <v>500000</v>
      </c>
      <c r="D6260" s="2" t="str">
        <f t="shared" si="96"/>
        <v>Error?</v>
      </c>
      <c r="E6260" s="2" t="s">
        <v>190</v>
      </c>
    </row>
    <row r="6261" spans="1:5" x14ac:dyDescent="0.2">
      <c r="A6261">
        <v>6200</v>
      </c>
      <c r="B6261" s="138">
        <f>'Acct Summary 7-8'!J76</f>
        <v>500000</v>
      </c>
      <c r="D6261" s="2" t="str">
        <f t="shared" si="96"/>
        <v>Error?</v>
      </c>
      <c r="E6261" s="2" t="s">
        <v>190</v>
      </c>
    </row>
    <row r="6262" spans="1:5" x14ac:dyDescent="0.2">
      <c r="A6262">
        <v>6201</v>
      </c>
      <c r="B6262" s="138">
        <f>'Acct Summary 7-8'!J77</f>
        <v>-500000</v>
      </c>
      <c r="D6262" s="2" t="str">
        <f t="shared" si="96"/>
        <v>Error?</v>
      </c>
      <c r="E6262" s="2" t="s">
        <v>190</v>
      </c>
    </row>
    <row r="6263" spans="1:5" x14ac:dyDescent="0.2">
      <c r="A6263">
        <v>6202</v>
      </c>
      <c r="B6263" s="138">
        <f>'Acct Summary 7-8'!J78</f>
        <v>-474338</v>
      </c>
      <c r="D6263" s="2" t="str">
        <f t="shared" si="96"/>
        <v>Error?</v>
      </c>
      <c r="E6263" s="2" t="s">
        <v>190</v>
      </c>
    </row>
    <row r="6264" spans="1:5" x14ac:dyDescent="0.2">
      <c r="A6264">
        <v>6203</v>
      </c>
      <c r="B6264" s="138">
        <f>'Acct Summary 7-8'!J79</f>
        <v>610741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136403</v>
      </c>
      <c r="D6266" s="2" t="str">
        <f t="shared" si="96"/>
        <v>Error?</v>
      </c>
      <c r="E6266" s="2" t="s">
        <v>190</v>
      </c>
    </row>
    <row r="6267" spans="1:5" x14ac:dyDescent="0.2">
      <c r="A6267">
        <v>6206</v>
      </c>
      <c r="B6267" s="138">
        <f>'Acct Summary 7-8'!C82</f>
        <v>459550</v>
      </c>
      <c r="D6267" s="2" t="str">
        <f t="shared" si="96"/>
        <v>Error?</v>
      </c>
      <c r="E6267" s="2" t="s">
        <v>190</v>
      </c>
    </row>
    <row r="6268" spans="1:5" x14ac:dyDescent="0.2">
      <c r="A6268">
        <v>6207</v>
      </c>
      <c r="B6268" s="138">
        <f>'Acct Summary 7-8'!D82</f>
        <v>503857</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97031</v>
      </c>
      <c r="D6270" s="2" t="str">
        <f t="shared" si="96"/>
        <v>Error?</v>
      </c>
      <c r="E6270" s="2" t="s">
        <v>190</v>
      </c>
    </row>
    <row r="6271" spans="1:5" x14ac:dyDescent="0.2">
      <c r="A6271">
        <v>6210</v>
      </c>
      <c r="B6271" s="138">
        <f>'Acct Summary 7-8'!G82</f>
        <v>16761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-176134</v>
      </c>
      <c r="D6273" s="2" t="str">
        <f t="shared" si="97"/>
        <v>Error?</v>
      </c>
      <c r="E6273" s="2" t="s">
        <v>190</v>
      </c>
    </row>
    <row r="6274" spans="1:5" x14ac:dyDescent="0.2">
      <c r="A6274">
        <v>6213</v>
      </c>
      <c r="B6274" s="138">
        <f>'Acct Summary 7-8'!J82</f>
        <v>-474338</v>
      </c>
      <c r="D6274" s="2" t="str">
        <f t="shared" si="97"/>
        <v>Error?</v>
      </c>
      <c r="E6274" s="2" t="s">
        <v>190</v>
      </c>
    </row>
    <row r="6275" spans="1:5" x14ac:dyDescent="0.2">
      <c r="A6275">
        <v>6214</v>
      </c>
      <c r="B6275" s="138">
        <f>'Acct Summary 7-8'!K82</f>
        <v>-113074</v>
      </c>
      <c r="D6275" s="2" t="str">
        <f t="shared" si="97"/>
        <v>Error?</v>
      </c>
      <c r="E6275" s="2" t="s">
        <v>190</v>
      </c>
    </row>
    <row r="6276" spans="1:5" x14ac:dyDescent="0.2">
      <c r="A6276">
        <v>6215</v>
      </c>
      <c r="B6276" s="138">
        <f>'Acct Summary 7-8'!C83</f>
        <v>0.4238034503715139</v>
      </c>
      <c r="D6276" s="2" t="str">
        <f t="shared" si="97"/>
        <v>Error?</v>
      </c>
      <c r="E6276" s="2" t="s">
        <v>190</v>
      </c>
    </row>
    <row r="6277" spans="1:5" x14ac:dyDescent="0.2">
      <c r="A6277">
        <v>6216</v>
      </c>
      <c r="B6277" s="138">
        <f>'Acct Summary 7-8'!D83</f>
        <v>0.53993259643050417</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0.23991741565393698</v>
      </c>
      <c r="D6279" s="2" t="str">
        <f t="shared" si="97"/>
        <v>Error?</v>
      </c>
      <c r="E6279" s="2" t="s">
        <v>190</v>
      </c>
    </row>
    <row r="6280" spans="1:5" x14ac:dyDescent="0.2">
      <c r="A6280">
        <v>6219</v>
      </c>
      <c r="B6280" s="138">
        <f>'Acct Summary 7-8'!G83</f>
        <v>5.0293310128576359E-2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-713.09311740890689</v>
      </c>
      <c r="D6282" s="2" t="str">
        <f t="shared" si="97"/>
        <v>Error?</v>
      </c>
      <c r="E6282" s="2" t="s">
        <v>190</v>
      </c>
    </row>
    <row r="6283" spans="1:5" x14ac:dyDescent="0.2">
      <c r="A6283">
        <v>6222</v>
      </c>
      <c r="B6283" s="138">
        <f>'Acct Summary 7-8'!J83</f>
        <v>-3.4774748355974574</v>
      </c>
      <c r="D6283" s="2" t="str">
        <f t="shared" si="97"/>
        <v>Error?</v>
      </c>
      <c r="E6283" s="2" t="s">
        <v>190</v>
      </c>
    </row>
    <row r="6284" spans="1:5" x14ac:dyDescent="0.2">
      <c r="A6284">
        <v>6223</v>
      </c>
      <c r="B6284" s="138">
        <f>'Acct Summary 7-8'!K83</f>
        <v>-15.544954632939236</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218398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218398</v>
      </c>
      <c r="D6301" s="2" t="str">
        <f t="shared" si="97"/>
        <v>Error?</v>
      </c>
      <c r="E6301" s="2" t="s">
        <v>190</v>
      </c>
    </row>
    <row r="6302" spans="1:5" x14ac:dyDescent="0.2">
      <c r="A6302">
        <v>6241</v>
      </c>
      <c r="B6302" s="138">
        <f>'Revenues 9-14'!J14</f>
        <v>105</v>
      </c>
      <c r="D6302" s="2" t="str">
        <f t="shared" si="97"/>
        <v>Error?</v>
      </c>
      <c r="E6302" s="2" t="s">
        <v>190</v>
      </c>
    </row>
    <row r="6303" spans="1:5" x14ac:dyDescent="0.2">
      <c r="A6303">
        <v>6242</v>
      </c>
      <c r="B6303" s="138">
        <f>'Revenues 9-14'!J15</f>
        <v>2525</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2630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312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312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221340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43773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116233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195678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98</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221340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2739</v>
      </c>
      <c r="D7067" s="2" t="str">
        <f t="shared" si="109"/>
        <v>Error?</v>
      </c>
    </row>
    <row r="7068" spans="1:4" x14ac:dyDescent="0.2">
      <c r="A7068">
        <v>7007</v>
      </c>
      <c r="B7068" s="138">
        <f>'Expenditures 15-22'!K205</f>
        <v>2739</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621</v>
      </c>
      <c r="D7073" s="2" t="str">
        <f t="shared" si="109"/>
        <v>Error?</v>
      </c>
    </row>
    <row r="7074" spans="1:4" x14ac:dyDescent="0.2">
      <c r="A7074">
        <v>7013</v>
      </c>
      <c r="B7074" s="138">
        <f>'Expenditures 15-22'!K216</f>
        <v>621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4243</v>
      </c>
      <c r="D7089" s="2" t="str">
        <f t="shared" si="109"/>
        <v>Error?</v>
      </c>
    </row>
    <row r="7090" spans="1:4" x14ac:dyDescent="0.2">
      <c r="A7090">
        <v>7029</v>
      </c>
      <c r="B7090" s="138">
        <f>'Expenditures 15-22'!K252</f>
        <v>4243</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98899</v>
      </c>
      <c r="D7154" s="2" t="str">
        <f t="shared" si="110"/>
        <v>Error?</v>
      </c>
    </row>
    <row r="7155" spans="1:4" x14ac:dyDescent="0.2">
      <c r="A7155">
        <v>7094</v>
      </c>
      <c r="B7155" s="138">
        <f>'Expenditures 15-22'!D323</f>
        <v>14424</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113323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350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350</v>
      </c>
      <c r="D7198" s="2" t="str">
        <f t="shared" si="111"/>
        <v>Error?</v>
      </c>
    </row>
    <row r="7199" spans="1:4" x14ac:dyDescent="0.2">
      <c r="A7199">
        <v>7138</v>
      </c>
      <c r="B7199" s="138">
        <f>'Expenditures 15-22'!C330</f>
        <v>98899</v>
      </c>
      <c r="D7199" s="2" t="str">
        <f t="shared" si="111"/>
        <v>Error?</v>
      </c>
    </row>
    <row r="7200" spans="1:4" x14ac:dyDescent="0.2">
      <c r="A7200">
        <v>7139</v>
      </c>
      <c r="B7200" s="138">
        <f>'Expenditures 15-22'!D330</f>
        <v>14424</v>
      </c>
      <c r="D7200" s="2" t="str">
        <f t="shared" si="111"/>
        <v>Error?</v>
      </c>
    </row>
    <row r="7201" spans="1:4" x14ac:dyDescent="0.2">
      <c r="A7201">
        <v>7140</v>
      </c>
      <c r="B7201" s="138">
        <f>'Expenditures 15-22'!E330</f>
        <v>82355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195678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98899</v>
      </c>
      <c r="D7216" s="2" t="str">
        <f t="shared" si="111"/>
        <v>Error?</v>
      </c>
    </row>
    <row r="7217" spans="1:4" x14ac:dyDescent="0.2">
      <c r="A7217">
        <v>7156</v>
      </c>
      <c r="B7217" s="138">
        <f>'Expenditures 15-22'!D342</f>
        <v>14424</v>
      </c>
      <c r="D7217" s="2" t="str">
        <f t="shared" si="111"/>
        <v>Error?</v>
      </c>
    </row>
    <row r="7218" spans="1:4" x14ac:dyDescent="0.2">
      <c r="A7218">
        <v>7157</v>
      </c>
      <c r="B7218" s="138">
        <f>'Expenditures 15-22'!E342</f>
        <v>82355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195678</v>
      </c>
      <c r="D7224" s="2" t="str">
        <f t="shared" si="111"/>
        <v>Error?</v>
      </c>
    </row>
    <row r="7225" spans="1:4" x14ac:dyDescent="0.2">
      <c r="A7225">
        <v>7164</v>
      </c>
      <c r="B7225" s="138">
        <f>'Expenditures 15-22'!K343</f>
        <v>25662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9294</v>
      </c>
      <c r="D7246" s="2" t="str">
        <f t="shared" si="112"/>
        <v>Error?</v>
      </c>
    </row>
    <row r="7247" spans="1:4" x14ac:dyDescent="0.2">
      <c r="A7247">
        <f t="shared" si="113"/>
        <v>7186</v>
      </c>
      <c r="B7247" s="138">
        <f>'Expenditures 15-22'!E7</f>
        <v>26117</v>
      </c>
      <c r="D7247" s="2" t="str">
        <f t="shared" si="112"/>
        <v>Error?</v>
      </c>
    </row>
    <row r="7248" spans="1:4" x14ac:dyDescent="0.2">
      <c r="A7248">
        <f t="shared" si="113"/>
        <v>7187</v>
      </c>
      <c r="B7248" s="138">
        <f>'Expenditures 15-22'!F7</f>
        <v>37049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149447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82005</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82005</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22563</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10950</v>
      </c>
      <c r="D7797" s="2" t="str">
        <f t="shared" si="127"/>
        <v>Error?</v>
      </c>
      <c r="E7797" s="4" t="s">
        <v>1903</v>
      </c>
    </row>
    <row r="7798" spans="1:5" x14ac:dyDescent="0.2">
      <c r="A7798">
        <v>7737</v>
      </c>
      <c r="B7798" s="138">
        <f>'Contracts Paid in CY 29'!F142</f>
        <v>10950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Nauvoo-Colusa CUSD 325</v>
      </c>
      <c r="B7" s="2407"/>
      <c r="C7" s="2407"/>
      <c r="D7" s="2408"/>
      <c r="E7" s="2409">
        <f>COVER!A13</f>
        <v>26034325026</v>
      </c>
      <c r="F7" s="2410"/>
      <c r="G7" s="2416" t="str">
        <f>COVER!T23</f>
        <v>066-004856</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Dennis G Koch &amp; Associates LLC</v>
      </c>
      <c r="H9" s="2422"/>
      <c r="I9" s="2422"/>
      <c r="J9" s="2422"/>
      <c r="K9" s="2422"/>
      <c r="L9" s="2423"/>
    </row>
    <row r="10" spans="1:29" ht="13.5" customHeight="1" x14ac:dyDescent="0.2">
      <c r="A10" s="2396" t="str">
        <f>COVER!A38</f>
        <v>Kent Young</v>
      </c>
      <c r="B10" s="2397"/>
      <c r="C10" s="2397"/>
      <c r="D10" s="2397"/>
      <c r="E10" s="2397"/>
      <c r="F10" s="2398"/>
      <c r="G10" s="2390" t="str">
        <f>COVER!T17</f>
        <v>1706 N 16th St</v>
      </c>
      <c r="H10" s="2391"/>
      <c r="I10" s="2391"/>
      <c r="J10" s="2391"/>
      <c r="K10" s="2391"/>
      <c r="L10" s="2392"/>
    </row>
    <row r="11" spans="1:29" ht="13.5" customHeight="1" x14ac:dyDescent="0.2">
      <c r="A11" s="1184" t="s">
        <v>1519</v>
      </c>
      <c r="B11" s="1185"/>
      <c r="C11" s="1186"/>
      <c r="D11" s="1191"/>
      <c r="E11" s="1186"/>
      <c r="F11" s="1190"/>
      <c r="G11" s="2390" t="str">
        <f>COVER!T19</f>
        <v xml:space="preserve">Quincy </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dgkoch@dgkochcpa.com</v>
      </c>
      <c r="J13" s="2403"/>
      <c r="K13" s="2403"/>
      <c r="L13" s="2404"/>
    </row>
    <row r="14" spans="1:29" ht="13.5" customHeight="1" x14ac:dyDescent="0.2">
      <c r="A14" s="2390" t="str">
        <f>COVER!A19</f>
        <v>2461 North State Highway 96</v>
      </c>
      <c r="B14" s="2391"/>
      <c r="C14" s="2391"/>
      <c r="D14" s="2391"/>
      <c r="E14" s="2391"/>
      <c r="F14" s="2392"/>
      <c r="G14" s="1195" t="s">
        <v>1185</v>
      </c>
      <c r="H14" s="1193"/>
      <c r="I14" s="1193"/>
      <c r="J14" s="1193"/>
      <c r="K14" s="1193"/>
      <c r="L14" s="1194"/>
    </row>
    <row r="15" spans="1:29" ht="13.5" customHeight="1" x14ac:dyDescent="0.2">
      <c r="A15" s="2390" t="str">
        <f>COVER!A21</f>
        <v>Nauvoo</v>
      </c>
      <c r="B15" s="2391"/>
      <c r="C15" s="2391"/>
      <c r="D15" s="2391"/>
      <c r="E15" s="2391"/>
      <c r="F15" s="2392"/>
      <c r="G15" s="2387" t="str">
        <f>COVER!T15</f>
        <v>Dennis G Koch</v>
      </c>
      <c r="H15" s="2388"/>
      <c r="I15" s="2388"/>
      <c r="J15" s="2388"/>
      <c r="K15" s="2388"/>
      <c r="L15" s="2389"/>
    </row>
    <row r="16" spans="1:29" ht="12.2" customHeight="1" x14ac:dyDescent="0.2">
      <c r="A16" s="2412">
        <f>COVER!A25</f>
        <v>62354</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217-224-8484</v>
      </c>
      <c r="H18" s="2407"/>
      <c r="I18" s="2407"/>
      <c r="J18" s="2407"/>
      <c r="K18" s="2406" t="str">
        <f>COVER!X21</f>
        <v>217-224-0504</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Nauvoo-Colusa CUSD 325</v>
      </c>
      <c r="B1" s="2405"/>
      <c r="C1" s="2405"/>
      <c r="D1" s="2405"/>
    </row>
    <row r="2" spans="1:11" s="1212" customFormat="1" ht="12.75" x14ac:dyDescent="0.2">
      <c r="A2" s="2429">
        <f>'Single Audit Cover'!E7</f>
        <v>26034325026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Nauvoo-Colusa CUSD 325</v>
      </c>
      <c r="B1" s="2432"/>
      <c r="C1" s="2432"/>
      <c r="D1" s="2432"/>
      <c r="E1" s="2432"/>
    </row>
    <row r="2" spans="1:5" x14ac:dyDescent="0.2">
      <c r="A2" s="2433">
        <f>'Single Audit Cover'!E7</f>
        <v>26034325026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175202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10689</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-7193</v>
      </c>
    </row>
    <row r="19" spans="1:4" ht="13.5" thickBot="1" x14ac:dyDescent="0.25">
      <c r="A19" s="1262" t="s">
        <v>1235</v>
      </c>
      <c r="D19" s="1263">
        <f>SUM(D10:D17)</f>
        <v>178698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178698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178698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Nauvoo-Colusa CUSD 325</v>
      </c>
      <c r="C1" s="2436"/>
      <c r="D1" s="2436"/>
      <c r="E1" s="2436"/>
      <c r="F1" s="2436"/>
      <c r="G1" s="2436"/>
      <c r="H1" s="2436"/>
      <c r="I1" s="2436"/>
      <c r="J1" s="2436"/>
      <c r="K1" s="2436"/>
      <c r="L1" s="2436"/>
      <c r="M1" s="2436"/>
    </row>
    <row r="2" spans="2:14" ht="15" x14ac:dyDescent="0.2">
      <c r="B2" s="2437">
        <f>'Single Audit Cover'!E7</f>
        <v>26034325026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Nauvoo-Colusa CUSD 325</v>
      </c>
      <c r="B1" s="2449"/>
      <c r="C1" s="2449"/>
      <c r="D1" s="2449"/>
      <c r="E1" s="2449"/>
      <c r="F1" s="2449"/>
    </row>
    <row r="2" spans="1:7" ht="13.5" customHeight="1" x14ac:dyDescent="0.2">
      <c r="A2" s="2437">
        <f>'Single Audit Cover'!E7</f>
        <v>26034325026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F0"/>
  </sheetPr>
  <dimension ref="A1:K143"/>
  <sheetViews>
    <sheetView showGridLines="0" defaultGridColor="0" topLeftCell="A104"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2093</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2094</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Nauvoo-Colusa CUSD 325</v>
      </c>
      <c r="C1" s="2464"/>
      <c r="D1" s="2464"/>
      <c r="E1" s="2464"/>
      <c r="F1" s="2464"/>
      <c r="G1" s="2464"/>
      <c r="H1" s="2464"/>
      <c r="I1" s="2464"/>
      <c r="J1" s="1406"/>
    </row>
    <row r="2" spans="2:10" s="317" customFormat="1" ht="12.75" customHeight="1" x14ac:dyDescent="0.2">
      <c r="B2" s="2465">
        <f>'Single Audit Cover'!E7</f>
        <v>26034325026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2062</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Nauvoo-Colusa CUSD 325</v>
      </c>
      <c r="C1" s="2463"/>
      <c r="D1" s="2463"/>
      <c r="E1" s="2463"/>
      <c r="F1" s="2463"/>
      <c r="G1" s="2463"/>
      <c r="H1" s="2463"/>
      <c r="I1" s="2463"/>
      <c r="J1" s="2463"/>
      <c r="K1" s="2463"/>
      <c r="L1" s="1371"/>
      <c r="M1" s="1371"/>
    </row>
    <row r="2" spans="1:13" ht="12" customHeight="1" x14ac:dyDescent="0.2">
      <c r="B2" s="2465">
        <f>'Single Audit Cover'!E7</f>
        <v>26034325026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Nauvoo-Colusa CUSD 325</v>
      </c>
      <c r="C1" s="2486"/>
      <c r="D1" s="2486"/>
      <c r="E1" s="2486"/>
      <c r="F1" s="2486"/>
      <c r="G1" s="2486"/>
      <c r="H1" s="2486"/>
      <c r="I1" s="2486"/>
      <c r="J1" s="2486"/>
      <c r="K1" s="2486"/>
      <c r="L1" s="1449"/>
    </row>
    <row r="2" spans="1:12" ht="12.75" customHeight="1" x14ac:dyDescent="0.2">
      <c r="B2" s="2487">
        <f>'Single Audit Cover'!E7</f>
        <v>26034325026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Nauvoo-Colusa CUSD 325</v>
      </c>
      <c r="C1" s="2463"/>
      <c r="D1" s="2463"/>
      <c r="E1" s="1469"/>
    </row>
    <row r="2" spans="2:5" s="1279" customFormat="1" ht="12.75" customHeight="1" x14ac:dyDescent="0.2">
      <c r="B2" s="2465">
        <f>'Single Audit Cover'!E7</f>
        <v>26034325026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F0"/>
  </sheetPr>
  <dimension ref="A1:N72"/>
  <sheetViews>
    <sheetView showGridLines="0" defaultGridColor="0" colorId="8" zoomScale="110" zoomScaleNormal="110" workbookViewId="0">
      <selection activeCell="A4" sqref="A4:F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57902279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2.5499999999999998E-2</v>
      </c>
      <c r="E10" s="356" t="s">
        <v>1005</v>
      </c>
      <c r="F10" s="355">
        <v>5.0000000000000001E-3</v>
      </c>
      <c r="G10" s="356" t="s">
        <v>1005</v>
      </c>
      <c r="H10" s="355">
        <v>2E-3</v>
      </c>
      <c r="I10" s="356" t="s">
        <v>1006</v>
      </c>
      <c r="J10" s="1732">
        <f>ROUND(D10+F10+H10,5)</f>
        <v>3.2500000000000001E-2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3546229</v>
      </c>
      <c r="E16" s="356"/>
      <c r="F16" s="1733">
        <f>SUM('Acct Summary 7-8'!C17,'Acct Summary 7-8'!D17,'Acct Summary 7-8'!F17)</f>
        <v>3161925</v>
      </c>
      <c r="G16" s="356"/>
      <c r="H16" s="1733">
        <f>SUM(D16-F16)</f>
        <v>384304</v>
      </c>
      <c r="I16" s="222"/>
      <c r="J16" s="1733">
        <f>SUM('Acct Summary 7-8'!C81,'Acct Summary 7-8'!D81,'Acct Summary 7-8'!F81,'Acct Summary 7-8'!I81)</f>
        <v>2422214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35">
        <f>IF(B31="X",(J7*0.069),IF(B32="X",(J7*0.138),"Enter x in a.or b."))</f>
        <v>3995257.2510000002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F0"/>
  </sheetPr>
  <dimension ref="A1:R44"/>
  <sheetViews>
    <sheetView showGridLines="0" topLeftCell="A19" zoomScale="110" zoomScaleNormal="110" workbookViewId="0">
      <selection activeCell="A4" sqref="A4:F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Nauvoo-Colusa CUSD 325</v>
      </c>
      <c r="E7" s="391"/>
      <c r="G7" s="252"/>
      <c r="H7" s="387"/>
      <c r="I7" s="387"/>
      <c r="J7" s="387"/>
      <c r="K7" s="387"/>
      <c r="L7" s="329"/>
      <c r="M7" s="329"/>
      <c r="N7" s="329"/>
      <c r="O7" s="329"/>
      <c r="P7" s="329"/>
    </row>
    <row r="8" spans="1:18" ht="12.75" x14ac:dyDescent="0.2">
      <c r="A8" s="329"/>
      <c r="B8" s="329"/>
      <c r="C8" s="389" t="s">
        <v>1125</v>
      </c>
      <c r="D8" s="392">
        <f>COVER!A13</f>
        <v>26034325026</v>
      </c>
      <c r="E8" s="393"/>
      <c r="G8" s="329"/>
      <c r="H8" s="329"/>
      <c r="I8" s="329"/>
      <c r="J8" s="329"/>
      <c r="K8" s="329"/>
      <c r="L8" s="329"/>
      <c r="M8" s="329"/>
      <c r="N8" s="329"/>
      <c r="O8" s="329"/>
      <c r="P8" s="329"/>
    </row>
    <row r="9" spans="1:18" ht="12.75" x14ac:dyDescent="0.2">
      <c r="A9" s="329"/>
      <c r="B9" s="329"/>
      <c r="C9" s="389" t="s">
        <v>713</v>
      </c>
      <c r="D9" s="394" t="str">
        <f>COVER!A15</f>
        <v>Hancock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2422214</v>
      </c>
      <c r="I12" s="404"/>
      <c r="J12" s="404"/>
      <c r="K12" s="405">
        <f>TRUNC((H12/H13*100000),5)/100000</f>
        <v>0.68303936369999996</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3546229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3161925</v>
      </c>
      <c r="I17" s="404"/>
      <c r="J17" s="416"/>
      <c r="K17" s="405">
        <f>TRUNC((H17/H18*100000),5)/100000</f>
        <v>0.89163023590000001</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3546229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2461365</v>
      </c>
      <c r="I24" s="422"/>
      <c r="J24" s="422"/>
      <c r="K24" s="423">
        <f>TRUNC(((H24/H25*100000)/100000),2)</f>
        <v>280.23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8783.125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1599550.45738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0</v>
      </c>
      <c r="I32" s="420"/>
      <c r="J32" s="420"/>
      <c r="K32" s="423">
        <f>TRUNC(100-((((H32/H33*100))*100)/100),2)</f>
        <v>100</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3995257.2510000002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B0F0"/>
  </sheetPr>
  <dimension ref="A1:N44"/>
  <sheetViews>
    <sheetView showGridLines="0" defaultGridColor="0" colorId="8" zoomScale="110" zoomScaleNormal="110" workbookViewId="0">
      <pane ySplit="2" topLeftCell="A3" activePane="bottomLeft" state="frozen"/>
      <selection activeCell="A4" sqref="A4:F4"/>
      <selection pane="bottomLeft" activeCell="A4" sqref="A4:F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1123498</v>
      </c>
      <c r="D4" s="466">
        <v>933185</v>
      </c>
      <c r="E4" s="466"/>
      <c r="F4" s="466">
        <v>404435</v>
      </c>
      <c r="G4" s="466">
        <v>333265</v>
      </c>
      <c r="H4" s="466"/>
      <c r="I4" s="466">
        <v>247</v>
      </c>
      <c r="J4" s="467">
        <v>136403</v>
      </c>
      <c r="K4" s="466">
        <v>7274</v>
      </c>
      <c r="L4" s="466">
        <v>39151</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1123498</v>
      </c>
      <c r="D13" s="1737">
        <f t="shared" ref="D13:L13" si="0">SUM(D4:D12)</f>
        <v>933185</v>
      </c>
      <c r="E13" s="1737">
        <f t="shared" si="0"/>
        <v>0</v>
      </c>
      <c r="F13" s="1737">
        <f t="shared" si="0"/>
        <v>404435</v>
      </c>
      <c r="G13" s="1737">
        <f t="shared" si="0"/>
        <v>333265</v>
      </c>
      <c r="H13" s="1737">
        <f t="shared" si="0"/>
        <v>0</v>
      </c>
      <c r="I13" s="1737">
        <f t="shared" si="0"/>
        <v>247</v>
      </c>
      <c r="J13" s="1737">
        <f t="shared" si="0"/>
        <v>136403</v>
      </c>
      <c r="K13" s="1737">
        <f t="shared" si="0"/>
        <v>7274</v>
      </c>
      <c r="L13" s="1737">
        <f t="shared" si="0"/>
        <v>39151</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29900</v>
      </c>
      <c r="N16" s="484"/>
    </row>
    <row r="17" spans="1:14" s="485" customFormat="1" ht="12.75" customHeight="1" x14ac:dyDescent="0.2">
      <c r="A17" s="482" t="s">
        <v>1403</v>
      </c>
      <c r="B17" s="483">
        <v>230</v>
      </c>
      <c r="C17" s="477"/>
      <c r="D17" s="477"/>
      <c r="E17" s="477"/>
      <c r="F17" s="477"/>
      <c r="G17" s="477"/>
      <c r="H17" s="477"/>
      <c r="I17" s="477"/>
      <c r="J17" s="477"/>
      <c r="K17" s="477"/>
      <c r="L17" s="477"/>
      <c r="M17" s="467">
        <v>953894</v>
      </c>
      <c r="N17" s="484"/>
    </row>
    <row r="18" spans="1:14" s="485" customFormat="1" ht="12.75" customHeight="1" x14ac:dyDescent="0.2">
      <c r="A18" s="482" t="s">
        <v>1404</v>
      </c>
      <c r="B18" s="483">
        <v>240</v>
      </c>
      <c r="C18" s="477"/>
      <c r="D18" s="477"/>
      <c r="E18" s="477"/>
      <c r="F18" s="477"/>
      <c r="G18" s="477"/>
      <c r="H18" s="477"/>
      <c r="I18" s="477"/>
      <c r="J18" s="477"/>
      <c r="K18" s="477"/>
      <c r="L18" s="477"/>
      <c r="M18" s="467">
        <v>57306</v>
      </c>
      <c r="N18" s="484"/>
    </row>
    <row r="19" spans="1:14" s="485" customFormat="1" ht="12.75" customHeight="1" x14ac:dyDescent="0.2">
      <c r="A19" s="482" t="s">
        <v>1405</v>
      </c>
      <c r="B19" s="483">
        <v>250</v>
      </c>
      <c r="C19" s="477"/>
      <c r="D19" s="477"/>
      <c r="E19" s="477"/>
      <c r="F19" s="477"/>
      <c r="G19" s="477"/>
      <c r="H19" s="477"/>
      <c r="I19" s="477"/>
      <c r="J19" s="477"/>
      <c r="K19" s="477"/>
      <c r="L19" s="477"/>
      <c r="M19" s="467">
        <f>163154+277413+67243</f>
        <v>507810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1548910</v>
      </c>
      <c r="N23" s="1688">
        <f>SUM(N21:N22)</f>
        <v>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v>39151</v>
      </c>
      <c r="D33" s="467"/>
      <c r="E33" s="467"/>
      <c r="F33" s="467"/>
      <c r="G33" s="467"/>
      <c r="H33" s="467"/>
      <c r="I33" s="467"/>
      <c r="J33" s="467"/>
      <c r="K33" s="467"/>
      <c r="L33" s="467">
        <v>39151</v>
      </c>
      <c r="M33" s="468"/>
      <c r="N33" s="469"/>
    </row>
    <row r="34" spans="1:14" ht="13.5" customHeight="1" thickBot="1" x14ac:dyDescent="0.25">
      <c r="A34" s="1738" t="s">
        <v>654</v>
      </c>
      <c r="B34" s="1739"/>
      <c r="C34" s="1740">
        <f>SUM(C25:C33)</f>
        <v>39151</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39151</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c r="D38" s="466"/>
      <c r="E38" s="466"/>
      <c r="F38" s="466"/>
      <c r="G38" s="466">
        <v>333265</v>
      </c>
      <c r="H38" s="466"/>
      <c r="I38" s="466">
        <v>247</v>
      </c>
      <c r="J38" s="467">
        <v>136403</v>
      </c>
      <c r="K38" s="466">
        <v>7274</v>
      </c>
      <c r="L38" s="481"/>
      <c r="M38" s="497"/>
      <c r="N38" s="497"/>
    </row>
    <row r="39" spans="1:14" s="329" customFormat="1" ht="13.5" customHeight="1" x14ac:dyDescent="0.2">
      <c r="A39" s="496" t="s">
        <v>342</v>
      </c>
      <c r="B39" s="483">
        <v>730</v>
      </c>
      <c r="C39" s="466">
        <v>1084347</v>
      </c>
      <c r="D39" s="466">
        <v>933185</v>
      </c>
      <c r="E39" s="466"/>
      <c r="F39" s="466">
        <v>404435</v>
      </c>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1548910</v>
      </c>
      <c r="N40" s="497"/>
    </row>
    <row r="41" spans="1:14" ht="13.5" customHeight="1" thickBot="1" x14ac:dyDescent="0.25">
      <c r="A41" s="1736" t="s">
        <v>655</v>
      </c>
      <c r="B41" s="1706"/>
      <c r="C41" s="1688">
        <f>(SUM(C34,C37,C38,C39))</f>
        <v>1123498</v>
      </c>
      <c r="D41" s="1688">
        <f t="shared" ref="D41:L41" si="2">SUM(D34,D37,D38:D39)</f>
        <v>933185</v>
      </c>
      <c r="E41" s="1688">
        <f t="shared" si="2"/>
        <v>0</v>
      </c>
      <c r="F41" s="1688">
        <f t="shared" si="2"/>
        <v>404435</v>
      </c>
      <c r="G41" s="1688">
        <f t="shared" si="2"/>
        <v>333265</v>
      </c>
      <c r="H41" s="1688">
        <f t="shared" si="2"/>
        <v>0</v>
      </c>
      <c r="I41" s="1688">
        <f t="shared" si="2"/>
        <v>247</v>
      </c>
      <c r="J41" s="1688">
        <f t="shared" si="2"/>
        <v>136403</v>
      </c>
      <c r="K41" s="1688">
        <f t="shared" si="2"/>
        <v>7274</v>
      </c>
      <c r="L41" s="1688">
        <f t="shared" si="2"/>
        <v>39151</v>
      </c>
      <c r="M41" s="1688">
        <f>SUM(M40)</f>
        <v>1548910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defaultGridColor="0" colorId="8" zoomScale="110" zoomScaleNormal="110" zoomScaleSheetLayoutView="100" workbookViewId="0">
      <pane ySplit="2" topLeftCell="A49" activePane="bottomLeft" state="frozen"/>
      <selection activeCell="A4" sqref="A4:F4"/>
      <selection pane="bottomLeft" activeCell="A4" sqref="A4:F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2243091</v>
      </c>
      <c r="D4" s="1742">
        <f>'Revenues 9-14'!D109</f>
        <v>289449</v>
      </c>
      <c r="E4" s="1742">
        <f>'Revenues 9-14'!E109</f>
        <v>0</v>
      </c>
      <c r="F4" s="1742">
        <f>'Revenues 9-14'!F109</f>
        <v>114990</v>
      </c>
      <c r="G4" s="1742">
        <f>'Revenues 9-14'!G109</f>
        <v>106718</v>
      </c>
      <c r="H4" s="1742">
        <f>'Revenues 9-14'!H109</f>
        <v>0</v>
      </c>
      <c r="I4" s="1742">
        <f>'Revenues 9-14'!I109</f>
        <v>28866</v>
      </c>
      <c r="J4" s="1742">
        <f>'Revenues 9-14'!J109</f>
        <v>221340</v>
      </c>
      <c r="K4" s="1742">
        <f>'Revenues 9-14'!K109</f>
        <v>28566</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467545</v>
      </c>
      <c r="D6" s="1743">
        <f>'Revenues 9-14'!D170</f>
        <v>0</v>
      </c>
      <c r="E6" s="1743">
        <f>'Revenues 9-14'!E170</f>
        <v>0</v>
      </c>
      <c r="F6" s="1743">
        <f>'Revenues 9-14'!F170</f>
        <v>227086</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175202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2885838</v>
      </c>
      <c r="D8" s="1688">
        <f t="shared" ref="D8:K8" si="0">SUM(D4:D7)</f>
        <v>289449</v>
      </c>
      <c r="E8" s="1688">
        <f t="shared" si="0"/>
        <v>0</v>
      </c>
      <c r="F8" s="1688">
        <f t="shared" si="0"/>
        <v>342076</v>
      </c>
      <c r="G8" s="1688">
        <f t="shared" si="0"/>
        <v>106718</v>
      </c>
      <c r="H8" s="1688">
        <f t="shared" si="0"/>
        <v>0</v>
      </c>
      <c r="I8" s="1688">
        <f t="shared" si="0"/>
        <v>28866</v>
      </c>
      <c r="J8" s="1688">
        <f t="shared" si="0"/>
        <v>221340</v>
      </c>
      <c r="K8" s="1688">
        <f t="shared" si="0"/>
        <v>28566</v>
      </c>
      <c r="L8" s="347"/>
    </row>
    <row r="9" spans="1:13" ht="15.75" thickTop="1" x14ac:dyDescent="0.2">
      <c r="A9" s="514" t="s">
        <v>1653</v>
      </c>
      <c r="B9" s="515">
        <v>3998</v>
      </c>
      <c r="C9" s="481">
        <v>948732</v>
      </c>
      <c r="D9" s="516"/>
      <c r="E9" s="481"/>
      <c r="F9" s="481"/>
      <c r="G9" s="517"/>
      <c r="H9" s="481"/>
      <c r="I9" s="509" t="s">
        <v>1169</v>
      </c>
      <c r="J9" s="478"/>
      <c r="K9" s="481"/>
      <c r="L9" s="347"/>
    </row>
    <row r="10" spans="1:13" s="519" customFormat="1" ht="13.5" thickBot="1" x14ac:dyDescent="0.25">
      <c r="A10" s="1736" t="s">
        <v>1173</v>
      </c>
      <c r="B10" s="1709"/>
      <c r="C10" s="1688">
        <f>SUM(C8:C9)</f>
        <v>3834570</v>
      </c>
      <c r="D10" s="1688">
        <f t="shared" ref="D10:K10" si="1">SUM(D8:D9)</f>
        <v>289449</v>
      </c>
      <c r="E10" s="1688">
        <f t="shared" si="1"/>
        <v>0</v>
      </c>
      <c r="F10" s="1688">
        <f t="shared" si="1"/>
        <v>342076</v>
      </c>
      <c r="G10" s="1688">
        <f t="shared" si="1"/>
        <v>106718</v>
      </c>
      <c r="H10" s="1688">
        <f t="shared" si="1"/>
        <v>0</v>
      </c>
      <c r="I10" s="1688">
        <f t="shared" si="1"/>
        <v>28866</v>
      </c>
      <c r="J10" s="1688">
        <f t="shared" si="1"/>
        <v>221340</v>
      </c>
      <c r="K10" s="1688">
        <f t="shared" si="1"/>
        <v>28566</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1366375</v>
      </c>
      <c r="D12" s="520" t="s">
        <v>1169</v>
      </c>
      <c r="E12" s="468" t="s">
        <v>1169</v>
      </c>
      <c r="F12" s="468" t="s">
        <v>1169</v>
      </c>
      <c r="G12" s="1742">
        <f>'Expenditures 15-22'!K229</f>
        <v>30039</v>
      </c>
      <c r="H12" s="521"/>
      <c r="I12" s="468" t="s">
        <v>1169</v>
      </c>
      <c r="J12" s="468" t="s">
        <v>1169</v>
      </c>
      <c r="K12" s="521" t="s">
        <v>1169</v>
      </c>
      <c r="L12" s="347"/>
    </row>
    <row r="13" spans="1:13" ht="15.75" customHeight="1" x14ac:dyDescent="0.2">
      <c r="A13" s="1576" t="s">
        <v>457</v>
      </c>
      <c r="B13" s="1578">
        <v>2000</v>
      </c>
      <c r="C13" s="1743">
        <f>'Expenditures 15-22'!K74</f>
        <v>737464</v>
      </c>
      <c r="D13" s="1743">
        <f>'Expenditures 15-22'!K129</f>
        <v>285592</v>
      </c>
      <c r="E13" s="469" t="s">
        <v>1169</v>
      </c>
      <c r="F13" s="1743">
        <f>'Expenditures 15-22'!K184</f>
        <v>164244</v>
      </c>
      <c r="G13" s="1743">
        <f>'Expenditures 15-22'!K279</f>
        <v>59884</v>
      </c>
      <c r="H13" s="1743">
        <f>'Expenditures 15-22'!K303</f>
        <v>0</v>
      </c>
      <c r="I13" s="468" t="s">
        <v>1169</v>
      </c>
      <c r="J13" s="1743">
        <f>'Expenditures 15-22'!K330</f>
        <v>195678</v>
      </c>
      <c r="K13" s="1747">
        <f>'Expenditures 15-22'!K352</f>
        <v>141640</v>
      </c>
      <c r="L13" s="347"/>
    </row>
    <row r="14" spans="1:13" ht="15.75" customHeight="1" x14ac:dyDescent="0.2">
      <c r="A14" s="1576" t="s">
        <v>449</v>
      </c>
      <c r="B14" s="1578">
        <v>3000</v>
      </c>
      <c r="C14" s="1743">
        <f>'Expenditures 15-22'!K75</f>
        <v>3106</v>
      </c>
      <c r="D14" s="1743">
        <f>'Expenditures 15-22'!K130</f>
        <v>0</v>
      </c>
      <c r="E14" s="520" t="s">
        <v>1169</v>
      </c>
      <c r="F14" s="1743">
        <f>'Expenditures 15-22'!K185</f>
        <v>0</v>
      </c>
      <c r="G14" s="1743">
        <f>'Expenditures 15-22'!K280</f>
        <v>34</v>
      </c>
      <c r="H14" s="512"/>
      <c r="I14" s="468" t="s">
        <v>1169</v>
      </c>
      <c r="J14" s="468" t="s">
        <v>1169</v>
      </c>
      <c r="K14" s="512" t="s">
        <v>1169</v>
      </c>
      <c r="L14" s="347"/>
    </row>
    <row r="15" spans="1:13" ht="15.75" customHeight="1" x14ac:dyDescent="0.2">
      <c r="A15" s="1576" t="s">
        <v>107</v>
      </c>
      <c r="B15" s="1578">
        <v>4000</v>
      </c>
      <c r="C15" s="1743">
        <f>'Expenditures 15-22'!K102</f>
        <v>524343</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80801</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2631288</v>
      </c>
      <c r="D17" s="1688">
        <f t="shared" si="2"/>
        <v>285592</v>
      </c>
      <c r="E17" s="1688">
        <f t="shared" si="2"/>
        <v>0</v>
      </c>
      <c r="F17" s="1688">
        <f t="shared" si="2"/>
        <v>245045</v>
      </c>
      <c r="G17" s="1688">
        <f t="shared" si="2"/>
        <v>89957</v>
      </c>
      <c r="H17" s="1688">
        <f t="shared" si="2"/>
        <v>0</v>
      </c>
      <c r="I17" s="468"/>
      <c r="J17" s="1688">
        <f>SUM(J12:J16)</f>
        <v>195678</v>
      </c>
      <c r="K17" s="1688">
        <f>SUM(K12:K16)</f>
        <v>141640</v>
      </c>
      <c r="L17" s="347"/>
    </row>
    <row r="18" spans="1:12" ht="15" customHeight="1" thickTop="1" x14ac:dyDescent="0.2">
      <c r="A18" s="1744" t="s">
        <v>1654</v>
      </c>
      <c r="B18" s="1745">
        <v>4180</v>
      </c>
      <c r="C18" s="1742">
        <f t="shared" ref="C18:H18" si="3">C9</f>
        <v>948732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3580020</v>
      </c>
      <c r="D19" s="1688">
        <f t="shared" si="4"/>
        <v>285592</v>
      </c>
      <c r="E19" s="1688">
        <f t="shared" si="4"/>
        <v>0</v>
      </c>
      <c r="F19" s="1688">
        <f t="shared" si="4"/>
        <v>245045</v>
      </c>
      <c r="G19" s="1688">
        <f t="shared" si="4"/>
        <v>89957</v>
      </c>
      <c r="H19" s="1688">
        <f t="shared" si="4"/>
        <v>0</v>
      </c>
      <c r="I19" s="468"/>
      <c r="J19" s="1688">
        <f>SUM(J17:J18)</f>
        <v>195678</v>
      </c>
      <c r="K19" s="1688">
        <f>SUM(K17:K18)</f>
        <v>141640</v>
      </c>
      <c r="L19" s="347"/>
    </row>
    <row r="20" spans="1:12" ht="16.5" thickTop="1" thickBot="1" x14ac:dyDescent="0.25">
      <c r="A20" s="2129" t="s">
        <v>1655</v>
      </c>
      <c r="B20" s="2130"/>
      <c r="C20" s="1746">
        <f>C8-C17</f>
        <v>254550</v>
      </c>
      <c r="D20" s="1746">
        <f t="shared" ref="D20:K20" si="5">D8-D17</f>
        <v>3857</v>
      </c>
      <c r="E20" s="1746">
        <f t="shared" si="5"/>
        <v>0</v>
      </c>
      <c r="F20" s="1746">
        <f t="shared" si="5"/>
        <v>97031</v>
      </c>
      <c r="G20" s="1746">
        <f t="shared" si="5"/>
        <v>16761</v>
      </c>
      <c r="H20" s="1746">
        <f t="shared" si="5"/>
        <v>0</v>
      </c>
      <c r="I20" s="1746">
        <f t="shared" si="5"/>
        <v>28866</v>
      </c>
      <c r="J20" s="1746">
        <f t="shared" si="5"/>
        <v>25662</v>
      </c>
      <c r="K20" s="1746">
        <f t="shared" si="5"/>
        <v>-113074</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v>205000</v>
      </c>
      <c r="D43" s="467">
        <v>500000</v>
      </c>
      <c r="E43" s="467"/>
      <c r="F43" s="467"/>
      <c r="G43" s="467"/>
      <c r="H43" s="467"/>
      <c r="I43" s="467">
        <v>0</v>
      </c>
      <c r="J43" s="467"/>
      <c r="K43" s="467"/>
      <c r="L43" s="524"/>
    </row>
    <row r="44" spans="1:12" s="485" customFormat="1" ht="13.5" customHeight="1" thickBot="1" x14ac:dyDescent="0.25">
      <c r="A44" s="2143" t="s">
        <v>374</v>
      </c>
      <c r="B44" s="2144"/>
      <c r="C44" s="1703">
        <f>SUM(C24:C43)</f>
        <v>205000</v>
      </c>
      <c r="D44" s="1703">
        <f t="shared" ref="D44:K44" si="6">SUM(D24:D43)</f>
        <v>500000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v>205000</v>
      </c>
      <c r="J75" s="530">
        <v>500000</v>
      </c>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205000</v>
      </c>
      <c r="J76" s="1703">
        <f t="shared" si="7"/>
        <v>500000</v>
      </c>
      <c r="K76" s="1703">
        <f t="shared" si="7"/>
        <v>0</v>
      </c>
      <c r="L76" s="524"/>
    </row>
    <row r="77" spans="1:12" ht="14.25" thickTop="1" thickBot="1" x14ac:dyDescent="0.25">
      <c r="A77" s="2121" t="s">
        <v>1177</v>
      </c>
      <c r="B77" s="2122"/>
      <c r="C77" s="1703">
        <f t="shared" ref="C77:K77" si="8">C44-C76</f>
        <v>205000</v>
      </c>
      <c r="D77" s="1703">
        <f t="shared" si="8"/>
        <v>500000</v>
      </c>
      <c r="E77" s="1703">
        <f t="shared" si="8"/>
        <v>0</v>
      </c>
      <c r="F77" s="1703">
        <f t="shared" si="8"/>
        <v>0</v>
      </c>
      <c r="G77" s="1703">
        <f t="shared" si="8"/>
        <v>0</v>
      </c>
      <c r="H77" s="1703">
        <f t="shared" si="8"/>
        <v>0</v>
      </c>
      <c r="I77" s="1703">
        <f t="shared" si="8"/>
        <v>-205000</v>
      </c>
      <c r="J77" s="1703">
        <f t="shared" si="8"/>
        <v>-500000</v>
      </c>
      <c r="K77" s="1703">
        <f t="shared" si="8"/>
        <v>0</v>
      </c>
      <c r="L77" s="347"/>
    </row>
    <row r="78" spans="1:12" ht="21.75" customHeight="1" thickTop="1" thickBot="1" x14ac:dyDescent="0.25">
      <c r="A78" s="2125" t="s">
        <v>597</v>
      </c>
      <c r="B78" s="2126"/>
      <c r="C78" s="1702">
        <f t="shared" ref="C78:K78" si="9">C20+C77</f>
        <v>459550</v>
      </c>
      <c r="D78" s="1702">
        <f t="shared" si="9"/>
        <v>503857</v>
      </c>
      <c r="E78" s="1702">
        <f t="shared" si="9"/>
        <v>0</v>
      </c>
      <c r="F78" s="1702">
        <f t="shared" si="9"/>
        <v>97031</v>
      </c>
      <c r="G78" s="1702">
        <f t="shared" si="9"/>
        <v>16761</v>
      </c>
      <c r="H78" s="1702">
        <f t="shared" si="9"/>
        <v>0</v>
      </c>
      <c r="I78" s="1702">
        <f t="shared" si="9"/>
        <v>-176134</v>
      </c>
      <c r="J78" s="1702">
        <f t="shared" si="9"/>
        <v>-474338</v>
      </c>
      <c r="K78" s="1702">
        <f t="shared" si="9"/>
        <v>-113074</v>
      </c>
      <c r="L78" s="533"/>
    </row>
    <row r="79" spans="1:12" ht="13.5" thickTop="1" x14ac:dyDescent="0.2">
      <c r="A79" s="1494" t="s">
        <v>1947</v>
      </c>
      <c r="B79" s="534"/>
      <c r="C79" s="478">
        <v>624797</v>
      </c>
      <c r="D79" s="535">
        <v>429328</v>
      </c>
      <c r="E79" s="535">
        <v>0</v>
      </c>
      <c r="F79" s="535">
        <v>307404</v>
      </c>
      <c r="G79" s="535">
        <v>316504</v>
      </c>
      <c r="H79" s="535"/>
      <c r="I79" s="535">
        <v>176381</v>
      </c>
      <c r="J79" s="535">
        <v>610741</v>
      </c>
      <c r="K79" s="535">
        <v>120348</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1084347</v>
      </c>
      <c r="D81" s="1688">
        <f>SUM(D78:D80)</f>
        <v>933185</v>
      </c>
      <c r="E81" s="1688">
        <f t="shared" ref="E81:K81" si="10">SUM(E78:E80)</f>
        <v>0</v>
      </c>
      <c r="F81" s="1688">
        <f t="shared" si="10"/>
        <v>404435</v>
      </c>
      <c r="G81" s="1688">
        <f t="shared" si="10"/>
        <v>333265</v>
      </c>
      <c r="H81" s="1688">
        <f t="shared" si="10"/>
        <v>0</v>
      </c>
      <c r="I81" s="1688">
        <f t="shared" si="10"/>
        <v>247</v>
      </c>
      <c r="J81" s="1688">
        <f t="shared" si="10"/>
        <v>136403</v>
      </c>
      <c r="K81" s="1688">
        <f t="shared" si="10"/>
        <v>7274</v>
      </c>
      <c r="L81" s="347"/>
    </row>
    <row r="82" spans="1:12" ht="0.75" customHeight="1" thickTop="1" thickBot="1" x14ac:dyDescent="0.25">
      <c r="A82" s="536" t="s">
        <v>343</v>
      </c>
      <c r="B82" s="537"/>
      <c r="C82" s="538">
        <f>(C81-C79)</f>
        <v>459550</v>
      </c>
      <c r="D82" s="538">
        <f t="shared" ref="D82:K82" si="11">(D81-D79)</f>
        <v>503857</v>
      </c>
      <c r="E82" s="538">
        <f t="shared" si="11"/>
        <v>0</v>
      </c>
      <c r="F82" s="538">
        <f t="shared" si="11"/>
        <v>97031</v>
      </c>
      <c r="G82" s="538">
        <f t="shared" si="11"/>
        <v>16761</v>
      </c>
      <c r="H82" s="538">
        <f t="shared" si="11"/>
        <v>0</v>
      </c>
      <c r="I82" s="538">
        <f t="shared" si="11"/>
        <v>-176134</v>
      </c>
      <c r="J82" s="538">
        <f t="shared" si="11"/>
        <v>-474338</v>
      </c>
      <c r="K82" s="538">
        <f t="shared" si="11"/>
        <v>-113074</v>
      </c>
    </row>
    <row r="83" spans="1:12" ht="14.25" hidden="1" thickTop="1" thickBot="1" x14ac:dyDescent="0.25">
      <c r="A83" s="539" t="s">
        <v>344</v>
      </c>
      <c r="B83" s="464"/>
      <c r="C83" s="540">
        <f>C82/C81</f>
        <v>0.4238034503715139</v>
      </c>
      <c r="D83" s="540">
        <f t="shared" ref="D83:K83" si="12">D82/D81</f>
        <v>0.53993259643050417</v>
      </c>
      <c r="E83" s="540" t="e">
        <f t="shared" si="12"/>
        <v>#DIV/0!</v>
      </c>
      <c r="F83" s="540">
        <f t="shared" si="12"/>
        <v>0.23991741565393698</v>
      </c>
      <c r="G83" s="540">
        <f t="shared" si="12"/>
        <v>5.0293310128576359E-2</v>
      </c>
      <c r="H83" s="540" t="e">
        <f t="shared" si="12"/>
        <v>#DIV/0!</v>
      </c>
      <c r="I83" s="540">
        <f t="shared" si="12"/>
        <v>-713.09311740890689</v>
      </c>
      <c r="J83" s="540">
        <f t="shared" si="12"/>
        <v>-3.4774748355974574</v>
      </c>
      <c r="K83" s="540">
        <f t="shared" si="12"/>
        <v>-15.544954632939236</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L279"/>
  <sheetViews>
    <sheetView showGridLines="0" defaultGridColor="0" colorId="8" zoomScale="110" zoomScaleNormal="110" zoomScaleSheetLayoutView="75" workbookViewId="0">
      <pane ySplit="2" topLeftCell="A3" activePane="bottomLeft" state="frozen"/>
      <selection activeCell="A4" sqref="A4:F4"/>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1438443</v>
      </c>
      <c r="D5" s="481">
        <v>282049</v>
      </c>
      <c r="E5" s="466"/>
      <c r="F5" s="548">
        <v>112819</v>
      </c>
      <c r="G5" s="466">
        <v>29897</v>
      </c>
      <c r="H5" s="466"/>
      <c r="I5" s="466">
        <v>28206</v>
      </c>
      <c r="J5" s="467">
        <v>218398</v>
      </c>
      <c r="K5" s="466">
        <v>28206</v>
      </c>
    </row>
    <row r="6" spans="1:12" ht="15" x14ac:dyDescent="0.2">
      <c r="A6" s="463" t="s">
        <v>1662</v>
      </c>
      <c r="B6" s="470">
        <v>1130</v>
      </c>
      <c r="C6" s="466">
        <v>28206</v>
      </c>
      <c r="D6" s="466"/>
      <c r="E6" s="475"/>
      <c r="F6" s="475"/>
      <c r="G6" s="468"/>
      <c r="H6" s="468"/>
      <c r="I6" s="468"/>
      <c r="J6" s="468"/>
      <c r="K6" s="468"/>
    </row>
    <row r="7" spans="1:12" x14ac:dyDescent="0.2">
      <c r="A7" s="463" t="s">
        <v>110</v>
      </c>
      <c r="B7" s="549">
        <v>1140</v>
      </c>
      <c r="C7" s="466">
        <v>22563</v>
      </c>
      <c r="D7" s="466"/>
      <c r="E7" s="468"/>
      <c r="F7" s="467"/>
      <c r="G7" s="467"/>
      <c r="H7" s="467"/>
      <c r="I7" s="468"/>
      <c r="J7" s="468"/>
      <c r="K7" s="468"/>
    </row>
    <row r="8" spans="1:12" x14ac:dyDescent="0.2">
      <c r="A8" s="463" t="s">
        <v>413</v>
      </c>
      <c r="B8" s="470">
        <v>1150</v>
      </c>
      <c r="C8" s="475"/>
      <c r="D8" s="475"/>
      <c r="E8" s="477"/>
      <c r="F8" s="477"/>
      <c r="G8" s="481">
        <v>74742</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1489212</v>
      </c>
      <c r="D12" s="1707">
        <f t="shared" si="0"/>
        <v>282049</v>
      </c>
      <c r="E12" s="1707">
        <f t="shared" si="0"/>
        <v>0</v>
      </c>
      <c r="F12" s="1707">
        <f t="shared" si="0"/>
        <v>112819</v>
      </c>
      <c r="G12" s="1707">
        <f t="shared" si="0"/>
        <v>104639</v>
      </c>
      <c r="H12" s="1707">
        <f t="shared" si="0"/>
        <v>0</v>
      </c>
      <c r="I12" s="1707">
        <f t="shared" si="0"/>
        <v>28206</v>
      </c>
      <c r="J12" s="1707">
        <f t="shared" si="0"/>
        <v>218398</v>
      </c>
      <c r="K12" s="1688">
        <f t="shared" si="0"/>
        <v>28206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726</v>
      </c>
      <c r="D14" s="466">
        <v>137</v>
      </c>
      <c r="E14" s="466"/>
      <c r="F14" s="466">
        <v>55</v>
      </c>
      <c r="G14" s="466">
        <v>51</v>
      </c>
      <c r="H14" s="466"/>
      <c r="I14" s="466">
        <v>14</v>
      </c>
      <c r="J14" s="467">
        <v>105</v>
      </c>
      <c r="K14" s="466">
        <v>14</v>
      </c>
    </row>
    <row r="15" spans="1:12" ht="12.75" customHeight="1" x14ac:dyDescent="0.2">
      <c r="A15" s="463" t="s">
        <v>95</v>
      </c>
      <c r="B15" s="470">
        <v>1220</v>
      </c>
      <c r="C15" s="551"/>
      <c r="D15" s="466"/>
      <c r="E15" s="466"/>
      <c r="F15" s="466"/>
      <c r="G15" s="466"/>
      <c r="H15" s="466"/>
      <c r="I15" s="466"/>
      <c r="J15" s="467">
        <v>2525</v>
      </c>
      <c r="K15" s="466"/>
    </row>
    <row r="16" spans="1:12" ht="15" customHeight="1" x14ac:dyDescent="0.2">
      <c r="A16" s="463" t="s">
        <v>1663</v>
      </c>
      <c r="B16" s="549">
        <v>1230</v>
      </c>
      <c r="C16" s="551">
        <v>89103</v>
      </c>
      <c r="D16" s="466"/>
      <c r="E16" s="466"/>
      <c r="F16" s="466"/>
      <c r="G16" s="466"/>
      <c r="H16" s="466"/>
      <c r="I16" s="466"/>
      <c r="J16" s="467"/>
      <c r="K16" s="466"/>
    </row>
    <row r="17" spans="1:11" ht="12.75" customHeight="1" x14ac:dyDescent="0.2">
      <c r="A17" s="463" t="s">
        <v>807</v>
      </c>
      <c r="B17" s="470">
        <v>1290</v>
      </c>
      <c r="C17" s="551">
        <v>201008</v>
      </c>
      <c r="D17" s="466">
        <v>3031</v>
      </c>
      <c r="E17" s="466"/>
      <c r="F17" s="466">
        <v>1263</v>
      </c>
      <c r="G17" s="466">
        <v>1263</v>
      </c>
      <c r="H17" s="466"/>
      <c r="I17" s="466">
        <v>253</v>
      </c>
      <c r="J17" s="467"/>
      <c r="K17" s="466">
        <v>253</v>
      </c>
    </row>
    <row r="18" spans="1:11" ht="12.75" customHeight="1" thickBot="1" x14ac:dyDescent="0.25">
      <c r="A18" s="1708" t="s">
        <v>537</v>
      </c>
      <c r="B18" s="1709"/>
      <c r="C18" s="1710">
        <f>SUM(C14:C17)</f>
        <v>290837</v>
      </c>
      <c r="D18" s="1710">
        <f t="shared" ref="D18:K18" si="1">SUM(D14:D17)</f>
        <v>3168</v>
      </c>
      <c r="E18" s="1710">
        <f t="shared" si="1"/>
        <v>0</v>
      </c>
      <c r="F18" s="1710">
        <f t="shared" si="1"/>
        <v>1318</v>
      </c>
      <c r="G18" s="1710">
        <f t="shared" si="1"/>
        <v>1314</v>
      </c>
      <c r="H18" s="1710">
        <f t="shared" si="1"/>
        <v>0</v>
      </c>
      <c r="I18" s="1710">
        <f t="shared" si="1"/>
        <v>267</v>
      </c>
      <c r="J18" s="1710">
        <f t="shared" si="1"/>
        <v>2630</v>
      </c>
      <c r="K18" s="1711">
        <f t="shared" si="1"/>
        <v>267</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v>352337</v>
      </c>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352337</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2563</v>
      </c>
      <c r="D65" s="466">
        <v>2187</v>
      </c>
      <c r="E65" s="466"/>
      <c r="F65" s="467">
        <v>755</v>
      </c>
      <c r="G65" s="466">
        <v>765</v>
      </c>
      <c r="H65" s="466"/>
      <c r="I65" s="466">
        <v>393</v>
      </c>
      <c r="J65" s="467">
        <v>312</v>
      </c>
      <c r="K65" s="466">
        <v>93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2563</v>
      </c>
      <c r="D67" s="1688">
        <f t="shared" ref="D67:K67" si="2">SUM(D65:D66)</f>
        <v>2187</v>
      </c>
      <c r="E67" s="1688">
        <f t="shared" si="2"/>
        <v>0</v>
      </c>
      <c r="F67" s="1688">
        <f t="shared" si="2"/>
        <v>755</v>
      </c>
      <c r="G67" s="1688">
        <f t="shared" si="2"/>
        <v>765</v>
      </c>
      <c r="H67" s="1688">
        <f t="shared" si="2"/>
        <v>0</v>
      </c>
      <c r="I67" s="1688">
        <f t="shared" si="2"/>
        <v>393</v>
      </c>
      <c r="J67" s="1688">
        <f t="shared" si="2"/>
        <v>312</v>
      </c>
      <c r="K67" s="1688">
        <f t="shared" si="2"/>
        <v>93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40566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2694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43260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13565</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7176</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20741</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45</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25590</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18551</v>
      </c>
      <c r="D106" s="489"/>
      <c r="E106" s="467"/>
      <c r="F106" s="467">
        <v>98</v>
      </c>
      <c r="G106" s="467"/>
      <c r="H106" s="467"/>
      <c r="I106" s="521"/>
      <c r="J106" s="467"/>
      <c r="K106" s="467"/>
    </row>
    <row r="107" spans="1:12" ht="12.75" customHeight="1" x14ac:dyDescent="0.2">
      <c r="A107" s="463" t="s">
        <v>78</v>
      </c>
      <c r="B107" s="470">
        <v>1999</v>
      </c>
      <c r="C107" s="551"/>
      <c r="D107" s="466">
        <v>2000</v>
      </c>
      <c r="E107" s="466"/>
      <c r="F107" s="466"/>
      <c r="G107" s="466"/>
      <c r="H107" s="466"/>
      <c r="I107" s="466"/>
      <c r="J107" s="467"/>
      <c r="K107" s="466"/>
    </row>
    <row r="108" spans="1:12" ht="12.75" customHeight="1" thickBot="1" x14ac:dyDescent="0.25">
      <c r="A108" s="1708" t="s">
        <v>487</v>
      </c>
      <c r="B108" s="1712"/>
      <c r="C108" s="1707">
        <f>SUM(C95:C107)</f>
        <v>44141</v>
      </c>
      <c r="D108" s="1707">
        <f t="shared" ref="D108:K108" si="3">SUM(D95:D107)</f>
        <v>2045</v>
      </c>
      <c r="E108" s="1707">
        <f t="shared" si="3"/>
        <v>0</v>
      </c>
      <c r="F108" s="1707">
        <f t="shared" si="3"/>
        <v>98</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2243091</v>
      </c>
      <c r="D109" s="1715">
        <f t="shared" si="4"/>
        <v>289449</v>
      </c>
      <c r="E109" s="1715">
        <f t="shared" si="4"/>
        <v>0</v>
      </c>
      <c r="F109" s="1715">
        <f t="shared" si="4"/>
        <v>114990</v>
      </c>
      <c r="G109" s="1715">
        <f t="shared" si="4"/>
        <v>106718</v>
      </c>
      <c r="H109" s="1715">
        <f t="shared" si="4"/>
        <v>0</v>
      </c>
      <c r="I109" s="1715">
        <f t="shared" si="4"/>
        <v>28866</v>
      </c>
      <c r="J109" s="1715">
        <f t="shared" si="4"/>
        <v>221340</v>
      </c>
      <c r="K109" s="1702">
        <f t="shared" si="4"/>
        <v>28566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315898</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315898</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1194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160369</v>
      </c>
      <c r="G152" s="467"/>
      <c r="H152" s="468"/>
      <c r="I152" s="468"/>
      <c r="J152" s="468"/>
      <c r="K152" s="468"/>
    </row>
    <row r="153" spans="1:11" ht="12.75" customHeight="1" x14ac:dyDescent="0.2">
      <c r="A153" s="463" t="s">
        <v>1057</v>
      </c>
      <c r="B153" s="562">
        <v>3510</v>
      </c>
      <c r="C153" s="551"/>
      <c r="D153" s="466"/>
      <c r="E153" s="561"/>
      <c r="F153" s="466">
        <v>66717</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227086</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150453</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151647</v>
      </c>
      <c r="D169" s="1722">
        <f t="shared" si="6"/>
        <v>0</v>
      </c>
      <c r="E169" s="1722">
        <f t="shared" si="6"/>
        <v>0</v>
      </c>
      <c r="F169" s="1722">
        <f t="shared" si="6"/>
        <v>227086</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467545</v>
      </c>
      <c r="D170" s="1715">
        <f t="shared" si="7"/>
        <v>0</v>
      </c>
      <c r="E170" s="1715">
        <f t="shared" si="7"/>
        <v>0</v>
      </c>
      <c r="F170" s="1715">
        <f t="shared" si="7"/>
        <v>227086</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60065</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12721</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72786</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69377</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69377</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1567</v>
      </c>
      <c r="D263" s="576"/>
      <c r="E263" s="468"/>
      <c r="F263" s="576"/>
      <c r="G263" s="576"/>
      <c r="H263" s="468"/>
      <c r="I263" s="468"/>
      <c r="J263" s="468"/>
      <c r="K263" s="468"/>
    </row>
    <row r="264" spans="1:11" ht="12.75" customHeight="1" thickTop="1" thickBot="1" x14ac:dyDescent="0.25">
      <c r="A264" s="463" t="s">
        <v>377</v>
      </c>
      <c r="B264" s="470">
        <v>4992</v>
      </c>
      <c r="C264" s="575">
        <v>7193</v>
      </c>
      <c r="D264" s="576"/>
      <c r="E264" s="468"/>
      <c r="F264" s="576"/>
      <c r="G264" s="576"/>
      <c r="H264" s="468"/>
      <c r="I264" s="468"/>
      <c r="J264" s="468"/>
      <c r="K264" s="468"/>
    </row>
    <row r="265" spans="1:11" s="593" customFormat="1" ht="12.75" customHeight="1" thickTop="1" thickBot="1" x14ac:dyDescent="0.25">
      <c r="A265" s="563" t="s">
        <v>75</v>
      </c>
      <c r="B265" s="557">
        <v>4999</v>
      </c>
      <c r="C265" s="575">
        <v>24279</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175202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175202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2885838</v>
      </c>
      <c r="D268" s="1715">
        <f t="shared" si="12"/>
        <v>289449</v>
      </c>
      <c r="E268" s="1715">
        <f t="shared" si="12"/>
        <v>0</v>
      </c>
      <c r="F268" s="1715">
        <f t="shared" si="12"/>
        <v>342076</v>
      </c>
      <c r="G268" s="1715">
        <f t="shared" si="12"/>
        <v>106718</v>
      </c>
      <c r="H268" s="1715">
        <f t="shared" si="12"/>
        <v>0</v>
      </c>
      <c r="I268" s="1715">
        <f t="shared" si="12"/>
        <v>28866</v>
      </c>
      <c r="J268" s="1715">
        <f t="shared" si="12"/>
        <v>221340</v>
      </c>
      <c r="K268" s="1702">
        <f t="shared" si="12"/>
        <v>28566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N368"/>
  <sheetViews>
    <sheetView showGridLines="0" defaultGridColor="0" colorId="8" zoomScaleNormal="100" workbookViewId="0">
      <pane ySplit="2" topLeftCell="A53" activePane="bottomLeft" state="frozen"/>
      <selection activeCell="A4" sqref="A4:F4"/>
      <selection pane="bottomLeft" activeCell="A4" sqref="A4:F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701967</v>
      </c>
      <c r="D5" s="466">
        <v>131674</v>
      </c>
      <c r="E5" s="466">
        <v>82499</v>
      </c>
      <c r="F5" s="466">
        <v>86127</v>
      </c>
      <c r="G5" s="466"/>
      <c r="H5" s="466">
        <v>1172</v>
      </c>
      <c r="I5" s="467"/>
      <c r="J5" s="467"/>
      <c r="K5" s="1671">
        <f>SUM(C5:J5)</f>
        <v>1003439</v>
      </c>
      <c r="L5" s="466">
        <v>910691</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43773</v>
      </c>
      <c r="D7" s="467">
        <v>9294</v>
      </c>
      <c r="E7" s="467">
        <v>26117</v>
      </c>
      <c r="F7" s="467">
        <v>37049</v>
      </c>
      <c r="G7" s="467"/>
      <c r="H7" s="467"/>
      <c r="I7" s="467"/>
      <c r="J7" s="467"/>
      <c r="K7" s="1671">
        <f t="shared" ref="K7:K32" si="0">SUM(C7:J7)</f>
        <v>116233</v>
      </c>
      <c r="L7" s="466">
        <v>72746</v>
      </c>
    </row>
    <row r="8" spans="1:14" x14ac:dyDescent="0.2">
      <c r="A8" s="1504" t="s">
        <v>164</v>
      </c>
      <c r="B8" s="614">
        <v>1200</v>
      </c>
      <c r="C8" s="466">
        <v>115140</v>
      </c>
      <c r="D8" s="466">
        <v>13231</v>
      </c>
      <c r="E8" s="466">
        <v>22282</v>
      </c>
      <c r="F8" s="466">
        <v>213</v>
      </c>
      <c r="G8" s="466"/>
      <c r="H8" s="466"/>
      <c r="I8" s="467"/>
      <c r="J8" s="467"/>
      <c r="K8" s="1671">
        <f t="shared" si="0"/>
        <v>150866</v>
      </c>
      <c r="L8" s="466">
        <v>258518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40716</v>
      </c>
      <c r="D10" s="466">
        <v>12634</v>
      </c>
      <c r="E10" s="466">
        <v>4758</v>
      </c>
      <c r="F10" s="466">
        <v>374</v>
      </c>
      <c r="G10" s="466"/>
      <c r="H10" s="466"/>
      <c r="I10" s="467"/>
      <c r="J10" s="467"/>
      <c r="K10" s="1671">
        <f t="shared" si="0"/>
        <v>58482</v>
      </c>
      <c r="L10" s="466">
        <v>55386</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23036</v>
      </c>
      <c r="D14" s="466">
        <v>207</v>
      </c>
      <c r="E14" s="466">
        <v>11165</v>
      </c>
      <c r="F14" s="466">
        <v>2267</v>
      </c>
      <c r="G14" s="466"/>
      <c r="H14" s="466">
        <v>680</v>
      </c>
      <c r="I14" s="467"/>
      <c r="J14" s="467"/>
      <c r="K14" s="1671">
        <f t="shared" si="0"/>
        <v>37355</v>
      </c>
      <c r="L14" s="466">
        <v>39990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924632</v>
      </c>
      <c r="D33" s="1670">
        <f t="shared" ref="D33:L33" si="1">SUM(D5:D32)</f>
        <v>167040</v>
      </c>
      <c r="E33" s="1670">
        <f t="shared" si="1"/>
        <v>146821</v>
      </c>
      <c r="F33" s="1670">
        <f t="shared" si="1"/>
        <v>126030</v>
      </c>
      <c r="G33" s="1670">
        <f t="shared" si="1"/>
        <v>0</v>
      </c>
      <c r="H33" s="1670">
        <f t="shared" si="1"/>
        <v>1852</v>
      </c>
      <c r="I33" s="1670">
        <f t="shared" si="1"/>
        <v>0</v>
      </c>
      <c r="J33" s="1670">
        <f t="shared" si="1"/>
        <v>0</v>
      </c>
      <c r="K33" s="1670">
        <f t="shared" si="1"/>
        <v>1366375</v>
      </c>
      <c r="L33" s="1670">
        <f t="shared" si="1"/>
        <v>1337331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v>12501</v>
      </c>
      <c r="F36" s="481"/>
      <c r="G36" s="481"/>
      <c r="H36" s="481"/>
      <c r="I36" s="467"/>
      <c r="J36" s="467"/>
      <c r="K36" s="1671">
        <f t="shared" ref="K36:K41" si="2">SUM(C36:J36)</f>
        <v>12501</v>
      </c>
      <c r="L36" s="466">
        <v>12604</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v>14906</v>
      </c>
      <c r="F39" s="466"/>
      <c r="G39" s="466"/>
      <c r="H39" s="466"/>
      <c r="I39" s="467"/>
      <c r="J39" s="467"/>
      <c r="K39" s="1671">
        <f t="shared" si="2"/>
        <v>14906</v>
      </c>
      <c r="L39" s="466">
        <v>21600</v>
      </c>
    </row>
    <row r="40" spans="1:14" x14ac:dyDescent="0.2">
      <c r="A40" s="1504" t="s">
        <v>200</v>
      </c>
      <c r="B40" s="614">
        <v>2150</v>
      </c>
      <c r="C40" s="466">
        <v>49559</v>
      </c>
      <c r="D40" s="466">
        <v>4170</v>
      </c>
      <c r="E40" s="466"/>
      <c r="F40" s="466">
        <v>499</v>
      </c>
      <c r="G40" s="466"/>
      <c r="H40" s="466"/>
      <c r="I40" s="467"/>
      <c r="J40" s="467"/>
      <c r="K40" s="1671">
        <f t="shared" si="2"/>
        <v>54228</v>
      </c>
      <c r="L40" s="466">
        <v>60743</v>
      </c>
    </row>
    <row r="41" spans="1:14" x14ac:dyDescent="0.2">
      <c r="A41" s="1504" t="s">
        <v>1669</v>
      </c>
      <c r="B41" s="614">
        <v>2190</v>
      </c>
      <c r="C41" s="466">
        <v>77404</v>
      </c>
      <c r="D41" s="466">
        <v>673</v>
      </c>
      <c r="E41" s="466"/>
      <c r="F41" s="466"/>
      <c r="G41" s="466"/>
      <c r="H41" s="466"/>
      <c r="I41" s="467"/>
      <c r="J41" s="467"/>
      <c r="K41" s="1671">
        <f t="shared" si="2"/>
        <v>78077</v>
      </c>
      <c r="L41" s="466">
        <v>156073</v>
      </c>
    </row>
    <row r="42" spans="1:14" ht="12.75" customHeight="1" thickBot="1" x14ac:dyDescent="0.25">
      <c r="A42" s="1668" t="s">
        <v>560</v>
      </c>
      <c r="B42" s="1669" t="s">
        <v>716</v>
      </c>
      <c r="C42" s="1670">
        <f>SUM(C36:C41)</f>
        <v>126963</v>
      </c>
      <c r="D42" s="1670">
        <f t="shared" ref="D42:L42" si="3">SUM(D36:D41)</f>
        <v>4843</v>
      </c>
      <c r="E42" s="1670">
        <f t="shared" si="3"/>
        <v>27407</v>
      </c>
      <c r="F42" s="1670">
        <f t="shared" si="3"/>
        <v>499</v>
      </c>
      <c r="G42" s="1670">
        <f t="shared" si="3"/>
        <v>0</v>
      </c>
      <c r="H42" s="1670">
        <f t="shared" si="3"/>
        <v>0</v>
      </c>
      <c r="I42" s="1670">
        <f t="shared" si="3"/>
        <v>0</v>
      </c>
      <c r="J42" s="1670">
        <f t="shared" si="3"/>
        <v>0</v>
      </c>
      <c r="K42" s="1670">
        <f t="shared" si="3"/>
        <v>159712</v>
      </c>
      <c r="L42" s="1670">
        <f t="shared" si="3"/>
        <v>251020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v>2745</v>
      </c>
      <c r="E44" s="481"/>
      <c r="F44" s="481"/>
      <c r="G44" s="481"/>
      <c r="H44" s="481"/>
      <c r="I44" s="467"/>
      <c r="J44" s="467"/>
      <c r="K44" s="1672">
        <f>SUM(C44:J44)</f>
        <v>2745</v>
      </c>
      <c r="L44" s="481">
        <v>2000</v>
      </c>
    </row>
    <row r="45" spans="1:14" x14ac:dyDescent="0.2">
      <c r="A45" s="1504" t="s">
        <v>815</v>
      </c>
      <c r="B45" s="614">
        <v>2220</v>
      </c>
      <c r="C45" s="466">
        <v>43300</v>
      </c>
      <c r="D45" s="466">
        <v>673</v>
      </c>
      <c r="E45" s="466"/>
      <c r="F45" s="466"/>
      <c r="G45" s="466"/>
      <c r="H45" s="466"/>
      <c r="I45" s="467"/>
      <c r="J45" s="467"/>
      <c r="K45" s="1672">
        <f>SUM(C45:J45)</f>
        <v>43973</v>
      </c>
      <c r="L45" s="466">
        <v>46054</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43300</v>
      </c>
      <c r="D47" s="1670">
        <f t="shared" ref="D47:K47" si="4">SUM(D44:D46)</f>
        <v>3418</v>
      </c>
      <c r="E47" s="1670">
        <f t="shared" si="4"/>
        <v>0</v>
      </c>
      <c r="F47" s="1670">
        <f t="shared" si="4"/>
        <v>0</v>
      </c>
      <c r="G47" s="1670">
        <f t="shared" si="4"/>
        <v>0</v>
      </c>
      <c r="H47" s="1670">
        <f t="shared" si="4"/>
        <v>0</v>
      </c>
      <c r="I47" s="1670">
        <f t="shared" si="4"/>
        <v>0</v>
      </c>
      <c r="J47" s="1670">
        <f t="shared" si="4"/>
        <v>0</v>
      </c>
      <c r="K47" s="1670">
        <f t="shared" si="4"/>
        <v>46718</v>
      </c>
      <c r="L47" s="1670">
        <f>SUM(L44:L46)</f>
        <v>48054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3035</v>
      </c>
      <c r="D49" s="481"/>
      <c r="E49" s="481">
        <v>28319</v>
      </c>
      <c r="F49" s="481">
        <v>88</v>
      </c>
      <c r="G49" s="481"/>
      <c r="H49" s="481">
        <v>1678</v>
      </c>
      <c r="I49" s="467"/>
      <c r="J49" s="467"/>
      <c r="K49" s="1672">
        <f>SUM(C49:J49)</f>
        <v>33120</v>
      </c>
      <c r="L49" s="481">
        <v>42940</v>
      </c>
    </row>
    <row r="50" spans="1:14" x14ac:dyDescent="0.2">
      <c r="A50" s="1504" t="s">
        <v>818</v>
      </c>
      <c r="B50" s="614">
        <v>2320</v>
      </c>
      <c r="C50" s="466">
        <v>96065</v>
      </c>
      <c r="D50" s="466">
        <v>41765</v>
      </c>
      <c r="E50" s="466">
        <v>3065</v>
      </c>
      <c r="F50" s="466"/>
      <c r="G50" s="466"/>
      <c r="H50" s="466">
        <v>455</v>
      </c>
      <c r="I50" s="467"/>
      <c r="J50" s="467"/>
      <c r="K50" s="1672">
        <f>SUM(C50:J50)</f>
        <v>141350</v>
      </c>
      <c r="L50" s="466">
        <v>141390</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99100</v>
      </c>
      <c r="D53" s="1670">
        <f t="shared" ref="D53:L53" si="5">SUM(D49:D52)</f>
        <v>41765</v>
      </c>
      <c r="E53" s="1670">
        <f t="shared" si="5"/>
        <v>31384</v>
      </c>
      <c r="F53" s="1670">
        <f t="shared" si="5"/>
        <v>88</v>
      </c>
      <c r="G53" s="1670">
        <f t="shared" si="5"/>
        <v>0</v>
      </c>
      <c r="H53" s="1670">
        <f t="shared" si="5"/>
        <v>2133</v>
      </c>
      <c r="I53" s="1670">
        <f t="shared" si="5"/>
        <v>0</v>
      </c>
      <c r="J53" s="1670">
        <f t="shared" si="5"/>
        <v>0</v>
      </c>
      <c r="K53" s="1670">
        <f t="shared" si="5"/>
        <v>174470</v>
      </c>
      <c r="L53" s="1670">
        <f t="shared" si="5"/>
        <v>184330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82572</v>
      </c>
      <c r="D55" s="481">
        <v>14776</v>
      </c>
      <c r="E55" s="481"/>
      <c r="F55" s="481"/>
      <c r="G55" s="481"/>
      <c r="H55" s="481"/>
      <c r="I55" s="467"/>
      <c r="J55" s="467"/>
      <c r="K55" s="1672">
        <f>SUM(C55:J55)</f>
        <v>97348</v>
      </c>
      <c r="L55" s="481">
        <v>95847</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82572</v>
      </c>
      <c r="D57" s="1674">
        <f t="shared" ref="D57:K57" si="6">SUM(D55:D56)</f>
        <v>14776</v>
      </c>
      <c r="E57" s="1674">
        <f t="shared" si="6"/>
        <v>0</v>
      </c>
      <c r="F57" s="1674">
        <f t="shared" si="6"/>
        <v>0</v>
      </c>
      <c r="G57" s="1674">
        <f t="shared" si="6"/>
        <v>0</v>
      </c>
      <c r="H57" s="1674">
        <f t="shared" si="6"/>
        <v>0</v>
      </c>
      <c r="I57" s="1674">
        <f t="shared" si="6"/>
        <v>0</v>
      </c>
      <c r="J57" s="1674">
        <f t="shared" si="6"/>
        <v>0</v>
      </c>
      <c r="K57" s="1674">
        <f t="shared" si="6"/>
        <v>97348</v>
      </c>
      <c r="L57" s="1670">
        <f>SUM(L55:L56)</f>
        <v>95847</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v>200</v>
      </c>
      <c r="F59" s="481"/>
      <c r="G59" s="481"/>
      <c r="H59" s="481"/>
      <c r="I59" s="467"/>
      <c r="J59" s="467"/>
      <c r="K59" s="1672">
        <f t="shared" ref="K59:K64" si="7">SUM(C59:J59)</f>
        <v>200</v>
      </c>
      <c r="L59" s="481"/>
      <c r="M59" s="609"/>
      <c r="N59" s="609"/>
    </row>
    <row r="60" spans="1:14" s="343" customFormat="1" x14ac:dyDescent="0.2">
      <c r="A60" s="1504" t="s">
        <v>463</v>
      </c>
      <c r="B60" s="614">
        <v>2520</v>
      </c>
      <c r="C60" s="466">
        <v>67883</v>
      </c>
      <c r="D60" s="466">
        <v>64</v>
      </c>
      <c r="E60" s="466">
        <v>14048</v>
      </c>
      <c r="F60" s="466">
        <v>217</v>
      </c>
      <c r="G60" s="466"/>
      <c r="H60" s="466">
        <v>680</v>
      </c>
      <c r="I60" s="467"/>
      <c r="J60" s="467"/>
      <c r="K60" s="1672">
        <f t="shared" si="7"/>
        <v>82892</v>
      </c>
      <c r="L60" s="466">
        <v>71450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45925</v>
      </c>
      <c r="D63" s="466">
        <v>26714</v>
      </c>
      <c r="E63" s="466">
        <v>2692</v>
      </c>
      <c r="F63" s="466">
        <v>56906</v>
      </c>
      <c r="G63" s="466"/>
      <c r="H63" s="466">
        <v>270</v>
      </c>
      <c r="I63" s="467"/>
      <c r="J63" s="467"/>
      <c r="K63" s="1672">
        <f t="shared" si="7"/>
        <v>132507</v>
      </c>
      <c r="L63" s="466">
        <v>121524</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113808</v>
      </c>
      <c r="D65" s="1670">
        <f t="shared" ref="D65:L65" si="8">SUM(D59:D64)</f>
        <v>26778</v>
      </c>
      <c r="E65" s="1670">
        <f t="shared" si="8"/>
        <v>16940</v>
      </c>
      <c r="F65" s="1670">
        <f t="shared" si="8"/>
        <v>57123</v>
      </c>
      <c r="G65" s="1670">
        <f t="shared" si="8"/>
        <v>0</v>
      </c>
      <c r="H65" s="1670">
        <f t="shared" si="8"/>
        <v>950</v>
      </c>
      <c r="I65" s="1670">
        <f t="shared" si="8"/>
        <v>0</v>
      </c>
      <c r="J65" s="1670">
        <f t="shared" si="8"/>
        <v>0</v>
      </c>
      <c r="K65" s="1670">
        <f t="shared" si="8"/>
        <v>215599</v>
      </c>
      <c r="L65" s="1670">
        <f t="shared" si="8"/>
        <v>192974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v>28019</v>
      </c>
      <c r="F69" s="466">
        <v>15598</v>
      </c>
      <c r="G69" s="466"/>
      <c r="H69" s="466"/>
      <c r="I69" s="467"/>
      <c r="J69" s="467"/>
      <c r="K69" s="1672">
        <f>SUM(C69:J69)</f>
        <v>43617</v>
      </c>
      <c r="L69" s="466">
        <v>15977</v>
      </c>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28019</v>
      </c>
      <c r="F72" s="1670">
        <f t="shared" si="9"/>
        <v>15598</v>
      </c>
      <c r="G72" s="1670">
        <f t="shared" si="9"/>
        <v>0</v>
      </c>
      <c r="H72" s="1670">
        <f t="shared" si="9"/>
        <v>0</v>
      </c>
      <c r="I72" s="1670">
        <f t="shared" si="9"/>
        <v>0</v>
      </c>
      <c r="J72" s="1670">
        <f t="shared" si="9"/>
        <v>0</v>
      </c>
      <c r="K72" s="1670">
        <f t="shared" si="9"/>
        <v>43617</v>
      </c>
      <c r="L72" s="1670">
        <f>SUM(L67:L71)</f>
        <v>15977</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465743</v>
      </c>
      <c r="D74" s="1677">
        <f t="shared" ref="D74:K74" si="10">SUM(D42,D47,D53,D57,D65,D72,D73)</f>
        <v>91580</v>
      </c>
      <c r="E74" s="1677">
        <f t="shared" si="10"/>
        <v>103750</v>
      </c>
      <c r="F74" s="1677">
        <f t="shared" si="10"/>
        <v>73308</v>
      </c>
      <c r="G74" s="1677">
        <f t="shared" si="10"/>
        <v>0</v>
      </c>
      <c r="H74" s="1677">
        <f t="shared" si="10"/>
        <v>3083</v>
      </c>
      <c r="I74" s="1677">
        <f t="shared" si="10"/>
        <v>0</v>
      </c>
      <c r="J74" s="1677">
        <f t="shared" si="10"/>
        <v>0</v>
      </c>
      <c r="K74" s="1677">
        <f t="shared" si="10"/>
        <v>737464</v>
      </c>
      <c r="L74" s="1677">
        <f>SUM(L42,L47,L53,L57,L65,L72,L73)</f>
        <v>788202</v>
      </c>
    </row>
    <row r="75" spans="1:14" s="259" customFormat="1" ht="15.75" customHeight="1" thickTop="1" thickBot="1" x14ac:dyDescent="0.25">
      <c r="A75" s="1610" t="s">
        <v>47</v>
      </c>
      <c r="B75" s="1611" t="s">
        <v>575</v>
      </c>
      <c r="C75" s="573">
        <v>2369</v>
      </c>
      <c r="D75" s="573">
        <v>737</v>
      </c>
      <c r="E75" s="573"/>
      <c r="F75" s="573"/>
      <c r="G75" s="573"/>
      <c r="H75" s="573"/>
      <c r="I75" s="531"/>
      <c r="J75" s="531"/>
      <c r="K75" s="1670">
        <f>SUM(C75:J75)</f>
        <v>3106</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v>524343</v>
      </c>
      <c r="F79" s="616"/>
      <c r="G79" s="616"/>
      <c r="H79" s="466"/>
      <c r="I79" s="477"/>
      <c r="J79" s="477"/>
      <c r="K79" s="1671">
        <f t="shared" si="11"/>
        <v>524343</v>
      </c>
      <c r="L79" s="466">
        <v>488310</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524343</v>
      </c>
      <c r="F84" s="616"/>
      <c r="G84" s="616"/>
      <c r="H84" s="1670">
        <f>SUM(H78:H83)</f>
        <v>0</v>
      </c>
      <c r="I84" s="477"/>
      <c r="J84" s="477"/>
      <c r="K84" s="1670">
        <f>SUM(K78:K83)</f>
        <v>524343</v>
      </c>
      <c r="L84" s="1670">
        <f>SUM(L78:L83)</f>
        <v>488310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524343</v>
      </c>
      <c r="F102" s="616"/>
      <c r="G102" s="616"/>
      <c r="H102" s="1677">
        <f>SUM(H84,H92,H100,H101)</f>
        <v>0</v>
      </c>
      <c r="I102" s="477"/>
      <c r="J102" s="477"/>
      <c r="K102" s="1677">
        <f>SUM(K84,K92,K100,K101)</f>
        <v>524343</v>
      </c>
      <c r="L102" s="1677">
        <f>SUM(L84,L92,L100,L101)</f>
        <v>488310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1392744</v>
      </c>
      <c r="D114" s="1670">
        <f t="shared" ref="D114:K114" si="13">SUM(D33,D74,D75,D102,D112,D113)</f>
        <v>259357</v>
      </c>
      <c r="E114" s="1670">
        <f t="shared" si="13"/>
        <v>774914</v>
      </c>
      <c r="F114" s="1670">
        <f t="shared" si="13"/>
        <v>199338</v>
      </c>
      <c r="G114" s="1670">
        <f t="shared" si="13"/>
        <v>0</v>
      </c>
      <c r="H114" s="1670">
        <f>SUM(H33,H74,H75,H102,H112,H113)</f>
        <v>4935</v>
      </c>
      <c r="I114" s="1670">
        <f t="shared" si="13"/>
        <v>0</v>
      </c>
      <c r="J114" s="1670">
        <f t="shared" si="13"/>
        <v>0</v>
      </c>
      <c r="K114" s="1670">
        <f t="shared" si="13"/>
        <v>2631288</v>
      </c>
      <c r="L114" s="1670">
        <f>SUM(L33,L74,L75,L102,L112,L113)</f>
        <v>2613843</v>
      </c>
    </row>
    <row r="115" spans="1:14" ht="13.5" thickTop="1" x14ac:dyDescent="0.2">
      <c r="A115" s="2184" t="s">
        <v>996</v>
      </c>
      <c r="B115" s="2185"/>
      <c r="C115" s="618"/>
      <c r="D115" s="618"/>
      <c r="E115" s="618"/>
      <c r="F115" s="618"/>
      <c r="G115" s="618"/>
      <c r="H115" s="618"/>
      <c r="I115" s="618"/>
      <c r="J115" s="618"/>
      <c r="K115" s="1684">
        <f>'Revenues 9-14'!C268-'Expenditures 15-22'!K114</f>
        <v>254550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99797</v>
      </c>
      <c r="D124" s="466">
        <v>16028</v>
      </c>
      <c r="E124" s="466">
        <v>46854</v>
      </c>
      <c r="F124" s="466">
        <v>82947</v>
      </c>
      <c r="G124" s="466">
        <v>39966</v>
      </c>
      <c r="H124" s="466"/>
      <c r="I124" s="467"/>
      <c r="J124" s="467"/>
      <c r="K124" s="1670">
        <f>SUM(C124:J124)</f>
        <v>285592</v>
      </c>
      <c r="L124" s="466">
        <v>372808</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99797</v>
      </c>
      <c r="D127" s="1670">
        <f t="shared" ref="D127:L127" si="14">SUM(D122:D126)</f>
        <v>16028</v>
      </c>
      <c r="E127" s="1670">
        <f t="shared" si="14"/>
        <v>46854</v>
      </c>
      <c r="F127" s="1670">
        <f t="shared" si="14"/>
        <v>82947</v>
      </c>
      <c r="G127" s="1670">
        <f t="shared" si="14"/>
        <v>39966</v>
      </c>
      <c r="H127" s="1670">
        <f t="shared" si="14"/>
        <v>0</v>
      </c>
      <c r="I127" s="1670">
        <f t="shared" si="14"/>
        <v>0</v>
      </c>
      <c r="J127" s="1670">
        <f t="shared" si="14"/>
        <v>0</v>
      </c>
      <c r="K127" s="1670">
        <f t="shared" si="14"/>
        <v>285592</v>
      </c>
      <c r="L127" s="1670">
        <f t="shared" si="14"/>
        <v>372808</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99797</v>
      </c>
      <c r="D129" s="1677">
        <f t="shared" ref="D129:L129" si="15">SUM(D120,D127,D128)</f>
        <v>16028</v>
      </c>
      <c r="E129" s="1677">
        <f t="shared" si="15"/>
        <v>46854</v>
      </c>
      <c r="F129" s="1677">
        <f t="shared" si="15"/>
        <v>82947</v>
      </c>
      <c r="G129" s="1677">
        <f t="shared" si="15"/>
        <v>39966</v>
      </c>
      <c r="H129" s="1677">
        <f t="shared" si="15"/>
        <v>0</v>
      </c>
      <c r="I129" s="1677">
        <f t="shared" si="15"/>
        <v>0</v>
      </c>
      <c r="J129" s="1677">
        <f t="shared" si="15"/>
        <v>0</v>
      </c>
      <c r="K129" s="1677">
        <f t="shared" si="15"/>
        <v>285592</v>
      </c>
      <c r="L129" s="1677">
        <f t="shared" si="15"/>
        <v>372808</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99797</v>
      </c>
      <c r="D151" s="1670">
        <f t="shared" ref="D151:K151" si="16">SUM(D129,D130,D139,D149,D150)</f>
        <v>16028</v>
      </c>
      <c r="E151" s="1670">
        <f t="shared" si="16"/>
        <v>46854</v>
      </c>
      <c r="F151" s="1670">
        <f t="shared" si="16"/>
        <v>82947</v>
      </c>
      <c r="G151" s="1670">
        <f t="shared" si="16"/>
        <v>39966</v>
      </c>
      <c r="H151" s="1670">
        <f t="shared" si="16"/>
        <v>0</v>
      </c>
      <c r="I151" s="1670">
        <f t="shared" si="16"/>
        <v>0</v>
      </c>
      <c r="J151" s="1670">
        <f t="shared" si="16"/>
        <v>0</v>
      </c>
      <c r="K151" s="1670">
        <f t="shared" si="16"/>
        <v>285592</v>
      </c>
      <c r="L151" s="1670">
        <f>SUM(L129,L130,L139,L149,L150)</f>
        <v>372808</v>
      </c>
    </row>
    <row r="152" spans="1:14" ht="12.75" customHeight="1" thickTop="1" x14ac:dyDescent="0.2">
      <c r="A152" s="2177" t="s">
        <v>1178</v>
      </c>
      <c r="B152" s="2178"/>
      <c r="C152" s="618"/>
      <c r="D152" s="618"/>
      <c r="E152" s="618"/>
      <c r="F152" s="618"/>
      <c r="G152" s="618"/>
      <c r="H152" s="618"/>
      <c r="I152" s="618"/>
      <c r="J152" s="616"/>
      <c r="K152" s="1684">
        <f>'Revenues 9-14'!D268-'Expenditures 15-22'!K151</f>
        <v>3857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4" t="s">
        <v>996</v>
      </c>
      <c r="B175" s="2185"/>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105899</v>
      </c>
      <c r="D182" s="466">
        <v>10148</v>
      </c>
      <c r="E182" s="466">
        <v>25632</v>
      </c>
      <c r="F182" s="466">
        <v>22565</v>
      </c>
      <c r="G182" s="466"/>
      <c r="H182" s="466"/>
      <c r="I182" s="467"/>
      <c r="J182" s="467"/>
      <c r="K182" s="1671">
        <f>SUM(C182:J182)</f>
        <v>164244</v>
      </c>
      <c r="L182" s="466">
        <v>263844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105899</v>
      </c>
      <c r="D184" s="1677">
        <f t="shared" ref="D184:J184" si="17">SUM(D180,D182,D183)</f>
        <v>10148</v>
      </c>
      <c r="E184" s="1677">
        <f t="shared" si="17"/>
        <v>25632</v>
      </c>
      <c r="F184" s="1677">
        <f t="shared" si="17"/>
        <v>22565</v>
      </c>
      <c r="G184" s="1677">
        <f t="shared" si="17"/>
        <v>0</v>
      </c>
      <c r="H184" s="1677">
        <f t="shared" si="17"/>
        <v>0</v>
      </c>
      <c r="I184" s="1677">
        <f t="shared" si="17"/>
        <v>0</v>
      </c>
      <c r="J184" s="1677">
        <f t="shared" si="17"/>
        <v>0</v>
      </c>
      <c r="K184" s="1677">
        <f>SUM(K180,K182,K183)</f>
        <v>164244</v>
      </c>
      <c r="L184" s="1677">
        <f>SUM(L180, L182:L183)</f>
        <v>263844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v>2739</v>
      </c>
      <c r="I205" s="616"/>
      <c r="J205" s="616"/>
      <c r="K205" s="1685">
        <f>SUM(H205)</f>
        <v>2739</v>
      </c>
      <c r="L205" s="535"/>
    </row>
    <row r="206" spans="1:14" ht="30" customHeight="1" x14ac:dyDescent="0.2">
      <c r="A206" s="681" t="s">
        <v>1671</v>
      </c>
      <c r="B206" s="672" t="s">
        <v>31</v>
      </c>
      <c r="C206" s="616"/>
      <c r="D206" s="616"/>
      <c r="E206" s="616"/>
      <c r="F206" s="616"/>
      <c r="G206" s="616"/>
      <c r="H206" s="466">
        <v>78062</v>
      </c>
      <c r="I206" s="616"/>
      <c r="J206" s="616"/>
      <c r="K206" s="1671">
        <f>SUM(H206)</f>
        <v>78062</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80801</v>
      </c>
      <c r="I208" s="616"/>
      <c r="J208" s="616"/>
      <c r="K208" s="1677">
        <f>SUM(K204,K205,K206,K207)</f>
        <v>80801</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105899</v>
      </c>
      <c r="D210" s="1670">
        <f>SUM(D184,D185)</f>
        <v>10148</v>
      </c>
      <c r="E210" s="1670">
        <f>SUM(E184,E185,E196)</f>
        <v>25632</v>
      </c>
      <c r="F210" s="1670">
        <f>SUM(F184,F185)</f>
        <v>22565</v>
      </c>
      <c r="G210" s="1670">
        <f>SUM(G184,G185)</f>
        <v>0</v>
      </c>
      <c r="H210" s="1670">
        <f>SUM(H184,H185,H196,H208,H209)</f>
        <v>80801</v>
      </c>
      <c r="I210" s="1670">
        <f>SUM(I184,I185)</f>
        <v>0</v>
      </c>
      <c r="J210" s="1670">
        <f>SUM(J184,J185)</f>
        <v>0</v>
      </c>
      <c r="K210" s="1671">
        <f>SUM(K184,K185,K196,K208,K209)</f>
        <v>245045</v>
      </c>
      <c r="L210" s="1670">
        <f>SUM(L184,L185,L196,L208,L209)</f>
        <v>263844</v>
      </c>
    </row>
    <row r="211" spans="1:14" ht="13.5" thickTop="1" x14ac:dyDescent="0.2">
      <c r="A211" s="2184" t="s">
        <v>996</v>
      </c>
      <c r="B211" s="2185"/>
      <c r="C211" s="618"/>
      <c r="D211" s="618"/>
      <c r="E211" s="618"/>
      <c r="F211" s="618"/>
      <c r="G211" s="618"/>
      <c r="H211" s="618"/>
      <c r="I211" s="616"/>
      <c r="J211" s="616"/>
      <c r="K211" s="1684">
        <f>'Revenues 9-14'!F268-'Expenditures 15-22'!K210</f>
        <v>97031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24152</v>
      </c>
      <c r="E215" s="616"/>
      <c r="F215" s="616"/>
      <c r="G215" s="616"/>
      <c r="H215" s="616"/>
      <c r="I215" s="616"/>
      <c r="J215" s="616"/>
      <c r="K215" s="1671">
        <f>D215</f>
        <v>24152</v>
      </c>
      <c r="L215" s="466">
        <v>91654</v>
      </c>
    </row>
    <row r="216" spans="1:14" x14ac:dyDescent="0.2">
      <c r="A216" s="1504" t="s">
        <v>163</v>
      </c>
      <c r="B216" s="614" t="s">
        <v>967</v>
      </c>
      <c r="C216" s="616"/>
      <c r="D216" s="467">
        <v>621</v>
      </c>
      <c r="E216" s="616"/>
      <c r="F216" s="616"/>
      <c r="G216" s="616"/>
      <c r="H216" s="616"/>
      <c r="I216" s="616"/>
      <c r="J216" s="616"/>
      <c r="K216" s="1671">
        <f t="shared" ref="K216:K228" si="19">D216</f>
        <v>621</v>
      </c>
      <c r="L216" s="466">
        <v>650</v>
      </c>
    </row>
    <row r="217" spans="1:14" x14ac:dyDescent="0.2">
      <c r="A217" s="1504" t="s">
        <v>164</v>
      </c>
      <c r="B217" s="614">
        <v>1200</v>
      </c>
      <c r="C217" s="616"/>
      <c r="D217" s="466">
        <v>3651</v>
      </c>
      <c r="E217" s="616"/>
      <c r="F217" s="616"/>
      <c r="G217" s="616"/>
      <c r="H217" s="616"/>
      <c r="I217" s="616"/>
      <c r="J217" s="616"/>
      <c r="K217" s="1671">
        <f t="shared" si="19"/>
        <v>3651</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578</v>
      </c>
      <c r="E219" s="616"/>
      <c r="F219" s="616"/>
      <c r="G219" s="616"/>
      <c r="H219" s="616"/>
      <c r="I219" s="616"/>
      <c r="J219" s="616"/>
      <c r="K219" s="1671">
        <f t="shared" si="19"/>
        <v>578</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1037</v>
      </c>
      <c r="E223" s="616"/>
      <c r="F223" s="616"/>
      <c r="G223" s="616"/>
      <c r="H223" s="616"/>
      <c r="I223" s="616"/>
      <c r="J223" s="616"/>
      <c r="K223" s="1671">
        <f t="shared" si="19"/>
        <v>1037</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30039</v>
      </c>
      <c r="E229" s="616"/>
      <c r="F229" s="616"/>
      <c r="G229" s="616"/>
      <c r="H229" s="616"/>
      <c r="I229" s="616"/>
      <c r="J229" s="616"/>
      <c r="K229" s="1670">
        <f>SUM(K215:K228)</f>
        <v>30039</v>
      </c>
      <c r="L229" s="1670">
        <f>SUM(L215:L228)</f>
        <v>92304</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705</v>
      </c>
      <c r="E236" s="616"/>
      <c r="F236" s="616"/>
      <c r="G236" s="616"/>
      <c r="H236" s="616"/>
      <c r="I236" s="616"/>
      <c r="J236" s="616"/>
      <c r="K236" s="1671">
        <f t="shared" si="20"/>
        <v>705</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705</v>
      </c>
      <c r="E238" s="616"/>
      <c r="F238" s="616"/>
      <c r="G238" s="616"/>
      <c r="H238" s="616"/>
      <c r="I238" s="616"/>
      <c r="J238" s="616"/>
      <c r="K238" s="1670">
        <f>SUM(K232:K237)</f>
        <v>705</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v>628</v>
      </c>
      <c r="E241" s="616"/>
      <c r="F241" s="616"/>
      <c r="G241" s="616"/>
      <c r="H241" s="616"/>
      <c r="I241" s="616"/>
      <c r="J241" s="616"/>
      <c r="K241" s="1672">
        <f>D241</f>
        <v>628</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628</v>
      </c>
      <c r="E243" s="616"/>
      <c r="F243" s="616"/>
      <c r="G243" s="616"/>
      <c r="H243" s="616"/>
      <c r="I243" s="616"/>
      <c r="J243" s="616"/>
      <c r="K243" s="1670">
        <f>SUM(K240:K242)</f>
        <v>628</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232</v>
      </c>
      <c r="E245" s="616"/>
      <c r="F245" s="616"/>
      <c r="G245" s="616"/>
      <c r="H245" s="616"/>
      <c r="I245" s="616"/>
      <c r="J245" s="616"/>
      <c r="K245" s="1672">
        <f>D245</f>
        <v>232</v>
      </c>
      <c r="L245" s="481"/>
    </row>
    <row r="246" spans="1:12" x14ac:dyDescent="0.2">
      <c r="A246" s="1504" t="s">
        <v>818</v>
      </c>
      <c r="B246" s="614">
        <v>2320</v>
      </c>
      <c r="C246" s="616"/>
      <c r="D246" s="466">
        <v>1383</v>
      </c>
      <c r="E246" s="616"/>
      <c r="F246" s="616"/>
      <c r="G246" s="616"/>
      <c r="H246" s="616"/>
      <c r="I246" s="616"/>
      <c r="J246" s="616"/>
      <c r="K246" s="1672">
        <f t="shared" ref="K246:K256" si="21">D246</f>
        <v>1383</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v>4243</v>
      </c>
      <c r="E252" s="616"/>
      <c r="F252" s="616"/>
      <c r="G252" s="616"/>
      <c r="H252" s="616"/>
      <c r="I252" s="616"/>
      <c r="J252" s="616"/>
      <c r="K252" s="1672">
        <f t="shared" si="21"/>
        <v>4243</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5858</v>
      </c>
      <c r="E257" s="616"/>
      <c r="F257" s="616"/>
      <c r="G257" s="616"/>
      <c r="H257" s="616"/>
      <c r="I257" s="616"/>
      <c r="J257" s="616"/>
      <c r="K257" s="1670">
        <f>SUM(K245:K256)</f>
        <v>5858</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3310</v>
      </c>
      <c r="E259" s="616"/>
      <c r="F259" s="616"/>
      <c r="G259" s="616"/>
      <c r="H259" s="616"/>
      <c r="I259" s="616"/>
      <c r="J259" s="616"/>
      <c r="K259" s="1672">
        <f>D259</f>
        <v>3310</v>
      </c>
      <c r="L259" s="481">
        <v>9711</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3310</v>
      </c>
      <c r="E261" s="616"/>
      <c r="F261" s="616"/>
      <c r="G261" s="616"/>
      <c r="H261" s="616"/>
      <c r="I261" s="616"/>
      <c r="J261" s="616"/>
      <c r="K261" s="1670">
        <f>SUM(K259:K260)</f>
        <v>3310</v>
      </c>
      <c r="L261" s="1670">
        <f>SUM(L259:L260)</f>
        <v>9711</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21445</v>
      </c>
      <c r="E264" s="616"/>
      <c r="F264" s="616"/>
      <c r="G264" s="616"/>
      <c r="H264" s="616"/>
      <c r="I264" s="616"/>
      <c r="J264" s="616"/>
      <c r="K264" s="1672">
        <f t="shared" ref="K264:K269" si="22">D264</f>
        <v>21445</v>
      </c>
      <c r="L264" s="466">
        <v>2204</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11844</v>
      </c>
      <c r="E266" s="616"/>
      <c r="F266" s="616"/>
      <c r="G266" s="616"/>
      <c r="H266" s="616"/>
      <c r="I266" s="616"/>
      <c r="J266" s="616"/>
      <c r="K266" s="1672">
        <f t="shared" si="22"/>
        <v>11844</v>
      </c>
      <c r="L266" s="466"/>
    </row>
    <row r="267" spans="1:14" x14ac:dyDescent="0.2">
      <c r="A267" s="1504" t="s">
        <v>953</v>
      </c>
      <c r="B267" s="614">
        <v>2550</v>
      </c>
      <c r="C267" s="616"/>
      <c r="D267" s="466">
        <v>10781</v>
      </c>
      <c r="E267" s="616"/>
      <c r="F267" s="616"/>
      <c r="G267" s="616"/>
      <c r="H267" s="616"/>
      <c r="I267" s="616"/>
      <c r="J267" s="616"/>
      <c r="K267" s="1672">
        <f t="shared" si="22"/>
        <v>10781</v>
      </c>
      <c r="L267" s="466"/>
    </row>
    <row r="268" spans="1:14" x14ac:dyDescent="0.2">
      <c r="A268" s="1504" t="s">
        <v>100</v>
      </c>
      <c r="B268" s="614">
        <v>2560</v>
      </c>
      <c r="C268" s="616"/>
      <c r="D268" s="466">
        <v>5313</v>
      </c>
      <c r="E268" s="616"/>
      <c r="F268" s="616"/>
      <c r="G268" s="616"/>
      <c r="H268" s="616"/>
      <c r="I268" s="616"/>
      <c r="J268" s="616"/>
      <c r="K268" s="1672">
        <f t="shared" si="22"/>
        <v>5313</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49383</v>
      </c>
      <c r="E270" s="616"/>
      <c r="F270" s="616"/>
      <c r="G270" s="616"/>
      <c r="H270" s="616"/>
      <c r="I270" s="616"/>
      <c r="J270" s="616"/>
      <c r="K270" s="1670">
        <f>SUM(K263:K269)</f>
        <v>49383</v>
      </c>
      <c r="L270" s="1670">
        <f>SUM(L263:L269)</f>
        <v>2204</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59884</v>
      </c>
      <c r="E279" s="616"/>
      <c r="F279" s="616"/>
      <c r="G279" s="616"/>
      <c r="H279" s="616"/>
      <c r="I279" s="616"/>
      <c r="J279" s="616"/>
      <c r="K279" s="1677">
        <f>SUM(K238,K243,K257,K261,K270,K277,K278)</f>
        <v>59884</v>
      </c>
      <c r="L279" s="1677">
        <f>SUM(L238,L243,L257,L261,L270,L277,L278)</f>
        <v>11915</v>
      </c>
    </row>
    <row r="280" spans="1:12" ht="15.75" customHeight="1" thickTop="1" thickBot="1" x14ac:dyDescent="0.25">
      <c r="A280" s="1624" t="s">
        <v>875</v>
      </c>
      <c r="B280" s="1613">
        <v>3000</v>
      </c>
      <c r="C280" s="616"/>
      <c r="D280" s="576">
        <v>34</v>
      </c>
      <c r="E280" s="616"/>
      <c r="F280" s="616"/>
      <c r="G280" s="616"/>
      <c r="H280" s="616"/>
      <c r="I280" s="616"/>
      <c r="J280" s="616"/>
      <c r="K280" s="1679">
        <f>D280</f>
        <v>34</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89957</v>
      </c>
      <c r="E295" s="616"/>
      <c r="F295" s="616"/>
      <c r="G295" s="616"/>
      <c r="H295" s="1670">
        <f>H293</f>
        <v>0</v>
      </c>
      <c r="I295" s="616"/>
      <c r="J295" s="616"/>
      <c r="K295" s="1670">
        <f>SUM(K229,K279,K280,K285,K293,K294)</f>
        <v>89957</v>
      </c>
      <c r="L295" s="1670">
        <f>SUM(L229,L279,L280,L285,L293,L294)</f>
        <v>104219</v>
      </c>
    </row>
    <row r="296" spans="1:14" ht="13.5" thickTop="1" x14ac:dyDescent="0.2">
      <c r="A296" s="2184" t="s">
        <v>996</v>
      </c>
      <c r="B296" s="2185"/>
      <c r="C296" s="616"/>
      <c r="D296" s="618"/>
      <c r="E296" s="616"/>
      <c r="F296" s="616"/>
      <c r="G296" s="616"/>
      <c r="H296" s="687"/>
      <c r="I296" s="616"/>
      <c r="J296" s="616"/>
      <c r="K296" s="1684">
        <f>'Revenues 9-14'!G268-'Expenditures 15-22'!K295</f>
        <v>16761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v>98899</v>
      </c>
      <c r="D323" s="467">
        <v>14424</v>
      </c>
      <c r="E323" s="467"/>
      <c r="F323" s="467"/>
      <c r="G323" s="467"/>
      <c r="H323" s="467"/>
      <c r="I323" s="467"/>
      <c r="J323" s="467"/>
      <c r="K323" s="1671">
        <f t="shared" si="24"/>
        <v>113323</v>
      </c>
      <c r="L323" s="467">
        <v>112897</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350</v>
      </c>
      <c r="F327" s="467"/>
      <c r="G327" s="467"/>
      <c r="H327" s="467"/>
      <c r="I327" s="467"/>
      <c r="J327" s="467"/>
      <c r="K327" s="1671">
        <f t="shared" si="24"/>
        <v>350</v>
      </c>
      <c r="L327" s="467">
        <v>55000</v>
      </c>
      <c r="M327" s="665"/>
      <c r="N327" s="665"/>
    </row>
    <row r="328" spans="1:14" s="674" customFormat="1" x14ac:dyDescent="0.2">
      <c r="A328" s="1520" t="s">
        <v>472</v>
      </c>
      <c r="B328" s="690" t="s">
        <v>1132</v>
      </c>
      <c r="C328" s="474"/>
      <c r="D328" s="474"/>
      <c r="E328" s="474">
        <v>82005</v>
      </c>
      <c r="F328" s="474"/>
      <c r="G328" s="474"/>
      <c r="H328" s="474"/>
      <c r="I328" s="474"/>
      <c r="J328" s="474"/>
      <c r="K328" s="1699">
        <f>SUM(C328:J328)</f>
        <v>82005</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98899</v>
      </c>
      <c r="D330" s="1670">
        <f t="shared" ref="D330:J330" si="25">SUM(D319:D329)</f>
        <v>14424</v>
      </c>
      <c r="E330" s="1670">
        <f t="shared" si="25"/>
        <v>82355</v>
      </c>
      <c r="F330" s="1670">
        <f t="shared" si="25"/>
        <v>0</v>
      </c>
      <c r="G330" s="1670">
        <f t="shared" si="25"/>
        <v>0</v>
      </c>
      <c r="H330" s="1670">
        <f t="shared" si="25"/>
        <v>0</v>
      </c>
      <c r="I330" s="1670">
        <f t="shared" si="25"/>
        <v>0</v>
      </c>
      <c r="J330" s="1670">
        <f t="shared" si="25"/>
        <v>0</v>
      </c>
      <c r="K330" s="1670">
        <f>SUM(K319:K329)</f>
        <v>195678</v>
      </c>
      <c r="L330" s="1670">
        <f>SUM(L319:L329)</f>
        <v>167897</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98899</v>
      </c>
      <c r="D342" s="1670">
        <f>SUM(D330)</f>
        <v>14424</v>
      </c>
      <c r="E342" s="1670">
        <f>SUM(E330)</f>
        <v>82355</v>
      </c>
      <c r="F342" s="1670">
        <f>SUM(F330)</f>
        <v>0</v>
      </c>
      <c r="G342" s="1670">
        <f>SUM(G330)</f>
        <v>0</v>
      </c>
      <c r="H342" s="1670">
        <f>SUM(H330,H334,H340)</f>
        <v>0</v>
      </c>
      <c r="I342" s="1670">
        <f>SUM(I330)</f>
        <v>0</v>
      </c>
      <c r="J342" s="1670">
        <f>SUM(J330)</f>
        <v>0</v>
      </c>
      <c r="K342" s="1670">
        <f>SUM(K330,K334,K340)</f>
        <v>195678</v>
      </c>
      <c r="L342" s="1677">
        <f>SUM(L330,L334,L340,L341)</f>
        <v>167897</v>
      </c>
    </row>
    <row r="343" spans="1:14" ht="12.75" customHeight="1" thickTop="1" x14ac:dyDescent="0.2">
      <c r="A343" s="2170" t="s">
        <v>996</v>
      </c>
      <c r="B343" s="2171"/>
      <c r="C343" s="616"/>
      <c r="D343" s="616"/>
      <c r="E343" s="616"/>
      <c r="F343" s="616"/>
      <c r="G343" s="616"/>
      <c r="H343" s="616"/>
      <c r="I343" s="616"/>
      <c r="J343" s="616"/>
      <c r="K343" s="1684">
        <f>'Revenues 9-14'!J268-'Expenditures 15-22'!K342</f>
        <v>25662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v>7508</v>
      </c>
      <c r="F349" s="466"/>
      <c r="G349" s="466">
        <v>134132</v>
      </c>
      <c r="H349" s="466"/>
      <c r="I349" s="467"/>
      <c r="J349" s="467"/>
      <c r="K349" s="1671">
        <f>SUM(C349:J349)</f>
        <v>141640</v>
      </c>
      <c r="L349" s="466">
        <v>110000</v>
      </c>
    </row>
    <row r="350" spans="1:14" ht="12.75" customHeight="1" thickBot="1" x14ac:dyDescent="0.25">
      <c r="A350" s="1668" t="s">
        <v>719</v>
      </c>
      <c r="B350" s="1669" t="s">
        <v>35</v>
      </c>
      <c r="C350" s="1670">
        <f>SUM(C348:C349)</f>
        <v>0</v>
      </c>
      <c r="D350" s="1670">
        <f t="shared" ref="D350:L350" si="26">SUM(D348:D349)</f>
        <v>0</v>
      </c>
      <c r="E350" s="1670">
        <f t="shared" si="26"/>
        <v>7508</v>
      </c>
      <c r="F350" s="1670">
        <f t="shared" si="26"/>
        <v>0</v>
      </c>
      <c r="G350" s="1670">
        <f t="shared" si="26"/>
        <v>134132</v>
      </c>
      <c r="H350" s="1670">
        <f t="shared" si="26"/>
        <v>0</v>
      </c>
      <c r="I350" s="1670">
        <f t="shared" si="26"/>
        <v>0</v>
      </c>
      <c r="J350" s="1670">
        <f t="shared" si="26"/>
        <v>0</v>
      </c>
      <c r="K350" s="1670">
        <f t="shared" si="26"/>
        <v>141640</v>
      </c>
      <c r="L350" s="1670">
        <f t="shared" si="26"/>
        <v>110000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7508</v>
      </c>
      <c r="F352" s="1670">
        <f t="shared" si="27"/>
        <v>0</v>
      </c>
      <c r="G352" s="1670">
        <f t="shared" si="27"/>
        <v>134132</v>
      </c>
      <c r="H352" s="1670">
        <f t="shared" si="27"/>
        <v>0</v>
      </c>
      <c r="I352" s="1670">
        <f t="shared" si="27"/>
        <v>0</v>
      </c>
      <c r="J352" s="1670">
        <f t="shared" si="27"/>
        <v>0</v>
      </c>
      <c r="K352" s="1670">
        <f t="shared" si="27"/>
        <v>141640</v>
      </c>
      <c r="L352" s="1670">
        <f t="shared" si="27"/>
        <v>110000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7508</v>
      </c>
      <c r="F367" s="1670">
        <f t="shared" si="28"/>
        <v>0</v>
      </c>
      <c r="G367" s="1670">
        <f t="shared" si="28"/>
        <v>134132</v>
      </c>
      <c r="H367" s="1670">
        <f t="shared" si="28"/>
        <v>0</v>
      </c>
      <c r="I367" s="1670">
        <f t="shared" si="28"/>
        <v>0</v>
      </c>
      <c r="J367" s="1670">
        <f t="shared" si="28"/>
        <v>0</v>
      </c>
      <c r="K367" s="1670">
        <f t="shared" si="28"/>
        <v>141640</v>
      </c>
      <c r="L367" s="1670">
        <f t="shared" si="28"/>
        <v>110000</v>
      </c>
    </row>
    <row r="368" spans="1:14" ht="13.5" thickTop="1" x14ac:dyDescent="0.2">
      <c r="A368" s="2184" t="s">
        <v>996</v>
      </c>
      <c r="B368" s="2185"/>
      <c r="C368" s="654"/>
      <c r="D368" s="654"/>
      <c r="E368" s="626"/>
      <c r="F368" s="626"/>
      <c r="G368" s="626"/>
      <c r="H368" s="626"/>
      <c r="I368" s="626"/>
      <c r="J368" s="623"/>
      <c r="K368" s="1671">
        <f>'Revenues 9-14'!K268-'Expenditures 15-22'!K367</f>
        <v>-113074</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purl.org/dc/elements/1.1/"/>
    <ds:schemaRef ds:uri="http://schemas.openxmlformats.org/package/2006/metadata/core-properties"/>
    <ds:schemaRef ds:uri="http://purl.org/dc/dcmitype/"/>
    <ds:schemaRef ds:uri="4d435f69-8686-490b-bd6d-b153bf22ab50"/>
    <ds:schemaRef ds:uri="http://schemas.microsoft.com/office/2006/documentManagement/types"/>
    <ds:schemaRef ds:uri="6ce3111e-7420-4802-b50a-75d4e9a0b980"/>
    <ds:schemaRef ds:uri="http://schemas.microsoft.com/office/infopath/2007/PartnerControls"/>
    <ds:schemaRef ds:uri="d21dc803-237d-4c68-8692-8d731fd29118"/>
    <ds:schemaRef ds:uri="http://schemas.microsoft.com/sharepoint/v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18</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ICR Computation 30</vt:lpstr>
      <vt:lpstr>Contracts Paid in CY 29</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2019-10-02T20:14:49Z</cp:lastPrinted>
  <dcterms:created xsi:type="dcterms:W3CDTF">2003-10-29T19:06:34Z</dcterms:created>
  <dcterms:modified xsi:type="dcterms:W3CDTF">2019-11-21T15:01:28Z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