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B7606E70-D678-4E08-A2E8-8649E9E81F90}"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19-001" sheetId="185" r:id="rId31"/>
    <sheet name="Finding 2019-002" sheetId="186" r:id="rId32"/>
    <sheet name="SF&amp;QC Sec-2" sheetId="175" r:id="rId33"/>
    <sheet name="SF&amp;QC Sec-3" sheetId="176" r:id="rId34"/>
    <sheet name="SSPAF" sheetId="177" r:id="rId35"/>
    <sheet name="CAP 2019-001" sheetId="184" r:id="rId36"/>
    <sheet name="CAP 2019-002" sheetId="183" r:id="rId37"/>
  </sheets>
  <definedNames>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5">#REF!</definedName>
    <definedName name="SCHADDRS" localSheetId="36">#REF!</definedName>
    <definedName name="SCHADDRS" localSheetId="21">#REF!</definedName>
    <definedName name="SCHADDRS" localSheetId="4">#REF!</definedName>
    <definedName name="SCHADDRS" localSheetId="30">#REF!</definedName>
    <definedName name="SCHADDRS" localSheetId="31">#REF!</definedName>
    <definedName name="SCHADDRS" localSheetId="28">#REF!</definedName>
    <definedName name="SCHADDRS" localSheetId="26">#REF!</definedName>
    <definedName name="SCHADDRS" localSheetId="29">#REF!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7">#REF!</definedName>
    <definedName name="SCHCTY" localSheetId="35">#REF!</definedName>
    <definedName name="SCHCTY" localSheetId="36">#REF!</definedName>
    <definedName name="SCHCTY" localSheetId="21">#REF!</definedName>
    <definedName name="SCHCTY" localSheetId="4">#REF!</definedName>
    <definedName name="SCHCTY" localSheetId="30">#REF!</definedName>
    <definedName name="SCHCTY" localSheetId="31">#REF!</definedName>
    <definedName name="SCHCTY" localSheetId="28">#REF!</definedName>
    <definedName name="SCHCTY" localSheetId="26">#REF!</definedName>
    <definedName name="SCHCTY" localSheetId="29">#REF!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7">#REF!</definedName>
    <definedName name="SCHNMBR" localSheetId="35">#REF!</definedName>
    <definedName name="SCHNMBR" localSheetId="36">#REF!</definedName>
    <definedName name="SCHNMBR" localSheetId="21">#REF!</definedName>
    <definedName name="SCHNMBR" localSheetId="4">#REF!</definedName>
    <definedName name="SCHNMBR" localSheetId="30">#REF!</definedName>
    <definedName name="SCHNMBR" localSheetId="31">#REF!</definedName>
    <definedName name="SCHNMBR" localSheetId="28">#REF!</definedName>
    <definedName name="SCHNMBR" localSheetId="26">#REF!</definedName>
    <definedName name="SCHNMBR" localSheetId="29">#REF!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7">#REF!</definedName>
    <definedName name="SCHNME" localSheetId="35">#REF!</definedName>
    <definedName name="SCHNME" localSheetId="36">#REF!</definedName>
    <definedName name="SCHNME" localSheetId="21">#REF!</definedName>
    <definedName name="SCHNME" localSheetId="4">#REF!</definedName>
    <definedName name="SCHNME" localSheetId="30">#REF!</definedName>
    <definedName name="SCHNME" localSheetId="31">#REF!</definedName>
    <definedName name="SCHNME" localSheetId="28">#REF!</definedName>
    <definedName name="SCHNME" localSheetId="26">#REF!</definedName>
    <definedName name="SCHNME" localSheetId="29">#REF!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17">#REF!</definedName>
    <definedName name="SUPT" localSheetId="35">#REF!</definedName>
    <definedName name="SUPT" localSheetId="36">#REF!</definedName>
    <definedName name="SUPT" localSheetId="21">#REF!</definedName>
    <definedName name="SUPT" localSheetId="4">#REF!</definedName>
    <definedName name="SUPT" localSheetId="30">#REF!</definedName>
    <definedName name="SUPT" localSheetId="31">#REF!</definedName>
    <definedName name="SUPT" localSheetId="28">#REF!</definedName>
    <definedName name="SUPT" localSheetId="26">#REF!</definedName>
    <definedName name="SUPT" localSheetId="29">#REF!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1" i="184" l="1"/>
  <c r="B11" i="183" l="1"/>
  <c r="B4" i="183" l="1"/>
  <c r="B4" i="184"/>
  <c r="B4" i="186"/>
  <c r="B4" i="185"/>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4"/>
  <c r="B2" i="179"/>
  <c r="B2" i="183"/>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J21" i="12"/>
  <c r="B7727" i="106" s="1"/>
  <c r="D7727" i="106"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1" i="106"/>
  <c r="D7081" i="106" s="1"/>
  <c r="B7083" i="106"/>
  <c r="D7083" i="106" s="1"/>
  <c r="B7085" i="106"/>
  <c r="D7085" i="106" s="1"/>
  <c r="B7086" i="106"/>
  <c r="D7086"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F26" i="108"/>
  <c r="E27" i="108"/>
  <c r="G27" i="108"/>
  <c r="G28" i="108"/>
  <c r="E30" i="108"/>
  <c r="G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D22" i="37"/>
  <c r="D24" i="37"/>
  <c r="B4270" i="106" s="1"/>
  <c r="D4270" i="106" s="1"/>
  <c r="L5" i="11" l="1"/>
  <c r="B2056" i="106" s="1"/>
  <c r="D2056" i="106" s="1"/>
  <c r="J22" i="37"/>
  <c r="D31" i="108"/>
  <c r="F71" i="34"/>
  <c r="G14" i="4"/>
  <c r="B2609" i="106" s="1"/>
  <c r="D2609" i="106" s="1"/>
  <c r="F72" i="34"/>
  <c r="F36" i="34"/>
  <c r="J23" i="12"/>
  <c r="D69" i="36"/>
  <c r="L15" i="11"/>
  <c r="B3459" i="106" s="1"/>
  <c r="D3459" i="106" s="1"/>
  <c r="F42" i="34"/>
  <c r="D68" i="36"/>
  <c r="F64" i="34"/>
  <c r="D54" i="36"/>
  <c r="F69" i="34"/>
  <c r="G33" i="108"/>
  <c r="H112" i="29"/>
  <c r="B7018" i="106" s="1"/>
  <c r="D7018" i="106" s="1"/>
  <c r="H33" i="118"/>
  <c r="F37" i="34"/>
  <c r="F46" i="34"/>
  <c r="I210" i="29"/>
  <c r="B7071" i="106" s="1"/>
  <c r="D7071" i="106" s="1"/>
  <c r="F50" i="34"/>
  <c r="J210" i="29"/>
  <c r="B7072" i="106" s="1"/>
  <c r="D7072" i="106" s="1"/>
  <c r="F67" i="34"/>
  <c r="H76" i="4"/>
  <c r="B3298" i="106" s="1"/>
  <c r="D3298" i="106" s="1"/>
  <c r="F36" i="108"/>
  <c r="F49" i="34"/>
  <c r="B2724" i="106"/>
  <c r="D2724" i="106" s="1"/>
  <c r="B6289" i="106"/>
  <c r="D6289" i="106" s="1"/>
  <c r="L367" i="29"/>
  <c r="H365" i="29"/>
  <c r="B7242" i="106" s="1"/>
  <c r="D7242" i="106" s="1"/>
  <c r="J352" i="29"/>
  <c r="J367" i="29" s="1"/>
  <c r="B7245" i="106" s="1"/>
  <c r="D7245" i="106" s="1"/>
  <c r="C352" i="29"/>
  <c r="C367" i="29" s="1"/>
  <c r="B3622" i="106" s="1"/>
  <c r="D3622"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D7256" i="106" l="1"/>
  <c r="D7250" i="106"/>
  <c r="F66" i="34"/>
  <c r="D7252" i="106"/>
  <c r="D7251" i="106"/>
  <c r="B4435" i="106"/>
  <c r="D4435" i="106" s="1"/>
  <c r="J16" i="4"/>
  <c r="B6226" i="106" s="1"/>
  <c r="D6226" i="106" s="1"/>
  <c r="B1328" i="106"/>
  <c r="D1328"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<sst xmlns="http://schemas.openxmlformats.org/spreadsheetml/2006/main" count="5202" uniqueCount="2148">
  <si>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</si>
  <si>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</si>
  <si>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</si>
  <si>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</si>
  <si>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</si>
  <si>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</si>
  <si>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</si>
  <si>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</si>
  <si>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</si>
  <si>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</si>
  <si>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</si>
  <si>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</si>
  <si>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</si>
  <si>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</si>
  <si>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</si>
  <si>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</si>
  <si>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</si>
  <si>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</si>
  <si>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</si>
  <si>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</si>
  <si>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</si>
  <si>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</si>
  <si>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</si>
  <si>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</si>
  <si>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</si>
  <si>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</si>
  <si>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</si>
  <si>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</si>
  <si>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</si>
  <si>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</si>
  <si>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</si>
  <si>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</si>
  <si>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</si>
  <si>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</si>
  <si>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</si>
  <si>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</si>
  <si>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</si>
  <si>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</si>
  <si>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</si>
  <si>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</si>
  <si>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</si>
  <si>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</si>
  <si>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</si>
  <si>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</si>
  <si>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</si>
  <si>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</si>
  <si>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</si>
  <si>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</si>
  <si>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</si>
  <si>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</si>
  <si>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</si>
  <si>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</si>
  <si>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</si>
  <si>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</si>
  <si>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</si>
  <si>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</si>
  <si>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</si>
  <si>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</si>
  <si>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</si>
  <si>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</si>
  <si>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</si>
  <si>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</si>
  <si>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</si>
  <si>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</si>
  <si>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</si>
  <si>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</si>
  <si>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</si>
  <si>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</si>
  <si>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</si>
  <si>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</si>
  <si>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</si>
  <si>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</si>
  <si>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</si>
  <si>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</si>
  <si>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</si>
  <si>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</si>
  <si>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</si>
  <si>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</si>
  <si>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</si>
  <si>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</si>
  <si>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</si>
  <si>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</si>
  <si>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</si>
  <si>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</si>
  <si>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</si>
  <si>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</si>
  <si>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</si>
  <si>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</si>
  <si>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</si>
  <si>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</si>
  <si>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</si>
  <si>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</si>
  <si>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</si>
  <si>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</si>
  <si>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</si>
  <si>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</si>
  <si>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</si>
  <si>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</si>
  <si>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</si>
  <si>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</si>
  <si>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</si>
  <si>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</si>
  <si>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</si>
  <si>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</si>
  <si>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</si>
  <si>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</si>
  <si>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</si>
  <si>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</si>
  <si>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</si>
  <si>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</si>
  <si>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</si>
  <si>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</si>
  <si>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</si>
  <si>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</si>
  <si>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</si>
  <si>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</si>
  <si>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</si>
  <si>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</si>
  <si>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</si>
  <si>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</si>
  <si>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</si>
  <si>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</si>
  <si>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</si>
  <si>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</si>
  <si>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</si>
  <si>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</si>
  <si>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</si>
  <si>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</si>
  <si>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</si>
  <si>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</si>
  <si>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</si>
  <si>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</si>
  <si>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</si>
  <si>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</si>
  <si>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</si>
  <si>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</si>
  <si>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</si>
  <si>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</si>
  <si>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</si>
  <si>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</si>
  <si>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</si>
  <si>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</si>
  <si>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</si>
  <si>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</si>
  <si>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</si>
  <si>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</si>
  <si>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</si>
  <si>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</si>
  <si>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</si>
  <si>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</si>
  <si>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</si>
  <si>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</si>
  <si>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</si>
  <si>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</si>
  <si>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</si>
  <si>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</si>
  <si>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</si>
  <si>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</si>
  <si>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</si>
  <si>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</si>
  <si>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</si>
  <si>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</si>
  <si>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</si>
  <si>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</si>
  <si>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</si>
  <si>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</si>
  <si>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</si>
  <si>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</si>
  <si>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</si>
  <si>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</si>
  <si>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</si>
  <si>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</si>
  <si>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</si>
  <si>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</si>
  <si>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</si>
  <si>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</si>
  <si>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</si>
  <si>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</si>
  <si>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</si>
  <si>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</si>
  <si>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</si>
  <si>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</si>
  <si>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</si>
  <si>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</si>
  <si>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</si>
  <si>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</si>
  <si>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</si>
  <si>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</si>
  <si>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</si>
  <si>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</si>
  <si>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</si>
  <si>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</si>
  <si>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</si>
  <si>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</si>
  <si>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</si>
  <si>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</si>
  <si>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</si>
  <si>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</si>
  <si>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</si>
  <si>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</si>
  <si>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</si>
  <si>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</si>
  <si>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</si>
  <si>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</si>
  <si>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</si>
  <si>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</si>
  <si>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</si>
  <si>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</si>
  <si>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</si>
  <si>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</si>
  <si>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</si>
  <si>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</si>
  <si>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</si>
  <si>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</si>
  <si>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</si>
  <si>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</si>
  <si>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</si>
  <si>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</si>
  <si>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</si>
  <si>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</si>
  <si>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</si>
  <si>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</si>
  <si>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</si>
  <si>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</si>
  <si>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</si>
  <si>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</si>
  <si>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</si>
  <si>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</si>
  <si>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</si>
  <si>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</si>
  <si>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</si>
  <si>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</si>
  <si>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</si>
  <si>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</si>
  <si>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</si>
  <si>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</si>
  <si>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</si>
  <si>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</si>
  <si>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</si>
  <si>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</si>
  <si>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</si>
  <si>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</si>
  <si>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</si>
  <si>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</si>
  <si>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</si>
  <si>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</si>
  <si>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</si>
  <si>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</si>
  <si>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</si>
  <si>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</si>
  <si>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</si>
  <si>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</si>
  <si>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</si>
  <si>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</si>
  <si>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</si>
  <si>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</si>
  <si>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</si>
  <si>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</si>
  <si>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</si>
  <si>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</si>
  <si>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</si>
  <si>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</si>
  <si>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</si>
  <si>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</si>
  <si>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</si>
  <si>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</si>
  <si>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</si>
  <si>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</si>
  <si>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</si>
  <si>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</si>
  <si>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</si>
  <si>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</si>
  <si>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</si>
  <si>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</si>
  <si>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</si>
  <si>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</si>
  <si>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</si>
  <si>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</si>
  <si>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</si>
  <si>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</si>
  <si>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</si>
  <si>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</si>
  <si>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</si>
  <si>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</si>
  <si>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</si>
  <si>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</si>
  <si>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</si>
  <si>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</si>
  <si>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</si>
  <si>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</si>
  <si>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</si>
  <si>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</si>
  <si>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</si>
  <si>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</si>
  <si>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</si>
  <si>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</si>
  <si>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</si>
  <si>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</si>
  <si>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</si>
  <si>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</si>
  <si>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</si>
  <si>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</si>
  <si>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</si>
  <si>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</si>
  <si>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</si>
  <si>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</si>
  <si>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</si>
  <si>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</si>
  <si>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</si>
  <si>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</si>
  <si>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</si>
  <si>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</si>
  <si>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</si>
  <si>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</si>
  <si>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</si>
  <si>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</si>
  <si>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</si>
  <si>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</si>
  <si>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</si>
  <si>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</si>
  <si>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</si>
  <si>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</si>
  <si>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</si>
  <si>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</si>
  <si>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</si>
  <si>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</si>
  <si>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</si>
  <si>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</si>
  <si>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</si>
  <si>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</si>
  <si>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</si>
  <si>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</si>
  <si>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</si>
  <si>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</si>
  <si>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</si>
  <si>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</si>
  <si>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</si>
  <si>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</si>
  <si>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</si>
  <si>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</si>
  <si>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</si>
  <si>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</si>
  <si>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</si>
  <si>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</si>
  <si>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</si>
  <si>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</si>
  <si>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</si>
  <si>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</si>
  <si>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</si>
  <si>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</si>
  <si>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</si>
  <si>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</si>
  <si>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</si>
  <si>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</si>
  <si>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</si>
  <si>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</si>
  <si>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</si>
  <si>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</si>
  <si>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</si>
  <si>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</si>
  <si>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</si>
  <si>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</si>
  <si>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</si>
  <si>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</si>
  <si>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</si>
  <si>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</si>
  <si>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</si>
  <si>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</si>
  <si>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</si>
  <si>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</si>
  <si>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</si>
  <si>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</si>
  <si>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</si>
  <si>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</si>
  <si>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</si>
  <si>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</si>
  <si>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</si>
  <si>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</si>
  <si>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</si>
  <si>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</si>
  <si>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</si>
  <si>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</si>
  <si>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</si>
  <si>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</si>
  <si>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</si>
  <si>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</si>
  <si>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</si>
  <si>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</si>
  <si>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</si>
  <si>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</si>
  <si>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</si>
  <si>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</si>
  <si>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</si>
  <si>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</si>
  <si>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</si>
  <si>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</si>
  <si>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</si>
  <si>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</si>
  <si>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</si>
  <si>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</si>
  <si>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</si>
  <si>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</si>
  <si>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</si>
  <si>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</si>
  <si>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</si>
  <si>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</si>
  <si>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</si>
  <si>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</si>
  <si>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</si>
  <si>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</si>
  <si>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</si>
  <si>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</si>
  <si>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</si>
  <si>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</si>
  <si>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</si>
  <si>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</si>
  <si>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</si>
  <si>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</si>
  <si>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</si>
  <si>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</si>
  <si>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</si>
  <si>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</si>
  <si>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</si>
  <si>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</si>
  <si>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</si>
  <si>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</si>
  <si>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</si>
  <si>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</si>
  <si>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</si>
  <si>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</si>
  <si>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</si>
  <si>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</si>
  <si>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</si>
  <si>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</si>
  <si>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</si>
  <si>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</si>
  <si>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</si>
  <si>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</si>
  <si>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</si>
  <si>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</si>
  <si>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</si>
  <si>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</si>
  <si>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</si>
  <si>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</si>
  <si>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</si>
  <si>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</si>
  <si>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</si>
  <si>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</si>
  <si>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</si>
  <si>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</si>
  <si>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</si>
  <si>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</si>
  <si>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</si>
  <si>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</si>
  <si>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</si>
  <si>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</si>
  <si>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</si>
  <si>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</si>
  <si>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</si>
  <si>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</si>
  <si>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</si>
  <si>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</si>
  <si>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</si>
  <si>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</si>
  <si>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</si>
  <si>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</si>
  <si>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</si>
  <si>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</si>
  <si>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</si>
  <si>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</si>
  <si>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</si>
  <si>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</si>
  <si>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</si>
  <si>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</si>
  <si>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</si>
  <si>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</si>
  <si>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</si>
  <si>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</si>
  <si>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</si>
  <si>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</si>
  <si>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</si>
  <si>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</si>
  <si>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</si>
  <si>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</si>
  <si>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</si>
  <si>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</si>
  <si>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</si>
  <si>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</si>
  <si>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</si>
  <si>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</si>
  <si>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</si>
  <si>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</si>
  <si>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</si>
  <si>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</si>
  <si>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</si>
  <si>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</si>
  <si>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</si>
  <si>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</si>
  <si>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</si>
  <si>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</si>
  <si>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</si>
  <si>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</si>
  <si>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</si>
  <si>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</si>
  <si>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</si>
  <si>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</si>
  <si>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</si>
  <si>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</si>
  <si>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</si>
  <si>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</si>
  <si>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</si>
  <si>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</si>
  <si>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</si>
  <si>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</si>
  <si>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</si>
  <si>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</si>
  <si>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</si>
  <si>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</si>
  <si>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</si>
  <si>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</si>
  <si>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</si>
  <si>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</si>
  <si>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</si>
  <si>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</si>
  <si>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</si>
  <si>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</si>
  <si>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</si>
  <si>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</si>
  <si>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</si>
  <si>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</si>
  <si>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</si>
  <si>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</si>
  <si>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</si>
  <si>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</si>
  <si>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</si>
  <si>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</si>
  <si>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</si>
  <si>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</si>
  <si>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</si>
  <si>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</si>
  <si>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</si>
  <si>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</si>
  <si>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</si>
  <si>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</si>
  <si>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</si>
  <si>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</si>
  <si>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</si>
  <si>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</si>
  <si>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</si>
  <si>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</si>
  <si>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</si>
  <si>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</si>
  <si>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</si>
  <si>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</si>
  <si>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</si>
  <si>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</si>
  <si>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</si>
  <si>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</si>
  <si>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</si>
  <si>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</si>
  <si>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</si>
  <si>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</si>
  <si>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</si>
  <si>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</si>
  <si>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</si>
  <si>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</si>
  <si>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</si>
  <si>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</si>
  <si>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</si>
  <si>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</si>
  <si>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</si>
  <si>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</si>
  <si>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</si>
  <si>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</si>
  <si>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</si>
  <si>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</si>
  <si>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</si>
  <si>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</si>
  <si>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</si>
  <si>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</si>
  <si>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</si>
  <si>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</si>
  <si>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</si>
  <si>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</si>
  <si>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</si>
  <si>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</si>
  <si>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</si>
  <si>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</si>
  <si>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</si>
  <si>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</si>
  <si>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</si>
  <si>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</si>
  <si>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</si>
  <si>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</si>
  <si>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</si>
  <si>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</si>
  <si>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</si>
  <si>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</si>
  <si>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</si>
  <si>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</si>
  <si>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</si>
  <si>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</si>
  <si>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</si>
  <si>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</si>
  <si>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</si>
  <si>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</si>
  <si>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</si>
  <si>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</si>
  <si>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</si>
  <si>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</si>
  <si>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</si>
  <si>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</si>
  <si>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</si>
  <si>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</si>
  <si>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</si>
  <si>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</si>
  <si>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</si>
  <si>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</si>
  <si>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</si>
  <si>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</si>
  <si>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</si>
  <si>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</si>
  <si>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</si>
  <si>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</si>
  <si>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</si>
  <si>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</si>
  <si>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</si>
  <si>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</si>
  <si>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</si>
  <si>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</si>
  <si>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</si>
  <si>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</si>
  <si>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</si>
  <si>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</si>
  <si>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</si>
  <si>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</si>
  <si>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</si>
  <si>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</si>
  <si>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</si>
  <si>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</si>
  <si>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</si>
  <si>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</si>
  <si>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</si>
  <si>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</si>
  <si>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</si>
  <si>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</si>
  <si>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</si>
  <si>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</si>
  <si>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</si>
  <si>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</si>
  <si>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</si>
  <si>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</si>
  <si>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</si>
  <si>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</si>
  <si>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</si>
  <si>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</si>
  <si>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</si>
  <si>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</si>
  <si>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</si>
  <si>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</si>
  <si>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</si>
  <si>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</si>
  <si>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</si>
  <si>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</si>
  <si>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</si>
  <si>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</si>
  <si>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</si>
  <si>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</si>
  <si>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</si>
  <si>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</si>
  <si>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</si>
  <si>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</si>
  <si>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</si>
  <si>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</si>
  <si>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</si>
  <si>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</si>
  <si>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</si>
  <si>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</si>
  <si>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</si>
  <si>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</si>
  <si>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</si>
  <si>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</si>
  <si>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</si>
  <si>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</si>
  <si>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</si>
  <si>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</si>
  <si>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</si>
  <si>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</si>
  <si>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</si>
  <si>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</si>
  <si>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</si>
  <si>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</si>
  <si>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</si>
  <si>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</si>
  <si>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</si>
  <si>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</si>
  <si>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</si>
  <si>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</si>
  <si>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</si>
  <si>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</si>
  <si>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</si>
  <si>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</si>
  <si>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</si>
  <si>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</si>
  <si>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</si>
  <si>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</si>
  <si>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</si>
  <si>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</si>
  <si>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</si>
  <si>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</si>
  <si>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</si>
  <si>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</si>
  <si>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</si>
  <si>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</si>
  <si>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</si>
  <si>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</si>
  <si>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</si>
  <si>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</si>
  <si>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</si>
  <si>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</si>
  <si>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</si>
  <si>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</si>
  <si>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</si>
  <si>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</si>
  <si>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</si>
  <si>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</si>
  <si>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</si>
  <si>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</si>
  <si>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</si>
  <si>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</si>
  <si>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</si>
  <si>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</si>
  <si>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</si>
  <si>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</si>
  <si>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</si>
  <si>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</si>
  <si>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</si>
  <si>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</si>
  <si>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</si>
  <si>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</si>
  <si>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</si>
  <si>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</si>
  <si>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</si>
  <si>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</si>
  <si>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</si>
  <si>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</si>
  <si>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</si>
  <si>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</si>
  <si>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</si>
  <si>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</si>
  <si>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</si>
  <si>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</si>
  <si>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</si>
  <si>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</si>
  <si>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</si>
  <si>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</si>
  <si>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</si>
  <si>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</si>
  <si>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</si>
  <si>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</si>
  <si>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</si>
  <si>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</si>
  <si>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</si>
  <si>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</si>
  <si>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</si>
  <si>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</si>
  <si>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</si>
  <si>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</si>
  <si>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</si>
  <si>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</si>
  <si>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</si>
  <si>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</si>
  <si>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</si>
  <si>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</si>
  <si>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</si>
  <si>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</si>
  <si>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</si>
  <si>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</si>
  <si>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</si>
  <si>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</si>
  <si>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</si>
  <si>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</si>
  <si>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</si>
  <si>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</si>
  <si>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</si>
  <si>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</si>
  <si>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</si>
  <si>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</si>
  <si>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</si>
  <si>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</si>
  <si>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</si>
  <si>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</si>
  <si>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</si>
  <si>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</si>
  <si>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</si>
  <si>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</si>
  <si>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</si>
  <si>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</si>
  <si>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</si>
  <si>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</si>
  <si>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</si>
  <si>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</si>
  <si>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</si>
  <si>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</si>
  <si>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</si>
  <si>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</si>
  <si>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</si>
  <si>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</si>
  <si>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</si>
  <si>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</si>
  <si>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</si>
  <si>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</si>
  <si>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</si>
  <si>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</si>
  <si>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</si>
  <si>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</si>
  <si>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</si>
  <si>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</si>
  <si>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</si>
  <si>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</si>
  <si>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</si>
  <si>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</si>
  <si>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</si>
  <si>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</si>
  <si>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</si>
  <si>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</si>
  <si>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</si>
  <si>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</si>
  <si>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</si>
  <si>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</si>
  <si>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</si>
  <si>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</si>
  <si>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</si>
  <si>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</si>
  <si>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</si>
  <si>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</si>
  <si>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</si>
  <si>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</si>
  <si>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</si>
  <si>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</si>
  <si>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</si>
  <si>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</si>
  <si>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</si>
  <si>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</si>
  <si>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</si>
  <si>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</si>
  <si>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</si>
  <si>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</si>
  <si>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</si>
  <si>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</si>
  <si>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</si>
  <si>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</si>
  <si>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</si>
  <si>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</si>
  <si>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</si>
  <si>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</si>
  <si>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</si>
  <si>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</si>
  <si>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</si>
  <si>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</si>
  <si>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</si>
  <si>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</si>
  <si>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</si>
  <si>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</si>
  <si>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</si>
  <si>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</si>
  <si>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</si>
  <si>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</si>
  <si>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</si>
  <si>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</si>
  <si>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</si>
  <si>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</si>
  <si>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</si>
  <si>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</si>
  <si>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</si>
  <si>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</si>
  <si>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</si>
  <si>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</si>
  <si>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</si>
  <si>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</si>
  <si>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</si>
  <si>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</si>
  <si>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</si>
  <si>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</si>
  <si>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</si>
  <si>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</si>
  <si>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</si>
  <si>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</si>
  <si>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</si>
  <si>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</si>
  <si>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</si>
  <si>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</si>
  <si>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</si>
  <si>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</si>
  <si>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</si>
  <si>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</si>
  <si>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</si>
  <si>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</si>
  <si>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</si>
  <si>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</si>
  <si>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</si>
  <si>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</si>
  <si>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</si>
  <si>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</si>
  <si>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</si>
  <si>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</si>
  <si>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</si>
  <si>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</si>
  <si>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</si>
  <si>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</si>
  <si>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</si>
  <si>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</si>
  <si>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</si>
  <si>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</si>
  <si>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</si>
  <si>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</si>
  <si>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</si>
  <si>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</si>
  <si>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</si>
  <si>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</si>
  <si>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</si>
  <si>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</si>
  <si>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</si>
  <si>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</si>
  <si>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</si>
  <si>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</si>
  <si>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</si>
  <si>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</si>
  <si>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</si>
  <si>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</si>
  <si>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</si>
  <si>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</si>
  <si>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</si>
  <si>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</si>
  <si>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</si>
  <si>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</si>
  <si>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</si>
  <si>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</si>
  <si>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</si>
  <si>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</si>
  <si>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</si>
  <si>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</si>
  <si>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</si>
  <si>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</si>
  <si>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</si>
  <si>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</si>
  <si>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</si>
  <si>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</si>
  <si>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</si>
  <si>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</si>
  <si>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</si>
  <si>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</si>
  <si>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</si>
  <si>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</si>
  <si>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</si>
  <si>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</si>
  <si>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</si>
  <si>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</si>
  <si>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</si>
  <si>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</si>
  <si>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</si>
  <si>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</si>
  <si>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</si>
  <si>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</si>
  <si>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</si>
  <si>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</si>
  <si>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</si>
  <si>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</si>
  <si>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</si>
  <si>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</si>
  <si>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</si>
  <si>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</si>
  <si>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</si>
  <si>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</si>
  <si>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</si>
  <si>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</si>
  <si>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</si>
  <si>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</si>
  <si>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</si>
  <si>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</si>
  <si>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</si>
  <si>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</si>
  <si>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</si>
  <si>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</si>
  <si>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</si>
  <si>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</si>
  <si>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</si>
  <si>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</si>
  <si>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</si>
  <si>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</si>
  <si>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</si>
  <si>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</si>
  <si>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</si>
  <si>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</si>
  <si>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</si>
  <si>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</si>
  <si>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</si>
  <si>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</si>
  <si>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</si>
  <si>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</si>
  <si>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</si>
  <si>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</si>
  <si>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</si>
  <si>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</si>
  <si>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</si>
  <si>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</si>
  <si>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</si>
  <si>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</si>
  <si>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</si>
  <si>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</si>
  <si>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</si>
  <si>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</si>
  <si>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</si>
  <si>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</si>
  <si>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</si>
  <si>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</si>
  <si>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</si>
  <si>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</si>
  <si>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</si>
  <si>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</si>
  <si>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</si>
  <si>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</si>
  <si>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</si>
  <si>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</si>
  <si>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</si>
  <si>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</si>
  <si>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</si>
  <si>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</si>
  <si>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</si>
  <si>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</si>
  <si>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</si>
  <si>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</si>
  <si>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</si>
  <si>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</si>
  <si>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</si>
  <si>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</si>
  <si>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</si>
  <si>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</si>
  <si>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</si>
  <si>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</si>
  <si>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</si>
  <si>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</si>
  <si>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</si>
  <si>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</si>
  <si>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</si>
  <si>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</si>
  <si>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</si>
  <si>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</si>
  <si>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</si>
  <si>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</si>
  <si>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</si>
  <si>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</si>
  <si>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</si>
  <si>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</si>
  <si>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</si>
  <si>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</si>
  <si>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</si>
  <si>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</si>
  <si>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</si>
  <si>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</si>
  <si>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</si>
  <si>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</si>
  <si>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</si>
  <si>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</si>
  <si>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</si>
  <si>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</si>
  <si>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</si>
  <si>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</si>
  <si>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</si>
  <si>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</si>
  <si>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</si>
  <si>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</si>
  <si>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</si>
  <si>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</si>
  <si>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</si>
  <si>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</si>
  <si>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</si>
  <si>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</si>
  <si>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</si>
  <si>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</si>
  <si>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</si>
  <si>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</si>
  <si>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</si>
  <si>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</si>
  <si>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</si>
  <si>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</si>
  <si>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</si>
  <si>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</si>
  <si>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</si>
  <si>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</si>
  <si>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</si>
  <si>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</si>
  <si>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</si>
  <si>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</si>
  <si>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</si>
  <si>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</si>
  <si>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</si>
  <si>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</si>
  <si>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</si>
  <si>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</si>
  <si>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</si>
  <si>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</si>
  <si>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</si>
  <si>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</si>
  <si>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</si>
  <si>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</si>
  <si>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</si>
  <si>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</si>
  <si>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</si>
  <si>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</si>
  <si>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</si>
  <si>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</si>
  <si>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</si>
  <si>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</si>
  <si>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</si>
  <si>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</si>
  <si>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</si>
  <si>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</si>
  <si>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</si>
  <si>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</si>
  <si>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</si>
  <si>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</si>
  <si>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</si>
  <si>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</si>
  <si>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</si>
  <si>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</si>
  <si>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</si>
  <si>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</si>
  <si>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</si>
  <si>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</si>
  <si>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</si>
  <si>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</si>
  <si>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</si>
  <si>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</si>
  <si>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</si>
  <si>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</si>
  <si>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</si>
  <si>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</si>
  <si>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</si>
  <si>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</si>
  <si>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</si>
  <si>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</si>
  <si>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</si>
  <si>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</si>
  <si>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</si>
  <si>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</si>
  <si>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</si>
  <si>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</si>
  <si>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</si>
  <si>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</si>
  <si>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</si>
  <si>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</si>
  <si>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</si>
  <si>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</si>
  <si>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</si>
  <si>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</si>
  <si>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</si>
  <si>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</si>
  <si>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</si>
  <si>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</si>
  <si>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</si>
  <si>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</si>
  <si>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</si>
  <si>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</si>
  <si>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</si>
  <si>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</si>
  <si>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</si>
  <si>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</si>
  <si>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</si>
  <si>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</si>
  <si>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</si>
  <si>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</si>
  <si>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</si>
  <si>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</si>
  <si>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</si>
  <si>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</si>
  <si>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</si>
  <si>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</si>
  <si>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</si>
  <si>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</si>
  <si>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</si>
  <si>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</si>
  <si>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</si>
  <si>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</si>
  <si>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</si>
  <si>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</si>
  <si>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</si>
  <si>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</si>
  <si>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</si>
  <si>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</si>
  <si>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</si>
  <si>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</si>
  <si>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</si>
  <si>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</si>
  <si>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</si>
  <si>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</si>
  <si>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</si>
  <si>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</si>
  <si>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</si>
  <si>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</si>
  <si>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</si>
  <si>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</si>
  <si>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</si>
  <si>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</si>
  <si>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</si>
  <si>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</si>
  <si>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</si>
  <si>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</si>
  <si>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</si>
  <si>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</si>
  <si>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</si>
  <si>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</si>
  <si>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</si>
  <si>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</si>
  <si>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</si>
  <si>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</si>
  <si>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</si>
  <si>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</si>
  <si>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</si>
  <si>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</si>
  <si>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</si>
  <si>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</si>
  <si>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</si>
  <si>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</si>
  <si>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</si>
  <si>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</si>
  <si>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</si>
  <si>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</si>
  <si>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</si>
  <si>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</si>
  <si>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</si>
  <si>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</si>
  <si>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</si>
  <si>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</si>
  <si>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</si>
  <si>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</si>
  <si>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</si>
  <si>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</si>
  <si>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</si>
  <si>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</si>
  <si>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</si>
  <si>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</si>
  <si>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</si>
  <si>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</si>
  <si>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</si>
  <si>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</si>
  <si>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</si>
  <si>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</si>
  <si>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</si>
  <si>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</si>
  <si>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</si>
  <si>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</si>
  <si>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</si>
  <si>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</si>
  <si>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</si>
  <si>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</si>
  <si>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</si>
  <si>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</si>
  <si>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</si>
  <si>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</si>
  <si>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</si>
  <si>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</si>
  <si>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</si>
  <si>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</si>
  <si>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</si>
  <si>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</si>
  <si>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</si>
  <si>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</si>
  <si>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</si>
  <si>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</si>
  <si>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</si>
  <si>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</si>
  <si>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</si>
  <si>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</si>
  <si>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</si>
  <si>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</si>
  <si>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</si>
  <si>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</si>
  <si>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</si>
  <si>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</si>
  <si>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</si>
  <si>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</si>
  <si>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</si>
  <si>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</si>
  <si>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</si>
  <si>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</si>
  <si>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</si>
  <si>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</si>
  <si>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</si>
  <si>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</si>
  <si>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</si>
  <si>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</si>
  <si>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</si>
  <si>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</si>
  <si>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</si>
  <si>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</si>
  <si>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</si>
  <si>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</si>
  <si>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</si>
  <si>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</si>
  <si>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</si>
  <si>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</si>
  <si>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</si>
  <si>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</si>
  <si>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</si>
  <si>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</si>
  <si>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</si>
  <si>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</si>
  <si>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</si>
  <si>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</si>
  <si>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</si>
  <si>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</si>
  <si>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</si>
  <si>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</si>
  <si>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</si>
  <si>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</si>
  <si>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</si>
  <si>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</si>
  <si>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</si>
  <si>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</si>
  <si>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</si>
  <si>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</si>
  <si>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</si>
  <si>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</si>
  <si>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</si>
  <si>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</si>
  <si>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</si>
  <si>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</si>
  <si>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</si>
  <si>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</si>
  <si>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</si>
  <si>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</si>
  <si>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</si>
  <si>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</si>
  <si>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</si>
  <si>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</si>
  <si>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</si>
  <si>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</si>
  <si>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</si>
  <si>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</si>
  <si>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</si>
  <si>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</si>
  <si>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</si>
  <si>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</si>
  <si>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</si>
  <si>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</si>
  <si>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</si>
  <si>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</si>
  <si>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</si>
  <si>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</si>
  <si>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</si>
  <si>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</si>
  <si>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</si>
  <si>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</si>
  <si>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</si>
  <si>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</si>
  <si>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</si>
  <si>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</si>
  <si>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</si>
  <si>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</si>
  <si>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</si>
  <si>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</si>
  <si>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</si>
  <si>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</si>
  <si>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</si>
  <si>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</si>
  <si>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</si>
  <si>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</si>
  <si>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</si>
  <si>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</si>
  <si>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</si>
  <si>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</si>
  <si>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</si>
  <si>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</si>
  <si>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</si>
  <si>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</si>
  <si>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</si>
  <si>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</si>
  <si>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</si>
  <si>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</si>
  <si>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</si>
  <si>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</si>
  <si>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</si>
  <si>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</si>
  <si>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</si>
  <si>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</si>
  <si>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</si>
  <si>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</si>
  <si>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</si>
  <si>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</si>
  <si>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</si>
  <si>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</si>
  <si>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</si>
  <si>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</si>
  <si>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</si>
  <si>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</si>
  <si>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</si>
  <si>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</si>
  <si>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</si>
  <si>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</si>
  <si>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</si>
  <si>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</si>
  <si>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</si>
  <si>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</si>
  <si>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</si>
  <si>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</si>
  <si>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</si>
  <si>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</si>
  <si>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</si>
  <si>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</si>
  <si>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</si>
  <si>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</si>
  <si>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</si>
  <si>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</si>
  <si>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</si>
  <si>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</si>
  <si>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</si>
  <si>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</si>
  <si>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</si>
  <si>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</si>
  <si>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</si>
  <si>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</si>
  <si>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</si>
  <si>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</si>
  <si>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</si>
  <si>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</si>
  <si>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</si>
  <si>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</si>
  <si>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</si>
  <si>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</si>
  <si>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</si>
  <si>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</si>
  <si>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</si>
  <si>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</si>
  <si>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</si>
  <si>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</si>
  <si>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</si>
  <si>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</si>
  <si>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</si>
  <si>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</si>
  <si>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</si>
  <si>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</si>
  <si>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</si>
  <si>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</si>
  <si>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</si>
  <si>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</si>
  <si>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</si>
  <si>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</si>
  <si>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</si>
  <si>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</si>
  <si>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</si>
  <si>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</si>
  <si>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</si>
  <si>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</si>
  <si>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</si>
  <si>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</si>
  <si>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</si>
  <si>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</si>
  <si>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</si>
  <si>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</si>
  <si>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</si>
  <si>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</si>
  <si>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</si>
  <si>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</si>
  <si>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</si>
  <si>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</si>
  <si>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</si>
  <si>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</si>
  <si>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</si>
  <si>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</si>
  <si>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</si>
  <si>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</si>
  <si>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</si>
  <si>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</si>
  <si>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</si>
  <si>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</si>
  <si>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</si>
  <si>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</si>
  <si>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</si>
  <si>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</si>
  <si>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</si>
  <si>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</si>
  <si>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</si>
  <si>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</si>
  <si>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</si>
  <si>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</si>
  <si>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</si>
  <si>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</si>
  <si>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</si>
  <si>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</si>
  <si>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</si>
  <si>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</si>
  <si>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</si>
  <si>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</si>
  <si>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</si>
  <si>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</si>
  <si>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</si>
  <si>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</si>
  <si>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</si>
  <si>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</si>
  <si>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</si>
  <si>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</si>
  <si>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</si>
  <si>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</si>
  <si>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</si>
  <si>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</si>
  <si>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</si>
  <si>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</si>
  <si>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</si>
  <si>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</si>
  <si>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</si>
  <si>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</si>
  <si>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</si>
  <si>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</si>
  <si>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</si>
  <si>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</si>
  <si>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</si>
  <si>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</si>
  <si>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</si>
  <si>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</si>
  <si>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</si>
  <si>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</si>
  <si>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</si>
  <si>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</si>
  <si>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</si>
  <si>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</si>
  <si>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</si>
  <si>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</si>
  <si>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</si>
  <si>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</si>
  <si>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</si>
  <si>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</si>
  <si>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</si>
  <si>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</si>
  <si>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</si>
  <si>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</si>
  <si>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</si>
  <si>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</si>
  <si>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</si>
  <si>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</si>
  <si>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</si>
  <si>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</si>
  <si>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</si>
  <si>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</si>
  <si>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</si>
  <si>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</si>
  <si>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</si>
  <si>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</si>
  <si>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</si>
  <si>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</si>
  <si>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</si>
  <si>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</si>
  <si>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</si>
  <si>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</si>
  <si>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</si>
  <si>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</si>
  <si>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</si>
  <si>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</si>
  <si>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</si>
  <si>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</si>
  <si>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</si>
  <si>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</si>
  <si>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</si>
  <si>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</si>
  <si>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</si>
  <si>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</si>
  <si>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</si>
  <si>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</si>
  <si>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</si>
  <si>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</si>
  <si>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</si>
  <si>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</si>
  <si>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</si>
  <si>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</si>
  <si>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</si>
  <si>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</si>
  <si>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</si>
  <si>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</si>
  <si>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</si>
  <si>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</si>
  <si>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</si>
  <si>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</si>
  <si>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</si>
  <si>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</si>
  <si>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</si>
  <si>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</si>
  <si>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</si>
  <si>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</si>
  <si>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</si>
  <si>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</si>
  <si>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</si>
  <si>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</si>
  <si>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</si>
  <si>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</si>
  <si>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</si>
  <si>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</si>
  <si>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</si>
  <si>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</si>
  <si>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</si>
  <si>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</si>
  <si>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</si>
  <si>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</si>
  <si>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</si>
  <si>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</si>
  <si>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</si>
  <si>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</si>
  <si>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</si>
  <si>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</si>
  <si>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</si>
  <si>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</si>
  <si>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</si>
  <si>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</si>
  <si>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</si>
  <si>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</si>
  <si>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</si>
  <si>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</si>
  <si>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</si>
  <si>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</si>
  <si>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</si>
  <si>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</si>
  <si>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</si>
  <si>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</si>
  <si>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</si>
  <si>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</si>
  <si>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</si>
  <si>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</si>
  <si>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</si>
  <si>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</si>
  <si>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</si>
  <si>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</si>
  <si>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</si>
  <si>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</si>
  <si>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</si>
  <si>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</si>
  <si>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</si>
  <si>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</si>
  <si>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</si>
  <si>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</si>
  <si>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</si>
  <si>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</si>
  <si>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</si>
  <si>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</si>
  <si>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</si>
  <si>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</si>
  <si>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</si>
  <si>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</si>
  <si>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</si>
  <si>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</si>
  <si>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</si>
  <si>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</si>
  <si>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</si>
  <si>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</si>
  <si>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</si>
  <si>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</si>
  <si>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</si>
  <si>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</si>
  <si>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</si>
  <si>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</si>
  <si>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</si>
  <si>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</si>
  <si>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</si>
  <si>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</si>
  <si>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</si>
  <si>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</si>
  <si>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</si>
  <si>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</si>
  <si>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</si>
  <si>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</si>
  <si>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</si>
  <si>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</si>
  <si>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</si>
  <si>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</si>
  <si>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</si>
  <si>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</si>
  <si>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</si>
  <si>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</si>
  <si>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</si>
  <si>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</si>
  <si>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</si>
  <si>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</si>
  <si>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</si>
  <si>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</si>
  <si>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</si>
  <si>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</si>
  <si>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</si>
  <si>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</si>
  <si>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</si>
  <si>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</si>
  <si>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</si>
  <si>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</si>
  <si>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</si>
  <si>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</si>
  <si>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</si>
  <si>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</si>
  <si>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</si>
  <si>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</si>
  <si>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</si>
  <si>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</si>
  <si>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</si>
  <si>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</si>
  <si>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</si>
  <si>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</si>
  <si>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</si>
  <si>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</si>
  <si>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</si>
  <si>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</si>
  <si>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</si>
  <si>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</si>
  <si>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</si>
  <si>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</si>
  <si>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</si>
  <si>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</si>
  <si>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</si>
  <si>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</si>
  <si>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</si>
  <si>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</si>
  <si>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</si>
  <si>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</si>
  <si>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</si>
  <si>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</si>
  <si>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</si>
  <si>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</si>
  <si>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</si>
  <si>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</si>
  <si>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</si>
  <si>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</si>
  <si>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</si>
  <si>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</si>
  <si>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</si>
  <si>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</si>
  <si>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</si>
  <si>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</si>
  <si>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</si>
  <si>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</si>
  <si>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</si>
  <si>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</si>
  <si>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</si>
  <si>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</si>
  <si>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</si>
  <si>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</si>
  <si>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</si>
  <si>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</si>
  <si>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</si>
  <si>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</si>
  <si>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</si>
  <si>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</si>
  <si>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</si>
  <si>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</si>
  <si>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</si>
  <si>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</si>
  <si>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</si>
  <si>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</si>
  <si>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</si>
  <si>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</si>
  <si>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</si>
  <si>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</si>
  <si>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</si>
  <si>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</si>
  <si>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</si>
  <si>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</si>
  <si>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</si>
  <si>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</si>
  <si>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</si>
  <si>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</si>
  <si>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</si>
  <si>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</si>
  <si>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</si>
  <si>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</si>
  <si>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</si>
  <si>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</si>
  <si>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</si>
  <si>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</si>
  <si>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</si>
  <si>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</si>
  <si>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</si>
  <si>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</si>
  <si>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</si>
  <si>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</si>
  <si>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</si>
  <si>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</si>
  <si>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</si>
  <si>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</si>
  <si>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</si>
  <si>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</si>
  <si>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</si>
  <si>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</si>
  <si>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</si>
  <si>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</si>
  <si>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</si>
  <si>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</si>
  <si>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</si>
  <si>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</si>
  <si>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</si>
  <si>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</si>
  <si>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</si>
  <si>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</si>
  <si>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</si>
  <si>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</si>
  <si>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</si>
  <si>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</si>
  <si>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</si>
  <si>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</si>
  <si>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</si>
  <si>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</si>
  <si>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</si>
  <si>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</si>
  <si>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</si>
  <si>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</si>
  <si>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</si>
  <si>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</si>
  <si>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</si>
  <si>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</si>
  <si>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</si>
  <si>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</si>
  <si>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</si>
  <si>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</si>
  <si>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</si>
  <si>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</si>
  <si>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</si>
  <si>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</si>
  <si>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</si>
  <si>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</si>
  <si>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</si>
  <si>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</si>
  <si>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</si>
  <si>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</si>
  <si>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</si>
  <si>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</si>
  <si>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</si>
  <si>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</si>
  <si>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</si>
  <si>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</si>
  <si>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</si>
  <si>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</si>
  <si>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</si>
  <si>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</si>
  <si>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</si>
  <si>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</si>
  <si>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</si>
  <si>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</si>
  <si>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</si>
  <si>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</si>
  <si>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</si>
  <si>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</si>
  <si>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</si>
  <si>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</si>
  <si>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</si>
  <si>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</si>
  <si>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</si>
  <si>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</si>
  <si>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</si>
  <si>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</si>
  <si>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</si>
  <si>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</si>
  <si>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</si>
  <si>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</si>
  <si>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</si>
  <si>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</si>
  <si>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</si>
  <si>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</si>
  <si>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</si>
  <si>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</si>
  <si>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</si>
  <si>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</si>
  <si>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</si>
  <si>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</si>
  <si>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</si>
  <si>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</si>
  <si>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</si>
  <si>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</si>
  <si>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</si>
  <si>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</si>
  <si>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</si>
  <si>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</si>
  <si>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</si>
  <si>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</si>
  <si>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</si>
  <si>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</si>
  <si>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</si>
  <si>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</si>
  <si>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</si>
  <si>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</si>
  <si>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</si>
  <si>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</si>
  <si>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</si>
  <si>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</si>
  <si>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</si>
  <si>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</si>
  <si>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</si>
  <si>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</si>
  <si>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</si>
  <si>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</si>
  <si>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</si>
  <si>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</si>
  <si>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</si>
  <si>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</si>
  <si>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</si>
  <si>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</si>
  <si>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</si>
  <si>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</si>
  <si>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</si>
  <si>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</si>
  <si>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</si>
  <si>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</si>
  <si>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</si>
  <si>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</si>
  <si>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</si>
  <si>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</si>
  <si>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</si>
  <si>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</si>
  <si>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</si>
  <si>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</si>
  <si>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</si>
  <si>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</si>
  <si>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</si>
  <si>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</si>
  <si>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</si>
  <si>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</si>
  <si>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</si>
  <si>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</si>
  <si>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</si>
  <si>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</si>
  <si>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</si>
  <si>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</si>
  <si>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</si>
  <si>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</si>
  <si>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</si>
  <si>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</si>
  <si>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</si>
  <si>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</si>
  <si>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</si>
  <si>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</si>
  <si>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</si>
  <si>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</si>
  <si>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</si>
  <si>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</si>
  <si>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</si>
  <si>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</si>
  <si>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</si>
  <si>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</si>
  <si>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</si>
  <si>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</si>
  <si>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</si>
  <si>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</si>
  <si>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</si>
  <si>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</si>
  <si>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</si>
  <si>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</si>
  <si>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</si>
  <si>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</si>
  <si>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</si>
  <si>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</si>
  <si>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</si>
  <si>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</si>
  <si>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</si>
  <si>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</si>
  <si>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</si>
  <si>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</si>
  <si>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</si>
  <si>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</si>
  <si>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</si>
  <si>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</si>
  <si>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</si>
  <si>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</si>
  <si>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</si>
  <si>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</si>
  <si>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</si>
  <si>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</si>
  <si>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</si>
  <si>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</si>
  <si>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</si>
  <si>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</si>
  <si>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</si>
  <si>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</si>
  <si>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</si>
  <si>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</si>
  <si>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</si>
  <si>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</si>
  <si>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</si>
  <si>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</si>
  <si>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</si>
  <si>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</si>
  <si>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</si>
  <si>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</si>
  <si>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</si>
  <si>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</si>
  <si>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</si>
  <si>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</si>
  <si>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</si>
  <si>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</si>
  <si>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</si>
  <si>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</si>
  <si>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</si>
  <si>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</si>
  <si>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</si>
  <si>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</si>
  <si>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</si>
  <si>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</si>
  <si>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</si>
  <si>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</si>
  <si>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</si>
  <si>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</si>
  <si>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</si>
  <si>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</si>
  <si>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</si>
  <si>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</si>
  <si>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</si>
  <si>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</si>
  <si>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</si>
  <si>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</si>
  <si>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</si>
  <si>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</si>
  <si>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</si>
  <si>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</si>
  <si>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</si>
  <si>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</si>
  <si>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</si>
  <si>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</si>
  <si>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</si>
  <si>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</si>
  <si>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</si>
  <si>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</si>
  <si>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</si>
  <si>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</si>
  <si>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</si>
  <si>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</si>
  <si>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</si>
  <si>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</si>
  <si>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</si>
  <si>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</si>
  <si>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</si>
  <si>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</si>
  <si>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</si>
  <si>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</si>
  <si>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</si>
  <si>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</si>
  <si>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</si>
  <si>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</si>
  <si>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</si>
  <si>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</si>
  <si>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</si>
  <si>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</si>
  <si>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</si>
  <si>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</si>
  <si>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</si>
  <si>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</si>
  <si>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</si>
  <si>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</si>
  <si>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</si>
  <si>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</si>
  <si>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</si>
  <si>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</si>
  <si>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</si>
  <si>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</si>
  <si>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</si>
  <si>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</si>
  <si>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</si>
  <si>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</si>
  <si>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</si>
  <si>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</si>
  <si>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</si>
  <si>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</si>
  <si>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</si>
  <si>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</si>
  <si>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</si>
  <si>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</si>
  <si>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</si>
  <si>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</si>
  <si>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</si>
  <si>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</si>
  <si>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</si>
  <si>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</si>
  <si>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</si>
  <si>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26-034-3170-04</t>
  </si>
  <si>
    <t>Hancock</t>
  </si>
  <si>
    <t>Carthage Elementary School District No. 317</t>
  </si>
  <si>
    <t>210 South Adams</t>
  </si>
  <si>
    <t>Carthage</t>
  </si>
  <si>
    <t>vhardy@cesd.317org</t>
  </si>
  <si>
    <t>Russell J. Rumbold II, CPA</t>
  </si>
  <si>
    <t>rrumbold@gorenzcpa.com</t>
  </si>
  <si>
    <t>Vicki Hardy</t>
  </si>
  <si>
    <t>217-357-3922</t>
  </si>
  <si>
    <t>217-357-6793</t>
  </si>
  <si>
    <t>x</t>
  </si>
  <si>
    <t>Life Safety Bonds</t>
  </si>
  <si>
    <t>ROE #26</t>
  </si>
  <si>
    <t>Illini West HS #307, Western Area Purchasing Co-op, ROE #26</t>
  </si>
  <si>
    <t>WCISEC (Special Ed)</t>
  </si>
  <si>
    <t>Illini West HS #307</t>
  </si>
  <si>
    <t>WCISEC</t>
  </si>
  <si>
    <t>Western Area Purchasing Co-op</t>
  </si>
  <si>
    <t>Illini West HS #307, Southeastern #337</t>
  </si>
  <si>
    <t>2018-001</t>
  </si>
  <si>
    <t>Unresolved - See Finding 2019-001</t>
  </si>
  <si>
    <t>2018-002</t>
  </si>
  <si>
    <t>Unresolved - See Finding 2019-002</t>
  </si>
  <si>
    <t>No contracts for the year ended June 30, 2019</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</si>
  <si>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</si>
  <si>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</si>
  <si>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</si>
  <si>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</si>
  <si>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</si>
  <si>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</si>
  <si>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</si>
  <si>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</si>
  <si>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</si>
  <si>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The Board should take steps it considers necessary to limit the risks that a lack of segregation of duties presents; such as, but not limited to, hiring additional staff.</t>
  </si>
  <si>
    <t>Although the auditor can propose adjustments and assist in assembling or drafting the financial statements, the auditor cannot establish or maintain the District's internal controls. This includes monitoring ongoing activities, since doing so would impair the auditor's independence.</t>
  </si>
  <si>
    <t>Management is currently confident with the abilities of the accounting staff to prepare interim financial statements. The District has also accepted the additional risk associated with the auditor drafting the year-end financial statements including the notes to the financial statements. Management will review, approve, and take responsibility for the financial statements.</t>
  </si>
  <si>
    <t>Vicki Hardy, Superintendent</t>
  </si>
  <si>
    <t>Management is currently confident with the abilities of the accounting staff to prepare</t>
  </si>
  <si>
    <t>interim financial statements. The District has also accepted the additional risk</t>
  </si>
  <si>
    <t>associated with the auditor drafting the year-end financial statements including the notes</t>
  </si>
  <si>
    <t>to the financial statements. Management will review, approve, and take responsibility for</t>
  </si>
  <si>
    <t>the financial statements.</t>
  </si>
  <si>
    <t>In accordance with prescribed definitions in AU-C 265, it is a strong indication of a significant deficiency in internal control if an entity lacks sufficient controls over the period-end financial reporting process. AU-C 265 provides guidance regarding the extent to which the auditor may be involved in drafting an entity's financial statements.</t>
  </si>
  <si>
    <t>A limited number of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</si>
  <si>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All District accounting and financial records are maintained by a limited number of employees.</t>
  </si>
  <si>
    <t>A limited number of employees have the ability to complete and record accounting functions which ideally would be segregated.</t>
  </si>
  <si>
    <t>The District will take the auditor's recommendation under consideration; however, the District has determined that the current internal control system is acceptable.</t>
  </si>
  <si>
    <t>The District should review the additional costs it would incur to prepare interim financial statements internally with the corresponding reduction of risk associated with material misstatement of the District's financial statements.</t>
  </si>
  <si>
    <t>The District will continue to monitor their internal control system. Management oversight and other mitigating controls have lowered risks associated with inadequate segregation of duties. Assessment of internal controls will be performed annually.</t>
  </si>
  <si>
    <t>June 30, 2020</t>
  </si>
  <si>
    <t>The Board of Education has determined that the current internal control system is</t>
  </si>
  <si>
    <t>acceptable, providing a tolerable amount of risk.</t>
  </si>
  <si>
    <t>The District will continue to record all financial data in the most accurate way possible; while continuing to investigate their financial ability to hire personnel with the education and skills to prepare annual financial statements and related footnote disclosures in accordance with the regulatory cash basis of accounting.</t>
  </si>
  <si>
    <t>Inadequate segregation of duties increases the risk of misstatements in the financial statements.</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</si>
  <si>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</si>
  <si>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Part C- Line 20 - See Finding 2019-001 &amp; Finding 2019-002</t>
  </si>
  <si>
    <t>GORENZ AND ASSOCIATES, LTD.</t>
  </si>
  <si>
    <t>Page 10, Line 74 - Other Food Service - Lunch Reimbursement from ROE</t>
  </si>
  <si>
    <t>Page 11, Line 107 - Other Local Revenues</t>
  </si>
  <si>
    <t>Educational Fund - Miscellaneous refunds and reimbursements</t>
  </si>
  <si>
    <t>Operations and Maintenance Fund - Miscellaneous refunds and reimbursements (9,209); Insurance Claims (12,992)</t>
  </si>
  <si>
    <t>Transporation Fund - Miscellaneous refunds and reimbursements</t>
  </si>
  <si>
    <t>Page 29, Line 80 "PLEASE ENTER CONTRACTS PAID IN THE CURRENT YEAR"</t>
  </si>
  <si>
    <t>For the current fiscal year under audit, the district did not have qualifying contracts exceeding the $25,000 limit</t>
  </si>
  <si>
    <t>Page 18 - Line 171 - Debt Service - Other - Bond Fees</t>
  </si>
  <si>
    <t>Page 16 - Line 56 - Educational Fund - Other School Support Services - School Admin - Superintendent's Salary &amp; Benefits</t>
  </si>
  <si>
    <t>Page 20, Line 260 - IMRF Fund - Superintendent's Secretary Benefits</t>
  </si>
  <si>
    <t>The District prepares interim financial reports using software specifically designed for school district financial reporting. These interim reports are reviewed and approved by the District's Board of Education. For year end reporting purposes, the District relies on the auditor to prepare drafts of full disclosure financial statements (including footnotes) in a format acceptable by ISBE. The District currently lacks sufficient expertise to prepare year-end, full disclosure financial statements without significant assistance from the auditor. The District does not lack the ability to review and approve all journal entries and the drafted financial statements.</t>
  </si>
  <si>
    <t>Lack of sufficient expertise for full disclosure year-end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</si>
  <si>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year-end financial statements is not an assigned function for the District accounting staff.</t>
  </si>
  <si>
    <t xml:space="preserve">Segretation of Duties </t>
  </si>
  <si>
    <t>Expertise to Prepare Financial Statements</t>
  </si>
  <si>
    <t>See PDF version</t>
  </si>
  <si>
    <t>Carthage ESD 317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</si>
</sst>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3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53" fillId="0" borderId="0" xfId="3" applyFont="1" applyAlignment="1">
      <alignment horizontal="center" vertical="center"/>
    </xf>
    <xf numFmtId="49" fontId="12" fillId="0" borderId="0" xfId="3" applyNumberFormat="1" applyFont="1" applyAlignment="1">
      <alignment horizontal="center" vertical="center"/>
    </xf>
    <xf numFmtId="0" fontId="9" fillId="0" borderId="0" xfId="3"/>
    <xf numFmtId="166" fontId="12" fillId="0" borderId="0" xfId="3" applyNumberFormat="1" applyFont="1" applyAlignment="1">
      <alignment horizontal="center" vertical="center"/>
    </xf>
    <xf numFmtId="0" fontId="12" fillId="0" borderId="0" xfId="3" applyFont="1" applyAlignment="1">
      <alignment horizontal="center" vertical="center"/>
    </xf>
    <xf numFmtId="171" fontId="12" fillId="0" borderId="0" xfId="3" applyNumberFormat="1" applyFont="1" applyAlignment="1">
      <alignment horizontal="center" vertical="center"/>
    </xf>
    <xf numFmtId="0" fontId="138" fillId="0" borderId="0" xfId="3" applyFont="1" applyAlignment="1">
      <alignment horizontal="left"/>
    </xf>
    <xf numFmtId="0" fontId="33" fillId="0" borderId="0" xfId="3" applyFont="1" applyAlignment="1">
      <alignment horizontal="left"/>
    </xf>
    <xf numFmtId="0" fontId="33" fillId="0" borderId="0" xfId="3" applyFont="1"/>
    <xf numFmtId="0" fontId="12" fillId="0" borderId="0" xfId="3" applyFont="1" applyAlignment="1">
      <alignment horizontal="left"/>
    </xf>
    <xf numFmtId="0" fontId="10" fillId="0" borderId="0" xfId="3" applyFont="1"/>
    <xf numFmtId="0" fontId="12" fillId="0" borderId="0" xfId="3" applyFont="1" applyAlignment="1">
      <alignment horizontal="center"/>
    </xf>
    <xf numFmtId="178" fontId="12" fillId="0" borderId="9" xfId="3" applyNumberFormat="1" applyFont="1" applyBorder="1" applyAlignment="1" applyProtection="1">
      <alignment horizontal="center"/>
      <protection locked="0"/>
    </xf>
    <xf numFmtId="0" fontId="139" fillId="0" borderId="0" xfId="3" applyFont="1" applyAlignment="1">
      <alignment horizontal="left"/>
    </xf>
    <xf numFmtId="0" fontId="9" fillId="0" borderId="0" xfId="3" applyProtection="1">
      <protection locked="0"/>
    </xf>
    <xf numFmtId="0" fontId="11" fillId="0" borderId="0" xfId="3" applyFont="1"/>
    <xf numFmtId="0" fontId="9" fillId="0" borderId="0" xfId="3" applyAlignment="1">
      <alignment horizontal="left"/>
    </xf>
    <xf numFmtId="0" fontId="9" fillId="0" borderId="78" xfId="3" applyBorder="1"/>
    <xf numFmtId="0" fontId="140" fillId="0" borderId="0" xfId="3" applyFont="1" applyAlignment="1">
      <alignment horizontal="left"/>
    </xf>
    <xf numFmtId="0" fontId="10" fillId="0" borderId="0" xfId="3" applyFont="1" applyAlignment="1">
      <alignment horizontal="left"/>
    </xf>
    <xf numFmtId="0" fontId="35" fillId="0" borderId="0" xfId="3" applyFont="1"/>
    <xf numFmtId="0" fontId="140" fillId="0" borderId="0" xfId="3" applyFont="1"/>
    <xf numFmtId="49" fontId="64" fillId="0" borderId="0" xfId="3" applyNumberFormat="1" applyFont="1" applyAlignment="1">
      <alignment horizontal="center" vertical="top"/>
    </xf>
    <xf numFmtId="165" fontId="53" fillId="0" borderId="0" xfId="3" applyNumberFormat="1" applyFont="1" applyAlignment="1">
      <alignment horizontal="center" vertical="center"/>
    </xf>
    <xf numFmtId="166" fontId="64" fillId="0" borderId="0" xfId="3" applyNumberFormat="1" applyFont="1" applyAlignment="1">
      <alignment horizontal="center" vertical="top"/>
    </xf>
    <xf numFmtId="0" fontId="64" fillId="0" borderId="0" xfId="3" applyFont="1"/>
    <xf numFmtId="0" fontId="56" fillId="0" borderId="0" xfId="3" applyFont="1" applyAlignment="1">
      <alignment horizontal="center"/>
    </xf>
    <xf numFmtId="0" fontId="64" fillId="0" borderId="144" xfId="3" applyFont="1" applyBorder="1"/>
    <xf numFmtId="0" fontId="56" fillId="0" borderId="144" xfId="3" applyFont="1" applyBorder="1"/>
    <xf numFmtId="0" fontId="56" fillId="0" borderId="144" xfId="3" applyFont="1" applyBorder="1" applyAlignment="1">
      <alignment horizontal="center"/>
    </xf>
    <xf numFmtId="0" fontId="64" fillId="0" borderId="0" xfId="3" applyFont="1" applyAlignment="1">
      <alignment horizontal="centerContinuous"/>
    </xf>
    <xf numFmtId="0" fontId="64" fillId="0" borderId="0" xfId="3" applyFont="1" applyAlignment="1">
      <alignment horizontal="right"/>
    </xf>
    <xf numFmtId="0" fontId="56" fillId="0" borderId="0" xfId="3" applyFont="1" applyAlignment="1">
      <alignment horizontal="left" indent="1"/>
    </xf>
    <xf numFmtId="0" fontId="63" fillId="0" borderId="0" xfId="3" applyFont="1" applyAlignment="1">
      <alignment horizontal="left" indent="1"/>
    </xf>
    <xf numFmtId="0" fontId="63" fillId="0" borderId="0" xfId="3" applyFont="1" applyAlignment="1">
      <alignment horizontal="left"/>
    </xf>
    <xf numFmtId="0" fontId="63" fillId="0" borderId="144" xfId="3" quotePrefix="1" applyFont="1" applyBorder="1" applyAlignment="1">
      <alignment horizontal="left"/>
    </xf>
    <xf numFmtId="0" fontId="54" fillId="0" borderId="144" xfId="3" applyFont="1" applyBorder="1"/>
    <xf numFmtId="0" fontId="54" fillId="0" borderId="144" xfId="3" applyFont="1" applyBorder="1" applyAlignment="1">
      <alignment horizontal="center"/>
    </xf>
    <xf numFmtId="8" fontId="56" fillId="0" borderId="0" xfId="3" applyNumberFormat="1" applyFont="1" applyAlignment="1">
      <alignment horizontal="left"/>
    </xf>
    <xf numFmtId="0" fontId="63" fillId="0" borderId="144" xfId="3" applyFont="1" applyBorder="1"/>
    <xf numFmtId="0" fontId="63" fillId="0" borderId="144" xfId="3" applyFont="1" applyBorder="1" applyAlignment="1">
      <alignment horizontal="left"/>
    </xf>
    <xf numFmtId="0" fontId="56" fillId="0" borderId="78" xfId="3" applyFont="1" applyBorder="1"/>
    <xf numFmtId="0" fontId="56" fillId="0" borderId="78" xfId="3" applyFont="1" applyBorder="1" applyAlignment="1">
      <alignment horizontal="center"/>
    </xf>
    <xf numFmtId="0" fontId="118" fillId="0" borderId="0" xfId="3" applyFont="1"/>
    <xf numFmtId="0" fontId="63" fillId="0" borderId="0" xfId="3" applyFont="1" applyAlignment="1">
      <alignment horizontal="center" vertical="top" textRotation="180"/>
    </xf>
    <xf numFmtId="14" fontId="9" fillId="0" borderId="0" xfId="3" quotePrefix="1" applyNumberFormat="1" applyAlignment="1" applyProtection="1">
      <alignment horizontal="left" indent="2"/>
      <protection locked="0"/>
    </xf>
    <xf numFmtId="164" fontId="54" fillId="0" borderId="0" xfId="0" applyNumberFormat="1" applyFont="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Alignment="1" applyProtection="1">
      <alignment horizontal="left" vertical="top" wrapText="1"/>
      <protection locked="0"/>
    </xf>
    <xf numFmtId="0" fontId="64" fillId="0" borderId="0" xfId="3" applyFont="1" applyAlignment="1">
      <alignment horizontal="center" vertical="center" wrapText="1"/>
    </xf>
    <xf numFmtId="165" fontId="64" fillId="0" borderId="0" xfId="3" applyNumberFormat="1" applyFont="1" applyAlignment="1">
      <alignment horizontal="center" vertical="center" wrapText="1"/>
    </xf>
    <xf numFmtId="0" fontId="53" fillId="0" borderId="0" xfId="3" applyFont="1" applyAlignment="1">
      <alignment horizontal="center" vertical="center" wrapText="1"/>
    </xf>
    <xf numFmtId="8" fontId="56" fillId="0" borderId="0" xfId="3" applyNumberFormat="1" applyFont="1" applyAlignment="1" applyProtection="1">
      <alignment horizontal="left" vertical="top" wrapText="1"/>
      <protection locked="0"/>
    </xf>
    <xf numFmtId="0" fontId="56" fillId="0" borderId="0" xfId="3" applyFont="1" applyBorder="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0" fontId="9" fillId="0" borderId="0" xfId="3" applyAlignment="1" applyProtection="1">
      <alignment horizontal="left" vertical="top" wrapText="1"/>
      <protection locked="0"/>
    </xf>
    <xf numFmtId="0" fontId="12" fillId="0" borderId="0" xfId="3" applyFont="1" applyAlignment="1">
      <alignment horizontal="center" vertical="center" wrapText="1"/>
    </xf>
    <xf numFmtId="165" fontId="12" fillId="0" borderId="0" xfId="3" applyNumberFormat="1" applyFont="1" applyAlignment="1">
      <alignment horizontal="center" vertical="center" wrapText="1"/>
    </xf>
    <xf numFmtId="0" fontId="19" fillId="0" borderId="0" xfId="3" applyFont="1" applyAlignment="1">
      <alignment horizontal="center" vertical="center" wrapText="1"/>
    </xf>
    <xf numFmtId="171" fontId="19" fillId="0" borderId="0" xfId="3" applyNumberFormat="1" applyFont="1" applyAlignment="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82550</xdr:colOff>
      <xdr:row>41</xdr:row>
      <xdr:rowOff>25400</xdr:rowOff>
    </xdr:to>
    <xdr:sp macro="" textlink="">
      <xdr:nvSpPr>
        <xdr:cNvPr id="2" name="Text 1">
          <a:extLst>
            <a:ext uri="{FF2B5EF4-FFF2-40B4-BE49-F238E27FC236}">
              <a16:creationId xmlns:a16="http://schemas.microsoft.com/office/drawing/2014/main" id="{8F2386B3-9938-46D9-AA8E-5B3B680C01F3}"/>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316429E4-813E-4FAD-936D-83DF64FC34C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94154B86-1032-4551-8BBD-690F28297F9F}"/>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9D9E61C-59A5-4CAC-9F2A-51628736E459}"/>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9937" name="Object 1" hidden="1">
              <a:extLst>
                <a:ext uri="{63B3BB69-23CF-44E3-9099-C40C66FF867C}">
                  <a14:compatExt spid="_x0000_s39937"/>
                </a:ext>
                <a:ext uri="{FF2B5EF4-FFF2-40B4-BE49-F238E27FC236}">
                  <a16:creationId xmlns:a16="http://schemas.microsoft.com/office/drawing/2014/main" id="{00000000-0008-0000-1400-000001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1073727</xdr:colOff>
          <xdr:row>0</xdr:row>
          <xdr:rowOff>155864</xdr:rowOff>
        </xdr:from>
        <xdr:to>
          <xdr:col>1</xdr:col>
          <xdr:colOff>1984663</xdr:colOff>
          <xdr:row>5</xdr:row>
          <xdr:rowOff>29441</xdr:rowOff>
        </xdr:to>
        <xdr:sp macro="" textlink="">
          <xdr:nvSpPr>
            <xdr:cNvPr id="39938" name="Object 2" hidden="1">
              <a:extLst>
                <a:ext uri="{63B3BB69-23CF-44E3-9099-C40C66FF867C}">
                  <a14:compatExt spid="_x0000_s39938"/>
                </a:ext>
                <a:ext uri="{FF2B5EF4-FFF2-40B4-BE49-F238E27FC236}">
                  <a16:creationId xmlns:a16="http://schemas.microsoft.com/office/drawing/2014/main" id="{00000000-0008-0000-1400-000002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4ABF865C-5699-40C2-8D3D-3D9F955EA6C7}"/>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5F2B02EA-A0F5-43E5-AB24-253FF1A7C59C}"/>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9ED81014-E400-4F39-B1E3-ACA1D94E91E8}"/>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2F09E618-2455-4217-BEAC-742CD8B1F50E}"/>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21" sqref="A21:H22"/>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24" t="s">
        <v>405</v>
      </c>
      <c r="J1" s="2025"/>
      <c r="K1" s="2025"/>
      <c r="L1" s="2025"/>
      <c r="M1" s="2025"/>
      <c r="N1" s="2025"/>
      <c r="O1" s="2025"/>
      <c r="P1" s="2025"/>
      <c r="Q1" s="2025"/>
      <c r="R1" s="2025"/>
      <c r="S1" s="2025"/>
    </row>
    <row r="2" spans="1:28" ht="12" customHeight="1" x14ac:dyDescent="0.2">
      <c r="A2" s="47" t="s">
        <v>1993</v>
      </c>
      <c r="D2" s="48"/>
      <c r="I2" s="2026" t="s">
        <v>979</v>
      </c>
      <c r="J2" s="2025"/>
      <c r="K2" s="2025"/>
      <c r="L2" s="2025"/>
      <c r="M2" s="2025"/>
      <c r="N2" s="2025"/>
      <c r="O2" s="2025"/>
      <c r="P2" s="2025"/>
      <c r="Q2" s="2025"/>
      <c r="R2" s="2025"/>
      <c r="S2" s="2025"/>
    </row>
    <row r="3" spans="1:28" ht="12" customHeight="1" x14ac:dyDescent="0.2">
      <c r="A3" s="155" t="s">
        <v>1945</v>
      </c>
      <c r="B3" s="156"/>
      <c r="C3" s="156"/>
      <c r="D3" s="157"/>
      <c r="I3" s="2026" t="s">
        <v>52</v>
      </c>
      <c r="J3" s="2025"/>
      <c r="K3" s="2025"/>
      <c r="L3" s="2025"/>
      <c r="M3" s="2025"/>
      <c r="N3" s="2025"/>
      <c r="O3" s="2025"/>
      <c r="P3" s="2025"/>
      <c r="Q3" s="2025"/>
      <c r="R3" s="2025"/>
      <c r="S3" s="2025"/>
    </row>
    <row r="4" spans="1:28" ht="12" customHeight="1" x14ac:dyDescent="0.2">
      <c r="A4" s="37"/>
      <c r="I4" s="2026" t="s">
        <v>524</v>
      </c>
      <c r="J4" s="2025"/>
      <c r="K4" s="2025"/>
      <c r="L4" s="2025"/>
      <c r="M4" s="2025"/>
      <c r="N4" s="2025"/>
      <c r="O4" s="2025"/>
      <c r="P4" s="2025"/>
      <c r="Q4" s="2025"/>
      <c r="R4" s="2025"/>
      <c r="S4" s="2025"/>
    </row>
    <row r="5" spans="1:28" ht="14.1" customHeight="1" x14ac:dyDescent="0.2">
      <c r="B5" s="104" t="s">
        <v>2070</v>
      </c>
      <c r="C5" s="26" t="s">
        <v>910</v>
      </c>
      <c r="D5" s="84"/>
      <c r="E5" s="84"/>
      <c r="H5" s="38"/>
      <c r="I5" s="2034" t="s">
        <v>680</v>
      </c>
      <c r="J5" s="2033"/>
      <c r="K5" s="2033"/>
      <c r="L5" s="2033"/>
      <c r="M5" s="2033"/>
      <c r="N5" s="2033"/>
      <c r="O5" s="2033"/>
      <c r="P5" s="2033"/>
      <c r="Q5" s="2033"/>
      <c r="R5" s="2033"/>
      <c r="S5" s="2033"/>
    </row>
    <row r="6" spans="1:28" ht="14.1" customHeight="1" x14ac:dyDescent="0.2">
      <c r="B6" s="104"/>
      <c r="C6" s="26" t="s">
        <v>911</v>
      </c>
      <c r="D6" s="84"/>
      <c r="E6" s="84"/>
      <c r="I6" s="2032" t="s">
        <v>883</v>
      </c>
      <c r="J6" s="2033"/>
      <c r="K6" s="2033"/>
      <c r="L6" s="2033"/>
      <c r="M6" s="2033"/>
      <c r="N6" s="2033"/>
      <c r="O6" s="2033"/>
      <c r="P6" s="2033"/>
      <c r="Q6" s="2033"/>
      <c r="R6" s="2033"/>
      <c r="S6" s="2033"/>
    </row>
    <row r="7" spans="1:28" ht="12.2" customHeight="1" x14ac:dyDescent="0.2">
      <c r="I7" s="2027">
        <v>43646</v>
      </c>
      <c r="J7" s="2028"/>
      <c r="K7" s="2028"/>
      <c r="L7" s="2028"/>
      <c r="M7" s="2028"/>
      <c r="N7" s="2028"/>
      <c r="O7" s="2028"/>
      <c r="P7" s="2028"/>
      <c r="Q7" s="2028"/>
      <c r="R7" s="2028"/>
      <c r="S7" s="202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9" t="s">
        <v>674</v>
      </c>
      <c r="J9" s="2030"/>
      <c r="K9" s="2030"/>
      <c r="L9" s="2030"/>
      <c r="M9" s="2030"/>
      <c r="N9" s="2030"/>
      <c r="O9" s="2030"/>
      <c r="P9" s="2030"/>
      <c r="Q9" s="2030"/>
      <c r="R9" s="2030"/>
      <c r="S9" s="2031"/>
      <c r="T9" s="2045" t="s">
        <v>533</v>
      </c>
      <c r="U9" s="2046"/>
      <c r="V9" s="2046"/>
      <c r="W9" s="2046"/>
      <c r="X9" s="2046"/>
      <c r="Y9" s="2046"/>
      <c r="Z9" s="2046"/>
      <c r="AA9" s="2047"/>
    </row>
    <row r="10" spans="1:28" ht="13.5" customHeight="1" x14ac:dyDescent="0.2">
      <c r="A10" s="2052" t="s">
        <v>675</v>
      </c>
      <c r="B10" s="2053"/>
      <c r="C10" s="2053"/>
      <c r="D10" s="2053"/>
      <c r="E10" s="2053"/>
      <c r="F10" s="2053"/>
      <c r="G10" s="2053"/>
      <c r="H10" s="2054"/>
      <c r="I10" s="29"/>
      <c r="J10" s="30"/>
      <c r="K10" s="28"/>
      <c r="R10" s="30"/>
      <c r="S10" s="30"/>
      <c r="T10" s="2048"/>
      <c r="U10" s="2033"/>
      <c r="V10" s="2033"/>
      <c r="W10" s="2033"/>
      <c r="X10" s="2033"/>
      <c r="Y10" s="2033"/>
      <c r="Z10" s="2033"/>
      <c r="AA10" s="2039"/>
    </row>
    <row r="11" spans="1:28" ht="14.25" customHeight="1" x14ac:dyDescent="0.2">
      <c r="A11" s="2055" t="s">
        <v>955</v>
      </c>
      <c r="B11" s="2056"/>
      <c r="C11" s="2056"/>
      <c r="D11" s="2056"/>
      <c r="E11" s="2056"/>
      <c r="F11" s="2056"/>
      <c r="G11" s="2056"/>
      <c r="H11" s="2057"/>
      <c r="I11" s="27"/>
      <c r="J11" s="74"/>
      <c r="K11" s="27"/>
      <c r="O11" s="148" t="s">
        <v>2070</v>
      </c>
      <c r="P11" s="100" t="s">
        <v>201</v>
      </c>
      <c r="Q11" s="30"/>
      <c r="R11" s="28"/>
      <c r="S11" s="27"/>
      <c r="T11" s="2049"/>
      <c r="U11" s="2050"/>
      <c r="V11" s="2050"/>
      <c r="W11" s="2050"/>
      <c r="X11" s="2050"/>
      <c r="Y11" s="2050"/>
      <c r="Z11" s="2050"/>
      <c r="AA11" s="205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59">
        <v>26034317004</v>
      </c>
      <c r="B13" s="2060"/>
      <c r="C13" s="2060"/>
      <c r="D13" s="2060"/>
      <c r="E13" s="2060"/>
      <c r="F13" s="2060"/>
      <c r="G13" s="2060"/>
      <c r="H13" s="2061"/>
      <c r="I13" s="31"/>
      <c r="J13" s="30"/>
      <c r="K13" s="28"/>
      <c r="L13" s="30"/>
      <c r="M13" s="30"/>
      <c r="N13" s="30"/>
      <c r="O13" s="30"/>
      <c r="P13" s="30"/>
      <c r="Q13" s="30"/>
      <c r="R13" s="30"/>
      <c r="S13" s="30"/>
      <c r="T13" s="2064" t="s">
        <v>2072</v>
      </c>
      <c r="U13" s="2065"/>
      <c r="V13" s="2065"/>
      <c r="W13" s="2065"/>
      <c r="X13" s="2065"/>
      <c r="Y13" s="2066"/>
      <c r="Z13" s="2066"/>
      <c r="AA13" s="206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58" t="s">
        <v>2074</v>
      </c>
      <c r="B15" s="2062"/>
      <c r="C15" s="2062"/>
      <c r="D15" s="2062"/>
      <c r="E15" s="2062"/>
      <c r="F15" s="2062"/>
      <c r="G15" s="2062"/>
      <c r="H15" s="2063"/>
      <c r="T15" s="2068" t="s">
        <v>2079</v>
      </c>
      <c r="U15" s="2012"/>
      <c r="V15" s="2012"/>
      <c r="W15" s="2012"/>
      <c r="X15" s="2012"/>
      <c r="Y15" s="2069"/>
      <c r="Z15" s="2069"/>
      <c r="AA15" s="207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18" t="s">
        <v>2147</v>
      </c>
      <c r="B17" s="2019"/>
      <c r="C17" s="2019"/>
      <c r="D17" s="2019"/>
      <c r="E17" s="2019"/>
      <c r="F17" s="2019"/>
      <c r="G17" s="2019"/>
      <c r="H17" s="2044"/>
      <c r="T17" s="2075" t="s">
        <v>2064</v>
      </c>
      <c r="U17" s="2076"/>
      <c r="V17" s="2076"/>
      <c r="W17" s="2076"/>
      <c r="X17" s="2076"/>
      <c r="Y17" s="2076"/>
      <c r="Z17" s="2076"/>
      <c r="AA17" s="2077"/>
    </row>
    <row r="18" spans="1:27" ht="13.5" customHeight="1" x14ac:dyDescent="0.2">
      <c r="A18" s="85" t="s">
        <v>530</v>
      </c>
      <c r="B18" s="76"/>
      <c r="C18" s="72"/>
      <c r="D18" s="76"/>
      <c r="E18" s="76"/>
      <c r="F18" s="76"/>
      <c r="G18" s="76"/>
      <c r="H18" s="56"/>
      <c r="I18" s="2043" t="s">
        <v>676</v>
      </c>
      <c r="J18" s="1994"/>
      <c r="K18" s="1994"/>
      <c r="L18" s="1994"/>
      <c r="M18" s="1994"/>
      <c r="N18" s="1994"/>
      <c r="O18" s="1994"/>
      <c r="P18" s="1994"/>
      <c r="Q18" s="1994"/>
      <c r="R18" s="1994"/>
      <c r="S18" s="1995"/>
      <c r="T18" s="85" t="s">
        <v>711</v>
      </c>
      <c r="U18" s="51"/>
      <c r="V18" s="72"/>
      <c r="W18" s="50"/>
      <c r="X18" s="85" t="s">
        <v>266</v>
      </c>
      <c r="Y18" s="81"/>
      <c r="Z18" s="159" t="s">
        <v>677</v>
      </c>
      <c r="AA18" s="46"/>
    </row>
    <row r="19" spans="1:27" ht="13.5" customHeight="1" x14ac:dyDescent="0.2">
      <c r="A19" s="2058" t="s">
        <v>2076</v>
      </c>
      <c r="B19" s="2004"/>
      <c r="C19" s="2004"/>
      <c r="D19" s="2004"/>
      <c r="E19" s="2004"/>
      <c r="F19" s="2004"/>
      <c r="G19" s="2004"/>
      <c r="H19" s="1984"/>
      <c r="I19" s="30"/>
      <c r="J19" s="99"/>
      <c r="K19" s="40"/>
      <c r="L19" s="38"/>
      <c r="M19" s="112" t="s">
        <v>315</v>
      </c>
      <c r="P19" s="27"/>
      <c r="Q19" s="27"/>
      <c r="R19" s="27"/>
      <c r="S19" s="31"/>
      <c r="T19" s="2058" t="s">
        <v>2065</v>
      </c>
      <c r="U19" s="1983"/>
      <c r="V19" s="1983"/>
      <c r="W19" s="1984"/>
      <c r="X19" s="2073" t="s">
        <v>2066</v>
      </c>
      <c r="Y19" s="2074"/>
      <c r="Z19" s="2071">
        <v>61614</v>
      </c>
      <c r="AA19" s="207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2" t="s">
        <v>2077</v>
      </c>
      <c r="B21" s="1983"/>
      <c r="C21" s="1983"/>
      <c r="D21" s="1983"/>
      <c r="E21" s="1983"/>
      <c r="F21" s="1983"/>
      <c r="G21" s="1983"/>
      <c r="H21" s="1984"/>
      <c r="I21" s="2038" t="s">
        <v>678</v>
      </c>
      <c r="J21" s="2033"/>
      <c r="K21" s="2033"/>
      <c r="L21" s="2033"/>
      <c r="M21" s="2033"/>
      <c r="N21" s="2033"/>
      <c r="O21" s="2033"/>
      <c r="P21" s="2033"/>
      <c r="Q21" s="2033"/>
      <c r="R21" s="2033"/>
      <c r="S21" s="2039"/>
      <c r="T21" s="2082" t="s">
        <v>2067</v>
      </c>
      <c r="U21" s="2083"/>
      <c r="V21" s="2083"/>
      <c r="W21" s="2083"/>
      <c r="X21" s="2088" t="s">
        <v>2068</v>
      </c>
      <c r="Y21" s="2089"/>
      <c r="Z21" s="2089"/>
      <c r="AA21" s="2090"/>
    </row>
    <row r="22" spans="1:27" ht="13.5" customHeight="1" x14ac:dyDescent="0.2">
      <c r="A22" s="87" t="s">
        <v>531</v>
      </c>
      <c r="B22" s="59"/>
      <c r="C22" s="59"/>
      <c r="D22" s="59"/>
      <c r="E22" s="59"/>
      <c r="F22" s="59"/>
      <c r="G22" s="59"/>
      <c r="H22" s="60"/>
      <c r="I22" s="2040" t="s">
        <v>1429</v>
      </c>
      <c r="J22" s="2041"/>
      <c r="K22" s="2041"/>
      <c r="L22" s="2041"/>
      <c r="M22" s="2041"/>
      <c r="N22" s="2041"/>
      <c r="O22" s="2041"/>
      <c r="P22" s="2041"/>
      <c r="Q22" s="2041"/>
      <c r="R22" s="2041"/>
      <c r="S22" s="2042"/>
      <c r="T22" s="85" t="s">
        <v>1516</v>
      </c>
      <c r="U22" s="51"/>
      <c r="V22" s="72"/>
      <c r="W22" s="51"/>
      <c r="X22" s="160" t="s">
        <v>1318</v>
      </c>
      <c r="Z22" s="45"/>
      <c r="AA22" s="46"/>
    </row>
    <row r="23" spans="1:27" ht="13.5" customHeight="1" x14ac:dyDescent="0.2">
      <c r="A23" s="2035" t="s">
        <v>2078</v>
      </c>
      <c r="B23" s="2036"/>
      <c r="C23" s="2036"/>
      <c r="D23" s="2036"/>
      <c r="E23" s="2036"/>
      <c r="F23" s="2036"/>
      <c r="G23" s="2036"/>
      <c r="H23" s="2037"/>
      <c r="T23" s="2018" t="s">
        <v>2069</v>
      </c>
      <c r="U23" s="2081"/>
      <c r="V23" s="2081"/>
      <c r="W23" s="2081"/>
      <c r="X23" s="2085">
        <v>44501</v>
      </c>
      <c r="Y23" s="2086"/>
      <c r="Z23" s="2086"/>
      <c r="AA23" s="2087"/>
    </row>
    <row r="24" spans="1:27" ht="14.1" customHeight="1" x14ac:dyDescent="0.2">
      <c r="A24" s="88" t="s">
        <v>677</v>
      </c>
      <c r="B24" s="49"/>
      <c r="C24" s="49"/>
      <c r="D24" s="49"/>
      <c r="E24" s="49"/>
      <c r="F24" s="49"/>
      <c r="G24" s="49"/>
      <c r="H24" s="61"/>
      <c r="J24" s="2005">
        <f>IF(B5="x",IF(AUDITCHECK!D29="AFR form Incomplete.","",IF(AUDITCHECK!D29="Deficit reduction plan is required.","School District must complete a deficit reduction plan in the 2019-2020 Budget",)),"")</f>
        <v>0</v>
      </c>
      <c r="K24" s="2005"/>
      <c r="L24" s="2005"/>
      <c r="M24" s="2005"/>
      <c r="N24" s="2005"/>
      <c r="O24" s="2005"/>
      <c r="P24" s="2005"/>
      <c r="Q24" s="2005"/>
      <c r="R24" s="2005"/>
      <c r="S24" s="2006"/>
      <c r="T24" s="105" t="s">
        <v>531</v>
      </c>
      <c r="U24" s="106"/>
      <c r="V24" s="106"/>
      <c r="W24" s="106"/>
      <c r="X24" s="107"/>
      <c r="Y24" s="107"/>
      <c r="Z24" s="107"/>
      <c r="AA24" s="108"/>
    </row>
    <row r="25" spans="1:27" ht="14.1" customHeight="1" x14ac:dyDescent="0.2">
      <c r="A25" s="1982">
        <v>62321</v>
      </c>
      <c r="B25" s="1983"/>
      <c r="C25" s="1983"/>
      <c r="D25" s="1983"/>
      <c r="E25" s="1983"/>
      <c r="F25" s="1983"/>
      <c r="G25" s="1983"/>
      <c r="H25" s="1984"/>
      <c r="I25" s="113"/>
      <c r="J25" s="2007"/>
      <c r="K25" s="2007"/>
      <c r="L25" s="2007"/>
      <c r="M25" s="2007"/>
      <c r="N25" s="2007"/>
      <c r="O25" s="2007"/>
      <c r="P25" s="2007"/>
      <c r="Q25" s="2007"/>
      <c r="R25" s="2007"/>
      <c r="S25" s="2008"/>
      <c r="T25" s="2078" t="s">
        <v>2080</v>
      </c>
      <c r="U25" s="2079"/>
      <c r="V25" s="2079"/>
      <c r="W25" s="2079"/>
      <c r="X25" s="2079"/>
      <c r="Y25" s="2079"/>
      <c r="Z25" s="2079"/>
      <c r="AA25" s="208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93" t="s">
        <v>1511</v>
      </c>
      <c r="J27" s="1994"/>
      <c r="K27" s="1994"/>
      <c r="L27" s="1994"/>
      <c r="M27" s="1994"/>
      <c r="N27" s="1994"/>
      <c r="O27" s="1994"/>
      <c r="P27" s="1994"/>
      <c r="Q27" s="1994"/>
      <c r="R27" s="1994"/>
      <c r="S27" s="199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2070</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04"/>
      <c r="Q35" s="1983"/>
      <c r="R35" s="198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18" t="s">
        <v>2081</v>
      </c>
      <c r="B38" s="2019"/>
      <c r="C38" s="2019"/>
      <c r="D38" s="2019"/>
      <c r="E38" s="2019"/>
      <c r="F38" s="1983"/>
      <c r="G38" s="1983"/>
      <c r="H38" s="1984"/>
      <c r="I38" s="2011"/>
      <c r="J38" s="2012"/>
      <c r="K38" s="2012"/>
      <c r="L38" s="2012"/>
      <c r="M38" s="2012"/>
      <c r="N38" s="2012"/>
      <c r="O38" s="2012"/>
      <c r="P38" s="2013"/>
      <c r="Q38" s="2013"/>
      <c r="R38" s="2013"/>
      <c r="S38" s="2014"/>
      <c r="T38" s="2068"/>
      <c r="U38" s="2012"/>
      <c r="V38" s="2012"/>
      <c r="W38" s="2012"/>
      <c r="X38" s="2013"/>
      <c r="Y38" s="2013"/>
      <c r="Z38" s="2013"/>
      <c r="AA38" s="2014"/>
    </row>
    <row r="39" spans="1:27" ht="12" customHeight="1" x14ac:dyDescent="0.2">
      <c r="A39" s="1988" t="s">
        <v>531</v>
      </c>
      <c r="B39" s="1989"/>
      <c r="C39" s="72"/>
      <c r="D39" s="69"/>
      <c r="E39" s="69"/>
      <c r="F39" s="79"/>
      <c r="G39" s="69"/>
      <c r="H39" s="56"/>
      <c r="I39" s="1988" t="s">
        <v>531</v>
      </c>
      <c r="J39" s="1989"/>
      <c r="K39" s="1989"/>
      <c r="L39" s="1989"/>
      <c r="M39" s="1989"/>
      <c r="N39" s="67"/>
      <c r="O39" s="72"/>
      <c r="P39" s="72"/>
      <c r="Q39" s="78"/>
      <c r="R39" s="72"/>
      <c r="S39" s="56"/>
      <c r="T39" s="72" t="s">
        <v>531</v>
      </c>
      <c r="U39" s="51"/>
      <c r="V39" s="72"/>
      <c r="W39" s="50"/>
      <c r="X39" s="78"/>
      <c r="Y39" s="45"/>
      <c r="Z39" s="45"/>
      <c r="AA39" s="46"/>
    </row>
    <row r="40" spans="1:27" ht="13.5" customHeight="1" x14ac:dyDescent="0.2">
      <c r="A40" s="1996" t="s">
        <v>2078</v>
      </c>
      <c r="B40" s="1997"/>
      <c r="C40" s="1998"/>
      <c r="D40" s="1998"/>
      <c r="E40" s="1998"/>
      <c r="F40" s="1999"/>
      <c r="G40" s="1999"/>
      <c r="H40" s="2000"/>
      <c r="I40" s="2021"/>
      <c r="J40" s="2022"/>
      <c r="K40" s="2022"/>
      <c r="L40" s="2022"/>
      <c r="M40" s="2022"/>
      <c r="N40" s="2022"/>
      <c r="O40" s="2022"/>
      <c r="P40" s="2022"/>
      <c r="Q40" s="2022"/>
      <c r="R40" s="2022"/>
      <c r="S40" s="2023"/>
      <c r="T40" s="2021"/>
      <c r="U40" s="2084"/>
      <c r="V40" s="2022"/>
      <c r="W40" s="2022"/>
      <c r="X40" s="2022"/>
      <c r="Y40" s="2022"/>
      <c r="Z40" s="2022"/>
      <c r="AA40" s="202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10" t="s">
        <v>2082</v>
      </c>
      <c r="B42" s="2002"/>
      <c r="C42" s="2003"/>
      <c r="D42" s="2001" t="s">
        <v>2083</v>
      </c>
      <c r="E42" s="2002"/>
      <c r="F42" s="2002"/>
      <c r="G42" s="2002"/>
      <c r="H42" s="2003"/>
      <c r="I42" s="1985"/>
      <c r="J42" s="1986"/>
      <c r="K42" s="1986"/>
      <c r="L42" s="1986"/>
      <c r="M42" s="1986"/>
      <c r="N42" s="1986"/>
      <c r="O42" s="1987"/>
      <c r="P42" s="2020"/>
      <c r="Q42" s="1986"/>
      <c r="R42" s="1986"/>
      <c r="S42" s="1987"/>
      <c r="T42" s="1985"/>
      <c r="U42" s="1986"/>
      <c r="V42" s="1986"/>
      <c r="W42" s="1987"/>
      <c r="X42" s="2020"/>
      <c r="Y42" s="1986"/>
      <c r="Z42" s="1986"/>
      <c r="AA42" s="198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15"/>
      <c r="B44" s="2016"/>
      <c r="C44" s="2016"/>
      <c r="D44" s="2016"/>
      <c r="E44" s="2016"/>
      <c r="F44" s="2016"/>
      <c r="G44" s="2016"/>
      <c r="H44" s="2017"/>
      <c r="I44" s="1990"/>
      <c r="J44" s="1991"/>
      <c r="K44" s="1991"/>
      <c r="L44" s="1991"/>
      <c r="M44" s="1991"/>
      <c r="N44" s="1991"/>
      <c r="O44" s="1991"/>
      <c r="P44" s="1991"/>
      <c r="Q44" s="1991"/>
      <c r="R44" s="1991"/>
      <c r="S44" s="1992"/>
      <c r="T44" s="1990"/>
      <c r="U44" s="2009"/>
      <c r="V44" s="2009"/>
      <c r="W44" s="2009"/>
      <c r="X44" s="2009"/>
      <c r="Y44" s="2009"/>
      <c r="Z44" s="1991"/>
      <c r="AA44" s="199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224" t="s">
        <v>1802</v>
      </c>
      <c r="B2" s="1525" t="s">
        <v>1951</v>
      </c>
      <c r="C2" s="711" t="s">
        <v>1952</v>
      </c>
      <c r="D2" s="711" t="s">
        <v>1953</v>
      </c>
      <c r="E2" s="711" t="s">
        <v>1954</v>
      </c>
      <c r="F2" s="711" t="s">
        <v>1955</v>
      </c>
    </row>
    <row r="3" spans="1:6" ht="12" customHeight="1" x14ac:dyDescent="0.2">
      <c r="A3" s="2225"/>
      <c r="B3" s="1522"/>
      <c r="C3" s="1523"/>
      <c r="D3" s="1524" t="s">
        <v>256</v>
      </c>
      <c r="E3" s="1523"/>
      <c r="F3" s="1524" t="s">
        <v>257</v>
      </c>
    </row>
    <row r="4" spans="1:6" ht="13.7" customHeight="1" x14ac:dyDescent="0.2">
      <c r="A4" s="712" t="s">
        <v>1155</v>
      </c>
      <c r="B4" s="1746">
        <f>'Revenues 9-14'!C5</f>
        <v>1185107</v>
      </c>
      <c r="C4" s="1521"/>
      <c r="D4" s="1749">
        <f>B4-C4</f>
        <v>1185107</v>
      </c>
      <c r="E4" s="1521">
        <v>1230233</v>
      </c>
      <c r="F4" s="1749">
        <f>E4-C4</f>
        <v>1230233</v>
      </c>
    </row>
    <row r="5" spans="1:6" ht="13.7" customHeight="1" x14ac:dyDescent="0.2">
      <c r="A5" s="712" t="s">
        <v>870</v>
      </c>
      <c r="B5" s="1747">
        <f>'Revenues 9-14'!D5</f>
        <v>322478</v>
      </c>
      <c r="C5" s="582"/>
      <c r="D5" s="1750">
        <f t="shared" ref="D5:D18" si="0">B5-C5</f>
        <v>322478</v>
      </c>
      <c r="E5" s="582">
        <v>334757</v>
      </c>
      <c r="F5" s="1750">
        <f>E5-C5</f>
        <v>334757</v>
      </c>
    </row>
    <row r="6" spans="1:6" ht="13.7" customHeight="1" x14ac:dyDescent="0.2">
      <c r="A6" s="712" t="s">
        <v>411</v>
      </c>
      <c r="B6" s="1747">
        <f>'Revenues 9-14'!E5</f>
        <v>130599</v>
      </c>
      <c r="C6" s="582"/>
      <c r="D6" s="1750">
        <f t="shared" si="0"/>
        <v>130599</v>
      </c>
      <c r="E6" s="582">
        <v>0</v>
      </c>
      <c r="F6" s="1750">
        <f t="shared" ref="F6:F18" si="1">E6-C6</f>
        <v>0</v>
      </c>
    </row>
    <row r="7" spans="1:6" ht="13.7" customHeight="1" x14ac:dyDescent="0.2">
      <c r="A7" s="712" t="s">
        <v>155</v>
      </c>
      <c r="B7" s="1747">
        <f>'Revenues 9-14'!F5</f>
        <v>96744</v>
      </c>
      <c r="C7" s="582"/>
      <c r="D7" s="1750">
        <f t="shared" si="0"/>
        <v>96744</v>
      </c>
      <c r="E7" s="582">
        <v>100427</v>
      </c>
      <c r="F7" s="1750">
        <f t="shared" si="1"/>
        <v>100427</v>
      </c>
    </row>
    <row r="8" spans="1:6" ht="13.7" customHeight="1" x14ac:dyDescent="0.2">
      <c r="A8" s="712" t="s">
        <v>1179</v>
      </c>
      <c r="B8" s="1747">
        <f>'Revenues 9-14'!G5</f>
        <v>77356</v>
      </c>
      <c r="C8" s="582"/>
      <c r="D8" s="1750">
        <f t="shared" si="0"/>
        <v>77356</v>
      </c>
      <c r="E8" s="582">
        <v>50004</v>
      </c>
      <c r="F8" s="1750">
        <f t="shared" si="1"/>
        <v>50004</v>
      </c>
    </row>
    <row r="9" spans="1:6" ht="13.7" customHeight="1" x14ac:dyDescent="0.2">
      <c r="A9" s="712" t="s">
        <v>408</v>
      </c>
      <c r="B9" s="1747">
        <f>'Revenues 9-14'!H5</f>
        <v>0</v>
      </c>
      <c r="C9" s="582"/>
      <c r="D9" s="1750">
        <f t="shared" si="0"/>
        <v>0</v>
      </c>
      <c r="E9" s="582">
        <v>0</v>
      </c>
      <c r="F9" s="1750">
        <f t="shared" si="1"/>
        <v>0</v>
      </c>
    </row>
    <row r="10" spans="1:6" ht="13.7" customHeight="1" x14ac:dyDescent="0.2">
      <c r="A10" s="712" t="s">
        <v>407</v>
      </c>
      <c r="B10" s="1747">
        <f>'Revenues 9-14'!I5</f>
        <v>40310</v>
      </c>
      <c r="C10" s="582"/>
      <c r="D10" s="1750">
        <f t="shared" si="0"/>
        <v>40310</v>
      </c>
      <c r="E10" s="582">
        <v>41845</v>
      </c>
      <c r="F10" s="1750">
        <f t="shared" si="1"/>
        <v>41845</v>
      </c>
    </row>
    <row r="11" spans="1:6" x14ac:dyDescent="0.2">
      <c r="A11" s="712" t="s">
        <v>409</v>
      </c>
      <c r="B11" s="1747">
        <f>'Revenues 9-14'!J5</f>
        <v>249514</v>
      </c>
      <c r="C11" s="582"/>
      <c r="D11" s="1750">
        <f t="shared" si="0"/>
        <v>249514</v>
      </c>
      <c r="E11" s="582">
        <v>250005</v>
      </c>
      <c r="F11" s="1750">
        <f t="shared" si="1"/>
        <v>250005</v>
      </c>
    </row>
    <row r="12" spans="1:6" ht="13.7" customHeight="1" x14ac:dyDescent="0.2">
      <c r="A12" s="712" t="s">
        <v>157</v>
      </c>
      <c r="B12" s="1747">
        <f>'Revenues 9-14'!K5</f>
        <v>40310</v>
      </c>
      <c r="C12" s="582"/>
      <c r="D12" s="1750">
        <f t="shared" si="0"/>
        <v>40310</v>
      </c>
      <c r="E12" s="582">
        <v>41845</v>
      </c>
      <c r="F12" s="1750">
        <f t="shared" si="1"/>
        <v>41845</v>
      </c>
    </row>
    <row r="13" spans="1:6" ht="13.7" customHeight="1" x14ac:dyDescent="0.2">
      <c r="A13" s="712" t="s">
        <v>936</v>
      </c>
      <c r="B13" s="1747">
        <f>SUM('Revenues 9-14'!C6:D6)</f>
        <v>14971</v>
      </c>
      <c r="C13" s="582"/>
      <c r="D13" s="1750">
        <f t="shared" si="0"/>
        <v>14971</v>
      </c>
      <c r="E13" s="582">
        <v>15005</v>
      </c>
      <c r="F13" s="1750">
        <f t="shared" si="1"/>
        <v>15005</v>
      </c>
    </row>
    <row r="14" spans="1:6" ht="13.7" customHeight="1" x14ac:dyDescent="0.2">
      <c r="A14" s="712" t="s">
        <v>410</v>
      </c>
      <c r="B14" s="1747">
        <f>SUM('Revenues 9-14'!C7:D7,'Revenues 9-14'!F7:H7)</f>
        <v>16124</v>
      </c>
      <c r="C14" s="582"/>
      <c r="D14" s="1750">
        <f t="shared" si="0"/>
        <v>16124</v>
      </c>
      <c r="E14" s="582">
        <v>16738</v>
      </c>
      <c r="F14" s="1750">
        <f t="shared" si="1"/>
        <v>16738</v>
      </c>
    </row>
    <row r="15" spans="1:6" ht="13.7" customHeight="1" x14ac:dyDescent="0.2">
      <c r="A15" s="712" t="s">
        <v>1158</v>
      </c>
      <c r="B15" s="1747">
        <f>SUM('Revenues 9-14'!D9:E9,'Revenues 9-14'!H9)</f>
        <v>0</v>
      </c>
      <c r="C15" s="582"/>
      <c r="D15" s="1750">
        <f t="shared" si="0"/>
        <v>0</v>
      </c>
      <c r="E15" s="582">
        <v>0</v>
      </c>
      <c r="F15" s="1750">
        <f t="shared" si="1"/>
        <v>0</v>
      </c>
    </row>
    <row r="16" spans="1:6" ht="13.7" customHeight="1" x14ac:dyDescent="0.2">
      <c r="A16" s="712" t="s">
        <v>1159</v>
      </c>
      <c r="B16" s="1747">
        <f>'Revenues 9-14'!G8</f>
        <v>77356</v>
      </c>
      <c r="C16" s="582"/>
      <c r="D16" s="1750">
        <f t="shared" si="0"/>
        <v>77356</v>
      </c>
      <c r="E16" s="582">
        <v>50004</v>
      </c>
      <c r="F16" s="1750">
        <f t="shared" si="1"/>
        <v>50004</v>
      </c>
    </row>
    <row r="17" spans="1:6" ht="13.7" customHeight="1" x14ac:dyDescent="0.2">
      <c r="A17" s="712" t="s">
        <v>1160</v>
      </c>
      <c r="B17" s="1747">
        <f>'Revenues 9-14'!C10</f>
        <v>0</v>
      </c>
      <c r="C17" s="582"/>
      <c r="D17" s="1750">
        <f t="shared" si="0"/>
        <v>0</v>
      </c>
      <c r="E17" s="582">
        <v>0</v>
      </c>
      <c r="F17" s="1750">
        <f t="shared" si="1"/>
        <v>0</v>
      </c>
    </row>
    <row r="18" spans="1:6" ht="13.7" customHeight="1" x14ac:dyDescent="0.2">
      <c r="A18" s="712" t="s">
        <v>762</v>
      </c>
      <c r="B18" s="1747">
        <f>SUM('Revenues 9-14'!C11:K11)</f>
        <v>0</v>
      </c>
      <c r="C18" s="582"/>
      <c r="D18" s="1750">
        <f t="shared" si="0"/>
        <v>0</v>
      </c>
      <c r="E18" s="582">
        <v>0</v>
      </c>
      <c r="F18" s="1750">
        <f t="shared" si="1"/>
        <v>0</v>
      </c>
    </row>
    <row r="19" spans="1:6" ht="13.7" customHeight="1" thickBot="1" x14ac:dyDescent="0.25">
      <c r="A19" s="1751" t="s">
        <v>1161</v>
      </c>
      <c r="B19" s="1748">
        <f>SUM(B4:B18)</f>
        <v>2250869</v>
      </c>
      <c r="C19" s="1748">
        <f>SUM(C4:C18)</f>
        <v>0</v>
      </c>
      <c r="D19" s="1748">
        <f>SUM(D4:D18)</f>
        <v>2250869</v>
      </c>
      <c r="E19" s="1748">
        <f>SUM(E4:E18)</f>
        <v>2130863</v>
      </c>
      <c r="F19" s="1748">
        <f>SUM(F4:F18)</f>
        <v>2130863</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6" t="s">
        <v>629</v>
      </c>
      <c r="B1" s="2244"/>
      <c r="C1" s="718"/>
    </row>
    <row r="2" spans="1:7" ht="33.75" x14ac:dyDescent="0.2">
      <c r="A2" s="2251" t="s">
        <v>1802</v>
      </c>
      <c r="B2" s="2252"/>
      <c r="C2" s="1881" t="s">
        <v>1956</v>
      </c>
      <c r="D2" s="720" t="s">
        <v>1957</v>
      </c>
      <c r="E2" s="720" t="s">
        <v>1958</v>
      </c>
      <c r="F2" s="1881" t="s">
        <v>1959</v>
      </c>
    </row>
    <row r="3" spans="1:7" ht="15.75" customHeight="1" x14ac:dyDescent="0.2">
      <c r="A3" s="2253" t="s">
        <v>1114</v>
      </c>
      <c r="B3" s="2254"/>
      <c r="C3" s="2247"/>
      <c r="D3" s="2248"/>
      <c r="E3" s="2248"/>
      <c r="F3" s="2249"/>
    </row>
    <row r="4" spans="1:7" ht="12.75" customHeight="1" thickBot="1" x14ac:dyDescent="0.25">
      <c r="A4" s="2241" t="s">
        <v>630</v>
      </c>
      <c r="B4" s="2242"/>
      <c r="C4" s="578"/>
      <c r="D4" s="578"/>
      <c r="E4" s="578"/>
      <c r="F4" s="1752">
        <f>SUM(C4+D4)-E4</f>
        <v>0</v>
      </c>
    </row>
    <row r="5" spans="1:7" ht="15.75" customHeight="1" thickTop="1" x14ac:dyDescent="0.2">
      <c r="A5" s="2245" t="s">
        <v>1110</v>
      </c>
      <c r="B5" s="2240"/>
      <c r="C5" s="2234"/>
      <c r="D5" s="2235"/>
      <c r="E5" s="2235"/>
      <c r="F5" s="2236"/>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237" t="s">
        <v>631</v>
      </c>
      <c r="B15" s="2238"/>
      <c r="C15" s="1752">
        <f>SUM(C6:C14)</f>
        <v>0</v>
      </c>
      <c r="D15" s="1752">
        <f>SUM(D6:D14)</f>
        <v>0</v>
      </c>
      <c r="E15" s="1752">
        <f>SUM(E6:E14)</f>
        <v>0</v>
      </c>
      <c r="F15" s="1752">
        <f>SUM(F6:F14)</f>
        <v>0</v>
      </c>
      <c r="G15" s="549"/>
    </row>
    <row r="16" spans="1:7" s="202" customFormat="1" ht="15.75" customHeight="1" thickTop="1" x14ac:dyDescent="0.2">
      <c r="A16" s="2250" t="s">
        <v>1111</v>
      </c>
      <c r="B16" s="2240"/>
      <c r="C16" s="2234"/>
      <c r="D16" s="2235"/>
      <c r="E16" s="2235"/>
      <c r="F16" s="2236"/>
    </row>
    <row r="17" spans="1:11" ht="12.75" customHeight="1" thickBot="1" x14ac:dyDescent="0.25">
      <c r="A17" s="2232" t="s">
        <v>64</v>
      </c>
      <c r="B17" s="2233"/>
      <c r="C17" s="723"/>
      <c r="D17" s="582"/>
      <c r="E17" s="723"/>
      <c r="F17" s="1752">
        <f>SUM(C17+D17)-E17</f>
        <v>0</v>
      </c>
    </row>
    <row r="18" spans="1:11" ht="12.75" customHeight="1" thickTop="1" thickBot="1" x14ac:dyDescent="0.25">
      <c r="A18" s="2232" t="s">
        <v>6</v>
      </c>
      <c r="B18" s="2233"/>
      <c r="C18" s="723"/>
      <c r="D18" s="582"/>
      <c r="E18" s="723"/>
      <c r="F18" s="1752">
        <f>SUM(C18+D18)-E18</f>
        <v>0</v>
      </c>
    </row>
    <row r="19" spans="1:11" ht="12.75" customHeight="1" thickTop="1" thickBot="1" x14ac:dyDescent="0.25">
      <c r="A19" s="2232" t="s">
        <v>388</v>
      </c>
      <c r="B19" s="2233"/>
      <c r="C19" s="723"/>
      <c r="D19" s="582"/>
      <c r="E19" s="723"/>
      <c r="F19" s="1752">
        <f>SUM(C19+D19)-E19</f>
        <v>0</v>
      </c>
    </row>
    <row r="20" spans="1:11" ht="12.75" customHeight="1" thickTop="1" thickBot="1" x14ac:dyDescent="0.25">
      <c r="A20" s="2232" t="s">
        <v>448</v>
      </c>
      <c r="B20" s="2233"/>
      <c r="C20" s="723"/>
      <c r="D20" s="582"/>
      <c r="E20" s="723"/>
      <c r="F20" s="1752">
        <f>SUM(C20+D20)-E20</f>
        <v>0</v>
      </c>
    </row>
    <row r="21" spans="1:11" ht="14.25" thickTop="1" thickBot="1" x14ac:dyDescent="0.25">
      <c r="A21" s="2237" t="s">
        <v>632</v>
      </c>
      <c r="B21" s="2238"/>
      <c r="C21" s="1752">
        <f>SUM(C17:C20)</f>
        <v>0</v>
      </c>
      <c r="D21" s="1752">
        <f>SUM(D17:D20)</f>
        <v>0</v>
      </c>
      <c r="E21" s="1752">
        <f>SUM(E17:E20)</f>
        <v>0</v>
      </c>
      <c r="F21" s="1752">
        <f>SUM(F17:F20)</f>
        <v>0</v>
      </c>
      <c r="G21" s="549"/>
    </row>
    <row r="22" spans="1:11" ht="15.75" customHeight="1" thickTop="1" x14ac:dyDescent="0.2">
      <c r="A22" s="2239" t="s">
        <v>1112</v>
      </c>
      <c r="B22" s="2240"/>
      <c r="C22" s="2234"/>
      <c r="D22" s="2235"/>
      <c r="E22" s="2235"/>
      <c r="F22" s="2236"/>
    </row>
    <row r="23" spans="1:11" ht="13.5" thickBot="1" x14ac:dyDescent="0.25">
      <c r="A23" s="2241" t="s">
        <v>633</v>
      </c>
      <c r="B23" s="2242"/>
      <c r="C23" s="578"/>
      <c r="D23" s="578"/>
      <c r="E23" s="578"/>
      <c r="F23" s="1752">
        <f>SUM(C23+D23)-E23</f>
        <v>0</v>
      </c>
      <c r="G23" s="549"/>
    </row>
    <row r="24" spans="1:11" ht="15.75" customHeight="1" thickTop="1" x14ac:dyDescent="0.2">
      <c r="A24" s="2239" t="s">
        <v>1113</v>
      </c>
      <c r="B24" s="2240"/>
      <c r="C24" s="2234"/>
      <c r="D24" s="2235"/>
      <c r="E24" s="2235"/>
      <c r="F24" s="2236"/>
    </row>
    <row r="25" spans="1:11" ht="13.5" thickBot="1" x14ac:dyDescent="0.25">
      <c r="A25" s="2241" t="s">
        <v>634</v>
      </c>
      <c r="B25" s="2242"/>
      <c r="C25" s="578"/>
      <c r="D25" s="578"/>
      <c r="E25" s="578"/>
      <c r="F25" s="1752">
        <f>SUM(C25+D25)-E25</f>
        <v>0</v>
      </c>
      <c r="G25" s="549"/>
    </row>
    <row r="26" spans="1:11" ht="15.75" customHeight="1" thickTop="1" x14ac:dyDescent="0.2">
      <c r="A26" s="2245" t="s">
        <v>657</v>
      </c>
      <c r="B26" s="2240"/>
      <c r="C26" s="724"/>
      <c r="D26" s="724"/>
      <c r="E26" s="724"/>
      <c r="F26" s="725"/>
    </row>
    <row r="27" spans="1:11" ht="13.5" thickBot="1" x14ac:dyDescent="0.25">
      <c r="A27" s="2237" t="s">
        <v>1070</v>
      </c>
      <c r="B27" s="2238"/>
      <c r="C27" s="582"/>
      <c r="D27" s="582"/>
      <c r="E27" s="582"/>
      <c r="F27" s="1752">
        <f>SUM(C27+D27)-E27</f>
        <v>0</v>
      </c>
      <c r="G27" s="549"/>
    </row>
    <row r="28" spans="1:11" ht="7.5" customHeight="1" thickTop="1" x14ac:dyDescent="0.2">
      <c r="A28" s="590"/>
    </row>
    <row r="29" spans="1:11" ht="23.25" customHeight="1" x14ac:dyDescent="0.2">
      <c r="A29" s="2243" t="s">
        <v>582</v>
      </c>
      <c r="B29" s="2244"/>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2085</v>
      </c>
      <c r="B31" s="730">
        <v>42426</v>
      </c>
      <c r="C31" s="731">
        <v>350000</v>
      </c>
      <c r="D31" s="732">
        <v>4</v>
      </c>
      <c r="E31" s="731">
        <v>125000</v>
      </c>
      <c r="F31" s="731"/>
      <c r="G31" s="731"/>
      <c r="H31" s="731">
        <v>125000</v>
      </c>
      <c r="I31" s="1753">
        <f>((E31+F31)-H31)+G31</f>
        <v>0</v>
      </c>
      <c r="J31" s="731">
        <v>-5522</v>
      </c>
      <c r="K31" s="733"/>
    </row>
    <row r="32" spans="1:11" ht="12" customHeight="1" x14ac:dyDescent="0.2">
      <c r="A32" s="729"/>
      <c r="B32" s="730"/>
      <c r="C32" s="731"/>
      <c r="D32" s="732"/>
      <c r="E32" s="731"/>
      <c r="F32" s="731"/>
      <c r="G32" s="731"/>
      <c r="H32" s="731"/>
      <c r="I32" s="1753">
        <f>((E32+F32)-H32)+G32</f>
        <v>0</v>
      </c>
      <c r="J32" s="731"/>
      <c r="K32" s="733"/>
    </row>
    <row r="33" spans="1:11" ht="12" customHeight="1" x14ac:dyDescent="0.2">
      <c r="A33" s="729"/>
      <c r="B33" s="730"/>
      <c r="C33" s="731"/>
      <c r="D33" s="732"/>
      <c r="E33" s="731"/>
      <c r="F33" s="731"/>
      <c r="G33" s="731"/>
      <c r="H33" s="731"/>
      <c r="I33" s="1753">
        <f t="shared" ref="I33:I48" si="1">((E33+F33)-H33)+G33</f>
        <v>0</v>
      </c>
      <c r="J33" s="731"/>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350000</v>
      </c>
      <c r="D49" s="742"/>
      <c r="E49" s="1753">
        <f t="shared" ref="E49:J49" si="2">SUM(E31:E48)</f>
        <v>125000</v>
      </c>
      <c r="F49" s="1753">
        <f t="shared" si="2"/>
        <v>0</v>
      </c>
      <c r="G49" s="1753">
        <f t="shared" si="2"/>
        <v>0</v>
      </c>
      <c r="H49" s="1753">
        <f t="shared" si="2"/>
        <v>125000</v>
      </c>
      <c r="I49" s="1753">
        <f t="shared" si="2"/>
        <v>0</v>
      </c>
      <c r="J49" s="1753">
        <f t="shared" si="2"/>
        <v>-5522</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26" t="s">
        <v>584</v>
      </c>
      <c r="C52" s="2227"/>
      <c r="D52" s="2227"/>
      <c r="E52" s="746" t="s">
        <v>845</v>
      </c>
      <c r="F52" s="2228"/>
      <c r="G52" s="2229"/>
      <c r="H52" s="733"/>
      <c r="I52" s="733"/>
      <c r="J52" s="743"/>
    </row>
    <row r="53" spans="1:11" ht="11.25" customHeight="1" x14ac:dyDescent="0.2">
      <c r="A53" s="747" t="s">
        <v>913</v>
      </c>
      <c r="B53" s="748" t="s">
        <v>951</v>
      </c>
      <c r="C53" s="743"/>
      <c r="D53" s="734"/>
      <c r="E53" s="746" t="s">
        <v>497</v>
      </c>
      <c r="F53" s="2230"/>
      <c r="G53" s="2231"/>
      <c r="H53" s="733"/>
      <c r="I53" s="733"/>
      <c r="J53" s="743"/>
    </row>
    <row r="54" spans="1:11" ht="11.25" customHeight="1" x14ac:dyDescent="0.2">
      <c r="A54" s="749" t="s">
        <v>914</v>
      </c>
      <c r="B54" s="744" t="s">
        <v>952</v>
      </c>
      <c r="C54" s="743"/>
      <c r="D54" s="734"/>
      <c r="E54" s="746" t="s">
        <v>498</v>
      </c>
      <c r="F54" s="2230"/>
      <c r="G54" s="2231"/>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856</v>
      </c>
      <c r="B1" s="2256"/>
      <c r="C1" s="2256"/>
      <c r="D1" s="2256"/>
      <c r="E1" s="2256"/>
      <c r="F1" s="2256"/>
      <c r="G1" s="2257"/>
      <c r="H1" s="1527"/>
      <c r="I1" s="757"/>
      <c r="J1" s="433"/>
    </row>
    <row r="2" spans="1:11" ht="26.25" x14ac:dyDescent="0.2">
      <c r="A2" s="2274" t="s">
        <v>1677</v>
      </c>
      <c r="B2" s="2275"/>
      <c r="C2" s="2275"/>
      <c r="D2" s="2275"/>
      <c r="E2" s="2276"/>
      <c r="F2" s="758" t="s">
        <v>904</v>
      </c>
      <c r="G2" s="759" t="s">
        <v>1674</v>
      </c>
      <c r="H2" s="759" t="s">
        <v>410</v>
      </c>
      <c r="I2" s="759" t="s">
        <v>1158</v>
      </c>
      <c r="J2" s="759" t="s">
        <v>1812</v>
      </c>
      <c r="K2" s="759" t="s">
        <v>138</v>
      </c>
    </row>
    <row r="3" spans="1:11" x14ac:dyDescent="0.2">
      <c r="A3" s="2277" t="s">
        <v>1964</v>
      </c>
      <c r="B3" s="2278"/>
      <c r="C3" s="2278"/>
      <c r="D3" s="2278"/>
      <c r="E3" s="2279"/>
      <c r="F3" s="760"/>
      <c r="G3" s="761"/>
      <c r="H3" s="761"/>
      <c r="I3" s="761"/>
      <c r="J3" s="762"/>
      <c r="K3" s="762"/>
    </row>
    <row r="4" spans="1:11" x14ac:dyDescent="0.2">
      <c r="A4" s="2280" t="s">
        <v>369</v>
      </c>
      <c r="B4" s="2281"/>
      <c r="C4" s="2281"/>
      <c r="D4" s="2281"/>
      <c r="E4" s="2227"/>
      <c r="F4" s="763"/>
      <c r="G4" s="764"/>
      <c r="H4" s="765"/>
      <c r="I4" s="764"/>
      <c r="J4" s="766"/>
      <c r="K4" s="766"/>
    </row>
    <row r="5" spans="1:11" x14ac:dyDescent="0.2">
      <c r="A5" s="2258" t="s">
        <v>1069</v>
      </c>
      <c r="B5" s="2259"/>
      <c r="C5" s="2259"/>
      <c r="D5" s="2259"/>
      <c r="E5" s="2260"/>
      <c r="F5" s="767" t="s">
        <v>848</v>
      </c>
      <c r="G5" s="768"/>
      <c r="H5" s="761">
        <v>16124</v>
      </c>
      <c r="I5" s="769"/>
      <c r="J5" s="770"/>
      <c r="K5" s="770"/>
    </row>
    <row r="6" spans="1:11" x14ac:dyDescent="0.2">
      <c r="A6" s="771" t="s">
        <v>720</v>
      </c>
      <c r="B6" s="772"/>
      <c r="C6" s="772"/>
      <c r="D6" s="772"/>
      <c r="E6" s="773"/>
      <c r="F6" s="774" t="s">
        <v>849</v>
      </c>
      <c r="G6" s="761"/>
      <c r="H6" s="761">
        <v>1</v>
      </c>
      <c r="I6" s="761"/>
      <c r="J6" s="762"/>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c r="K8" s="766"/>
    </row>
    <row r="9" spans="1:11" x14ac:dyDescent="0.2">
      <c r="A9" s="775" t="s">
        <v>138</v>
      </c>
      <c r="B9" s="776"/>
      <c r="C9" s="776"/>
      <c r="D9" s="776"/>
      <c r="E9" s="777"/>
      <c r="F9" s="774" t="s">
        <v>853</v>
      </c>
      <c r="G9" s="779"/>
      <c r="H9" s="768"/>
      <c r="I9" s="768"/>
      <c r="J9" s="778"/>
      <c r="K9" s="762"/>
    </row>
    <row r="10" spans="1:11" x14ac:dyDescent="0.2">
      <c r="A10" s="2258" t="s">
        <v>1813</v>
      </c>
      <c r="B10" s="2259"/>
      <c r="C10" s="2259"/>
      <c r="D10" s="2259"/>
      <c r="E10" s="2261"/>
      <c r="F10" s="780" t="s">
        <v>862</v>
      </c>
      <c r="G10" s="779"/>
      <c r="H10" s="781"/>
      <c r="I10" s="761"/>
      <c r="J10" s="762"/>
      <c r="K10" s="762"/>
    </row>
    <row r="11" spans="1:11" x14ac:dyDescent="0.2">
      <c r="A11" s="2258" t="s">
        <v>160</v>
      </c>
      <c r="B11" s="2259"/>
      <c r="C11" s="2259"/>
      <c r="D11" s="2259"/>
      <c r="E11" s="2260"/>
      <c r="F11" s="767" t="s">
        <v>852</v>
      </c>
      <c r="G11" s="768"/>
      <c r="H11" s="761"/>
      <c r="I11" s="761"/>
      <c r="J11" s="762"/>
      <c r="K11" s="770"/>
    </row>
    <row r="12" spans="1:11" ht="13.5" thickBot="1" x14ac:dyDescent="0.25">
      <c r="A12" s="2285" t="s">
        <v>905</v>
      </c>
      <c r="B12" s="2286"/>
      <c r="C12" s="2286"/>
      <c r="D12" s="2286"/>
      <c r="E12" s="2287"/>
      <c r="F12" s="1754"/>
      <c r="G12" s="1755">
        <f>SUM(G5:G11)</f>
        <v>0</v>
      </c>
      <c r="H12" s="1755">
        <f>SUM(H5:H11)</f>
        <v>16125</v>
      </c>
      <c r="I12" s="1755">
        <f>SUM(I5:I11)</f>
        <v>0</v>
      </c>
      <c r="J12" s="1755">
        <f>SUM(J5:J11)</f>
        <v>0</v>
      </c>
      <c r="K12" s="1755">
        <f>SUM(K5:K11)</f>
        <v>0</v>
      </c>
    </row>
    <row r="13" spans="1:11" ht="13.5" thickTop="1" x14ac:dyDescent="0.2">
      <c r="A13" s="2282" t="s">
        <v>370</v>
      </c>
      <c r="B13" s="2283"/>
      <c r="C13" s="2283"/>
      <c r="D13" s="2283"/>
      <c r="E13" s="2284"/>
      <c r="F13" s="782"/>
      <c r="G13" s="783"/>
      <c r="H13" s="784"/>
      <c r="I13" s="785"/>
      <c r="J13" s="785"/>
      <c r="K13" s="785"/>
    </row>
    <row r="14" spans="1:11" x14ac:dyDescent="0.2">
      <c r="A14" s="2265" t="s">
        <v>456</v>
      </c>
      <c r="B14" s="2265"/>
      <c r="C14" s="2265"/>
      <c r="D14" s="2265"/>
      <c r="E14" s="2266"/>
      <c r="F14" s="786" t="s">
        <v>854</v>
      </c>
      <c r="G14" s="779"/>
      <c r="H14" s="761">
        <v>16125</v>
      </c>
      <c r="I14" s="768"/>
      <c r="J14" s="770"/>
      <c r="K14" s="762"/>
    </row>
    <row r="15" spans="1:11" x14ac:dyDescent="0.2">
      <c r="A15" s="2259" t="s">
        <v>4</v>
      </c>
      <c r="B15" s="2259"/>
      <c r="C15" s="2259"/>
      <c r="D15" s="2259"/>
      <c r="E15" s="2260"/>
      <c r="F15" s="786" t="s">
        <v>855</v>
      </c>
      <c r="G15" s="768"/>
      <c r="H15" s="761"/>
      <c r="I15" s="761"/>
      <c r="J15" s="762"/>
      <c r="K15" s="762"/>
    </row>
    <row r="16" spans="1:11" x14ac:dyDescent="0.2">
      <c r="A16" s="2259" t="s">
        <v>298</v>
      </c>
      <c r="B16" s="2259"/>
      <c r="C16" s="2259"/>
      <c r="D16" s="2259"/>
      <c r="E16" s="2260"/>
      <c r="F16" s="786" t="s">
        <v>923</v>
      </c>
      <c r="G16" s="769"/>
      <c r="H16" s="764"/>
      <c r="I16" s="764"/>
      <c r="J16" s="766"/>
      <c r="K16" s="766"/>
    </row>
    <row r="17" spans="1:11" x14ac:dyDescent="0.2">
      <c r="A17" s="2290" t="s">
        <v>935</v>
      </c>
      <c r="B17" s="2290"/>
      <c r="C17" s="2290"/>
      <c r="D17" s="2290"/>
      <c r="E17" s="2291"/>
      <c r="F17" s="787"/>
      <c r="G17" s="788"/>
      <c r="H17" s="789"/>
      <c r="I17" s="789"/>
      <c r="J17" s="790"/>
      <c r="K17" s="791"/>
    </row>
    <row r="18" spans="1:11" x14ac:dyDescent="0.2">
      <c r="A18" s="2269" t="s">
        <v>368</v>
      </c>
      <c r="B18" s="2270"/>
      <c r="C18" s="2270"/>
      <c r="D18" s="2270"/>
      <c r="E18" s="2271"/>
      <c r="F18" s="786" t="s">
        <v>932</v>
      </c>
      <c r="G18" s="779"/>
      <c r="H18" s="779"/>
      <c r="I18" s="779"/>
      <c r="J18" s="762"/>
      <c r="K18" s="792"/>
    </row>
    <row r="19" spans="1:11" ht="21.75" customHeight="1" x14ac:dyDescent="0.2">
      <c r="A19" s="2267" t="s">
        <v>1809</v>
      </c>
      <c r="B19" s="2267"/>
      <c r="C19" s="2267"/>
      <c r="D19" s="2267"/>
      <c r="E19" s="2268"/>
      <c r="F19" s="786" t="s">
        <v>933</v>
      </c>
      <c r="G19" s="779"/>
      <c r="H19" s="779"/>
      <c r="I19" s="779"/>
      <c r="J19" s="762"/>
      <c r="K19" s="792"/>
    </row>
    <row r="20" spans="1:11" x14ac:dyDescent="0.2">
      <c r="A20" s="2269" t="s">
        <v>1814</v>
      </c>
      <c r="B20" s="2270"/>
      <c r="C20" s="2270"/>
      <c r="D20" s="2270"/>
      <c r="E20" s="2271"/>
      <c r="F20" s="786" t="s">
        <v>934</v>
      </c>
      <c r="G20" s="779"/>
      <c r="H20" s="779"/>
      <c r="I20" s="779"/>
      <c r="J20" s="762"/>
      <c r="K20" s="792"/>
    </row>
    <row r="21" spans="1:11" ht="13.5" thickBot="1" x14ac:dyDescent="0.25">
      <c r="A21" s="2288" t="s">
        <v>638</v>
      </c>
      <c r="B21" s="2288"/>
      <c r="C21" s="2288"/>
      <c r="D21" s="2288"/>
      <c r="E21" s="2288"/>
      <c r="F21" s="1756"/>
      <c r="G21" s="789"/>
      <c r="H21" s="793"/>
      <c r="I21" s="793"/>
      <c r="J21" s="1757">
        <f>SUM(J18:J20)</f>
        <v>0</v>
      </c>
      <c r="K21" s="790"/>
    </row>
    <row r="22" spans="1:11" ht="13.5" thickTop="1" x14ac:dyDescent="0.2">
      <c r="A22" s="2259" t="s">
        <v>1815</v>
      </c>
      <c r="B22" s="2259"/>
      <c r="C22" s="2259"/>
      <c r="D22" s="2259"/>
      <c r="E22" s="2260"/>
      <c r="F22" s="786" t="s">
        <v>862</v>
      </c>
      <c r="G22" s="779"/>
      <c r="H22" s="761"/>
      <c r="I22" s="761"/>
      <c r="J22" s="794"/>
      <c r="K22" s="762"/>
    </row>
    <row r="23" spans="1:11" ht="13.5" thickBot="1" x14ac:dyDescent="0.25">
      <c r="A23" s="2289" t="s">
        <v>906</v>
      </c>
      <c r="B23" s="2288"/>
      <c r="C23" s="2288"/>
      <c r="D23" s="2288"/>
      <c r="E23" s="2288"/>
      <c r="F23" s="1758"/>
      <c r="G23" s="1755">
        <f>SUM(G14:G16,G21,G22)</f>
        <v>0</v>
      </c>
      <c r="H23" s="1755">
        <f>SUM(H14:H16,H21,H22)</f>
        <v>16125</v>
      </c>
      <c r="I23" s="1755">
        <f>SUM(I14:I16,I21,I22)</f>
        <v>0</v>
      </c>
      <c r="J23" s="1755">
        <f>SUM(J14:J16,J21,J22)</f>
        <v>0</v>
      </c>
      <c r="K23" s="1755">
        <f>SUM(K14:K16,K21,K22)</f>
        <v>0</v>
      </c>
    </row>
    <row r="24" spans="1:11" ht="14.25" thickTop="1" thickBot="1" x14ac:dyDescent="0.25">
      <c r="A24" s="2289" t="s">
        <v>1965</v>
      </c>
      <c r="B24" s="2288"/>
      <c r="C24" s="2288"/>
      <c r="D24" s="2288"/>
      <c r="E24" s="2288"/>
      <c r="F24" s="1759"/>
      <c r="G24" s="1760">
        <f>SUM(G3,G12)-G23</f>
        <v>0</v>
      </c>
      <c r="H24" s="1760">
        <f>SUM(H3,H12)-H23</f>
        <v>0</v>
      </c>
      <c r="I24" s="1760">
        <f>SUM(I3,I12)-I23</f>
        <v>0</v>
      </c>
      <c r="J24" s="1760">
        <f>SUM(J3,J12)-J23</f>
        <v>0</v>
      </c>
      <c r="K24" s="1760">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62"/>
      <c r="I31" s="2263"/>
      <c r="J31" s="2263"/>
      <c r="K31" s="2263"/>
    </row>
    <row r="32" spans="1:11" x14ac:dyDescent="0.2">
      <c r="A32" s="806"/>
      <c r="B32" s="237"/>
      <c r="C32" s="237"/>
      <c r="D32" s="237"/>
      <c r="E32" s="802"/>
      <c r="F32" s="808" t="s">
        <v>540</v>
      </c>
      <c r="G32" s="761"/>
      <c r="H32" s="2264"/>
      <c r="I32" s="2263"/>
      <c r="J32" s="2263"/>
      <c r="K32" s="2263"/>
    </row>
    <row r="33" spans="1:11" ht="1.5" customHeight="1" x14ac:dyDescent="0.2">
      <c r="A33" s="809" t="s">
        <v>1169</v>
      </c>
      <c r="B33" s="364"/>
      <c r="C33" s="364"/>
      <c r="D33" s="364"/>
      <c r="E33" s="364"/>
      <c r="F33" s="364"/>
      <c r="G33" s="810"/>
      <c r="H33" s="2264"/>
      <c r="I33" s="2263"/>
      <c r="J33" s="2263"/>
      <c r="K33" s="2263"/>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59" t="s">
        <v>541</v>
      </c>
      <c r="B41" s="2272"/>
      <c r="C41" s="2272"/>
      <c r="D41" s="2272"/>
      <c r="E41" s="2272"/>
      <c r="F41" s="2273"/>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4" t="s">
        <v>1909</v>
      </c>
      <c r="B1" s="2295"/>
      <c r="C1" s="2296"/>
      <c r="D1" s="823"/>
      <c r="E1" s="824"/>
      <c r="F1" s="824"/>
      <c r="G1" s="825"/>
      <c r="H1" s="826"/>
      <c r="I1" s="827"/>
      <c r="J1" s="2292"/>
      <c r="K1" s="2293"/>
      <c r="L1" s="2293"/>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31500</v>
      </c>
      <c r="D5" s="838"/>
      <c r="E5" s="838"/>
      <c r="F5" s="1757">
        <f>(C5+D5)-E5</f>
        <v>31500</v>
      </c>
      <c r="G5" s="834"/>
      <c r="H5" s="839"/>
      <c r="I5" s="839"/>
      <c r="J5" s="839"/>
      <c r="K5" s="790"/>
      <c r="L5" s="1766">
        <f>F5-K5</f>
        <v>31500</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6115843</v>
      </c>
      <c r="D8" s="841">
        <v>84207</v>
      </c>
      <c r="E8" s="841"/>
      <c r="F8" s="1757">
        <f>(C8+D8)-E8</f>
        <v>6200050</v>
      </c>
      <c r="G8" s="840">
        <v>50</v>
      </c>
      <c r="H8" s="762">
        <v>3085570</v>
      </c>
      <c r="I8" s="762">
        <v>102419</v>
      </c>
      <c r="J8" s="762"/>
      <c r="K8" s="1766">
        <f>(H8+I8)-J8</f>
        <v>3187989</v>
      </c>
      <c r="L8" s="1766">
        <f>F8-K8</f>
        <v>3012061</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107377</v>
      </c>
      <c r="D10" s="843"/>
      <c r="E10" s="843"/>
      <c r="F10" s="1761">
        <f>(C10+D10)-E10</f>
        <v>107377</v>
      </c>
      <c r="G10" s="840">
        <v>20</v>
      </c>
      <c r="H10" s="844">
        <v>56825</v>
      </c>
      <c r="I10" s="844">
        <v>3520</v>
      </c>
      <c r="J10" s="844"/>
      <c r="K10" s="1766">
        <f>(H10+I10)-J10</f>
        <v>60345</v>
      </c>
      <c r="L10" s="1766">
        <f>F10-K10</f>
        <v>47032</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133921</v>
      </c>
      <c r="D12" s="841">
        <v>25664</v>
      </c>
      <c r="E12" s="841">
        <v>3590</v>
      </c>
      <c r="F12" s="1757">
        <f>(C12+D12)-E12</f>
        <v>155995</v>
      </c>
      <c r="G12" s="840">
        <v>10</v>
      </c>
      <c r="H12" s="762">
        <v>88500</v>
      </c>
      <c r="I12" s="762">
        <v>15596</v>
      </c>
      <c r="J12" s="762">
        <v>3590</v>
      </c>
      <c r="K12" s="1766">
        <f>(H12+I12)-J12</f>
        <v>100506</v>
      </c>
      <c r="L12" s="1766">
        <f>F12-K12</f>
        <v>55489</v>
      </c>
    </row>
    <row r="13" spans="1:14" ht="14.25" thickTop="1" thickBot="1" x14ac:dyDescent="0.25">
      <c r="A13" s="845" t="s">
        <v>1122</v>
      </c>
      <c r="B13" s="837">
        <v>252</v>
      </c>
      <c r="C13" s="841">
        <v>189598</v>
      </c>
      <c r="D13" s="841"/>
      <c r="E13" s="841"/>
      <c r="F13" s="1757">
        <f>(C13+D13)-E13</f>
        <v>189598</v>
      </c>
      <c r="G13" s="840">
        <v>5</v>
      </c>
      <c r="H13" s="762">
        <v>178798</v>
      </c>
      <c r="I13" s="762">
        <v>10800</v>
      </c>
      <c r="J13" s="762"/>
      <c r="K13" s="1766">
        <f>(H13+I13)-J13</f>
        <v>189598</v>
      </c>
      <c r="L13" s="1766">
        <f>F13-K13</f>
        <v>0</v>
      </c>
    </row>
    <row r="14" spans="1:14" ht="14.25" thickTop="1" thickBot="1" x14ac:dyDescent="0.25">
      <c r="A14" s="845" t="s">
        <v>1123</v>
      </c>
      <c r="B14" s="837">
        <v>253</v>
      </c>
      <c r="C14" s="762">
        <v>7301</v>
      </c>
      <c r="D14" s="762">
        <v>1598</v>
      </c>
      <c r="E14" s="762"/>
      <c r="F14" s="1757">
        <f>(C14+D14)-E14</f>
        <v>8899</v>
      </c>
      <c r="G14" s="840">
        <v>3</v>
      </c>
      <c r="H14" s="762">
        <v>6952</v>
      </c>
      <c r="I14" s="762">
        <v>882</v>
      </c>
      <c r="J14" s="762"/>
      <c r="K14" s="1766">
        <f>(H14+I14)-J14</f>
        <v>7834</v>
      </c>
      <c r="L14" s="1766">
        <f>F14-K14</f>
        <v>1065</v>
      </c>
    </row>
    <row r="15" spans="1:14" ht="15" customHeight="1" thickTop="1" thickBot="1" x14ac:dyDescent="0.25">
      <c r="A15" s="1628" t="s">
        <v>528</v>
      </c>
      <c r="B15" s="1627">
        <v>260</v>
      </c>
      <c r="C15" s="841">
        <v>0</v>
      </c>
      <c r="D15" s="841"/>
      <c r="E15" s="841"/>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6585540</v>
      </c>
      <c r="D16" s="1757">
        <f>SUM(D3,D5:D6,D8:D10,D12:D15)</f>
        <v>111469</v>
      </c>
      <c r="E16" s="1757">
        <f>SUM(E3,E5:E6,E8:E10,E12:E15)</f>
        <v>3590</v>
      </c>
      <c r="F16" s="1757">
        <f>SUM(F3,F5:F6,F8:F10,F12:F15)</f>
        <v>6693419</v>
      </c>
      <c r="G16" s="840"/>
      <c r="H16" s="1757">
        <f>SUM(H3,H6,H8:H10,H12:H14,)</f>
        <v>3416645</v>
      </c>
      <c r="I16" s="1757">
        <f>SUM(I3,I6,I8:I10,I12:I14,)</f>
        <v>133217</v>
      </c>
      <c r="J16" s="1757">
        <f>SUM(J3,J6,J8:J10,J12:J14,)</f>
        <v>3590</v>
      </c>
      <c r="K16" s="1757">
        <f>(H16+I16)-J16</f>
        <v>3546272</v>
      </c>
      <c r="L16" s="1757">
        <f>F16-K16</f>
        <v>3147147</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133217</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E25" sqref="AE25"/>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300" t="s">
        <v>1975</v>
      </c>
      <c r="B1" s="2301"/>
      <c r="C1" s="2301"/>
      <c r="D1" s="2301"/>
      <c r="E1" s="2301"/>
      <c r="F1" s="2302"/>
      <c r="G1" s="852"/>
    </row>
    <row r="2" spans="1:7" ht="15" customHeight="1" thickBot="1" x14ac:dyDescent="0.25">
      <c r="A2" s="2303" t="s">
        <v>477</v>
      </c>
      <c r="B2" s="2304"/>
      <c r="C2" s="2304"/>
      <c r="D2" s="2304"/>
      <c r="E2" s="2304"/>
      <c r="F2" s="2305"/>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306"/>
      <c r="B5" s="2307"/>
      <c r="C5" s="2307"/>
      <c r="D5" s="2307"/>
      <c r="E5" s="2307"/>
      <c r="F5" s="2307"/>
    </row>
    <row r="6" spans="1:7" ht="13.5" customHeight="1" thickBot="1" x14ac:dyDescent="0.25">
      <c r="A6" s="2297" t="s">
        <v>1104</v>
      </c>
      <c r="B6" s="2298"/>
      <c r="C6" s="2298"/>
      <c r="D6" s="2298"/>
      <c r="E6" s="2298"/>
      <c r="F6" s="2299"/>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2785098</v>
      </c>
      <c r="G8" s="862"/>
    </row>
    <row r="9" spans="1:7" x14ac:dyDescent="0.2">
      <c r="A9" s="866" t="s">
        <v>460</v>
      </c>
      <c r="B9" s="867" t="s">
        <v>1877</v>
      </c>
      <c r="C9" s="868"/>
      <c r="D9" s="866" t="s">
        <v>501</v>
      </c>
      <c r="E9" s="865"/>
      <c r="F9" s="1906">
        <f>'Expenditures 15-22'!K151</f>
        <v>295619</v>
      </c>
      <c r="G9" s="869"/>
    </row>
    <row r="10" spans="1:7" x14ac:dyDescent="0.2">
      <c r="A10" s="866" t="s">
        <v>499</v>
      </c>
      <c r="B10" s="867" t="s">
        <v>1878</v>
      </c>
      <c r="C10" s="868"/>
      <c r="D10" s="866" t="s">
        <v>501</v>
      </c>
      <c r="E10" s="865"/>
      <c r="F10" s="1906">
        <f>'Expenditures 15-22'!K174</f>
        <v>128781</v>
      </c>
      <c r="G10" s="869"/>
    </row>
    <row r="11" spans="1:7" x14ac:dyDescent="0.2">
      <c r="A11" s="866" t="s">
        <v>461</v>
      </c>
      <c r="B11" s="867" t="s">
        <v>1879</v>
      </c>
      <c r="C11" s="868"/>
      <c r="D11" s="866" t="s">
        <v>501</v>
      </c>
      <c r="E11" s="865"/>
      <c r="F11" s="1906">
        <f>'Expenditures 15-22'!K210</f>
        <v>222696</v>
      </c>
      <c r="G11" s="869"/>
    </row>
    <row r="12" spans="1:7" x14ac:dyDescent="0.2">
      <c r="A12" s="866" t="s">
        <v>462</v>
      </c>
      <c r="B12" s="867" t="s">
        <v>1880</v>
      </c>
      <c r="C12" s="868"/>
      <c r="D12" s="866" t="s">
        <v>501</v>
      </c>
      <c r="E12" s="865"/>
      <c r="F12" s="1906">
        <f>'Expenditures 15-22'!K295</f>
        <v>131342</v>
      </c>
      <c r="G12" s="869"/>
    </row>
    <row r="13" spans="1:7" x14ac:dyDescent="0.2">
      <c r="A13" s="866" t="s">
        <v>106</v>
      </c>
      <c r="B13" s="867" t="s">
        <v>1881</v>
      </c>
      <c r="C13" s="868"/>
      <c r="D13" s="866" t="s">
        <v>501</v>
      </c>
      <c r="E13" s="865"/>
      <c r="F13" s="1906">
        <f>'Expenditures 15-22'!K342</f>
        <v>160028</v>
      </c>
      <c r="G13" s="870"/>
    </row>
    <row r="14" spans="1:7" ht="12" customHeight="1" thickBot="1" x14ac:dyDescent="0.25">
      <c r="A14" s="1767"/>
      <c r="B14" s="1768"/>
      <c r="C14" s="1769"/>
      <c r="D14" s="1770" t="s">
        <v>501</v>
      </c>
      <c r="E14" s="1771" t="s">
        <v>958</v>
      </c>
      <c r="F14" s="1772">
        <f>SUM(F8:F13)</f>
        <v>3723564</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113009</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0</v>
      </c>
      <c r="G52" s="862"/>
    </row>
    <row r="53" spans="1:7" x14ac:dyDescent="0.2">
      <c r="A53" s="866" t="s">
        <v>459</v>
      </c>
      <c r="B53" s="866" t="s">
        <v>1475</v>
      </c>
      <c r="C53" s="886">
        <f>'Expenditures 15-22'!B102</f>
        <v>4000</v>
      </c>
      <c r="D53" s="885" t="str">
        <f>'Expenditures 15-22'!A102</f>
        <v>Total Payments to Other Govt Units</v>
      </c>
      <c r="E53" s="865"/>
      <c r="F53" s="1910">
        <f>'Expenditures 15-22'!K102</f>
        <v>180431</v>
      </c>
      <c r="G53" s="862"/>
    </row>
    <row r="54" spans="1:7" x14ac:dyDescent="0.2">
      <c r="A54" s="866" t="s">
        <v>459</v>
      </c>
      <c r="B54" s="866" t="s">
        <v>1476</v>
      </c>
      <c r="C54" s="886" t="s">
        <v>982</v>
      </c>
      <c r="D54" s="882" t="s">
        <v>1095</v>
      </c>
      <c r="E54" s="865"/>
      <c r="F54" s="1910">
        <f>'Expenditures 15-22'!G114</f>
        <v>1598</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25664</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125000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3705</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0</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449407</v>
      </c>
      <c r="G76" s="862"/>
    </row>
    <row r="77" spans="1:8" s="890" customFormat="1" ht="12" customHeight="1" thickTop="1" thickBot="1" x14ac:dyDescent="0.25">
      <c r="A77" s="1776"/>
      <c r="B77" s="1773"/>
      <c r="C77" s="1769"/>
      <c r="D77" s="1774" t="s">
        <v>1900</v>
      </c>
      <c r="E77" s="1771"/>
      <c r="F77" s="1777">
        <f>(F14-F76)</f>
        <v>3274157</v>
      </c>
      <c r="G77" s="866"/>
    </row>
    <row r="78" spans="1:8" s="890" customFormat="1" ht="12" customHeight="1" thickTop="1" x14ac:dyDescent="0.2">
      <c r="A78" s="1778"/>
      <c r="B78" s="1773"/>
      <c r="C78" s="1769"/>
      <c r="D78" s="1774" t="s">
        <v>2062</v>
      </c>
      <c r="E78" s="1771"/>
      <c r="F78" s="895">
        <v>383.1</v>
      </c>
      <c r="G78" s="896"/>
      <c r="H78" s="866"/>
    </row>
    <row r="79" spans="1:8" s="890" customFormat="1" ht="12" customHeight="1" thickBot="1" x14ac:dyDescent="0.25">
      <c r="A79" s="1779"/>
      <c r="B79" s="1773"/>
      <c r="C79" s="1769"/>
      <c r="D79" s="1774" t="s">
        <v>1901</v>
      </c>
      <c r="E79" s="1771" t="s">
        <v>958</v>
      </c>
      <c r="F79" s="1780">
        <f>IF(F78&gt;0,F77/F78," Complete Line 78")</f>
        <v>8546.4813364656748</v>
      </c>
      <c r="G79" s="866"/>
    </row>
    <row r="80" spans="1:8" s="890" customFormat="1" ht="8.25" customHeight="1" thickTop="1" x14ac:dyDescent="0.2">
      <c r="A80" s="897"/>
      <c r="B80" s="866"/>
      <c r="C80" s="868"/>
      <c r="D80" s="898"/>
      <c r="E80" s="865"/>
      <c r="F80" s="899"/>
      <c r="G80" s="866"/>
    </row>
    <row r="81" spans="1:7" s="890" customFormat="1" ht="12" thickBot="1" x14ac:dyDescent="0.25">
      <c r="A81" s="2297" t="s">
        <v>1105</v>
      </c>
      <c r="B81" s="2298"/>
      <c r="C81" s="2298"/>
      <c r="D81" s="2298"/>
      <c r="E81" s="2298"/>
      <c r="F81" s="2299"/>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62749</v>
      </c>
      <c r="G94" s="909"/>
    </row>
    <row r="95" spans="1:7" x14ac:dyDescent="0.2">
      <c r="A95" s="905" t="s">
        <v>140</v>
      </c>
      <c r="B95" s="905" t="s">
        <v>175</v>
      </c>
      <c r="C95" s="907">
        <v>1700</v>
      </c>
      <c r="D95" s="915" t="str">
        <f>'Revenues 9-14'!A82</f>
        <v>Total District/School Activity Income</v>
      </c>
      <c r="E95" s="903"/>
      <c r="F95" s="1786">
        <f>SUM('Revenues 9-14'!C82,'Revenues 9-14'!D82)</f>
        <v>5249</v>
      </c>
      <c r="G95" s="909"/>
    </row>
    <row r="96" spans="1:7" x14ac:dyDescent="0.2">
      <c r="A96" s="905" t="s">
        <v>459</v>
      </c>
      <c r="B96" s="905" t="s">
        <v>176</v>
      </c>
      <c r="C96" s="907">
        <f>'Revenues 9-14'!B84</f>
        <v>1811</v>
      </c>
      <c r="D96" s="908" t="str">
        <f>'Revenues 9-14'!A84</f>
        <v>Rentals - Regular Textbooks</v>
      </c>
      <c r="E96" s="903"/>
      <c r="F96" s="1786">
        <f>'Revenues 9-14'!C84</f>
        <v>14625</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12000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205320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11157</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0</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1900</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0</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92581</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0</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108309</v>
      </c>
      <c r="G125" s="927"/>
    </row>
    <row r="126" spans="1:7" x14ac:dyDescent="0.2">
      <c r="A126" s="924" t="s">
        <v>668</v>
      </c>
      <c r="B126" s="924" t="s">
        <v>2024</v>
      </c>
      <c r="C126" s="929">
        <v>4300</v>
      </c>
      <c r="D126" s="930" t="str">
        <f>'Revenues 9-14'!A204</f>
        <v>Total Title I</v>
      </c>
      <c r="E126" s="903"/>
      <c r="F126" s="1786">
        <f>SUM('Revenues 9-14'!C204,'Revenues 9-14'!D204,'Revenues 9-14'!F204,'Revenues 9-14'!G204)</f>
        <v>72487</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0</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8273</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0</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8688</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130453.35</v>
      </c>
      <c r="G171" s="924"/>
    </row>
    <row r="172" spans="1:7" x14ac:dyDescent="0.2">
      <c r="A172" s="1915" t="s">
        <v>664</v>
      </c>
      <c r="B172" s="1916" t="s">
        <v>1920</v>
      </c>
      <c r="C172" s="1917">
        <v>3300</v>
      </c>
      <c r="D172" s="1918" t="s">
        <v>1923</v>
      </c>
      <c r="E172" s="903"/>
      <c r="F172" s="1903">
        <v>356.59</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734147.94</v>
      </c>
    </row>
    <row r="175" spans="1:7" ht="12" customHeight="1" x14ac:dyDescent="0.2">
      <c r="A175" s="1767"/>
      <c r="B175" s="1781"/>
      <c r="C175" s="1782"/>
      <c r="D175" s="1783" t="s">
        <v>2057</v>
      </c>
      <c r="E175" s="1784"/>
      <c r="F175" s="1786">
        <f>'PCTC-OEPP 27-28'!F77-F174</f>
        <v>2540009.06</v>
      </c>
    </row>
    <row r="176" spans="1:7" ht="12" customHeight="1" x14ac:dyDescent="0.2">
      <c r="A176" s="1767"/>
      <c r="B176" s="1781"/>
      <c r="C176" s="1782"/>
      <c r="D176" s="1783" t="s">
        <v>1817</v>
      </c>
      <c r="E176" s="1784"/>
      <c r="F176" s="1786">
        <f>'Cap Outlay Deprec 26'!I18</f>
        <v>133217</v>
      </c>
    </row>
    <row r="177" spans="1:7" ht="12" customHeight="1" x14ac:dyDescent="0.2">
      <c r="A177" s="1767"/>
      <c r="B177" s="1781"/>
      <c r="C177" s="1782"/>
      <c r="D177" s="1783" t="s">
        <v>2058</v>
      </c>
      <c r="E177" s="1784"/>
      <c r="F177" s="1786">
        <f>F175+F176</f>
        <v>2673226.06</v>
      </c>
    </row>
    <row r="178" spans="1:7" ht="12" customHeight="1" x14ac:dyDescent="0.2">
      <c r="A178" s="1767"/>
      <c r="B178" s="1787"/>
      <c r="C178" s="1782"/>
      <c r="D178" s="1783" t="str">
        <f>D78</f>
        <v>9 Month ADA from District Average Daily Attendance/Prior General State Aid Inquiry 2018-2019</v>
      </c>
      <c r="E178" s="1784"/>
      <c r="F178" s="1788">
        <f>'PCTC-OEPP 27-28'!F78</f>
        <v>383.1</v>
      </c>
      <c r="G178" s="927"/>
    </row>
    <row r="179" spans="1:7" ht="12" customHeight="1" thickBot="1" x14ac:dyDescent="0.25">
      <c r="A179" s="1767"/>
      <c r="B179" s="1787"/>
      <c r="C179" s="1782"/>
      <c r="D179" s="1783" t="s">
        <v>2059</v>
      </c>
      <c r="E179" s="1784" t="s">
        <v>1545</v>
      </c>
      <c r="F179" s="1789">
        <f>F177/F178</f>
        <v>6977.8806055860086</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E25" sqref="AE25"/>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311" t="s">
        <v>1818</v>
      </c>
      <c r="B4" s="2312"/>
      <c r="C4" s="2312"/>
      <c r="D4" s="2312"/>
      <c r="E4" s="2312"/>
      <c r="F4" s="2312"/>
      <c r="G4" s="2313"/>
    </row>
    <row r="5" spans="1:7" x14ac:dyDescent="0.25">
      <c r="A5" s="2314"/>
      <c r="B5" s="2315"/>
      <c r="C5" s="2315"/>
      <c r="D5" s="2315"/>
      <c r="E5" s="2315"/>
      <c r="F5" s="2315"/>
      <c r="G5" s="2316"/>
    </row>
    <row r="6" spans="1:7" ht="18.75" x14ac:dyDescent="0.25">
      <c r="A6" s="1531" t="s">
        <v>1819</v>
      </c>
      <c r="B6" s="1532"/>
      <c r="C6" s="1532"/>
      <c r="D6" s="1532"/>
      <c r="E6" s="1532"/>
      <c r="F6" s="1532"/>
      <c r="G6" s="1533"/>
    </row>
    <row r="7" spans="1:7" ht="30.75" customHeight="1" x14ac:dyDescent="0.25">
      <c r="A7" s="2317" t="s">
        <v>1932</v>
      </c>
      <c r="B7" s="2318"/>
      <c r="C7" s="2318"/>
      <c r="D7" s="2318"/>
      <c r="E7" s="2318"/>
      <c r="F7" s="2318"/>
      <c r="G7" s="2319"/>
    </row>
    <row r="8" spans="1:7" ht="15.75" customHeight="1" x14ac:dyDescent="0.25">
      <c r="A8" s="2320" t="s">
        <v>1907</v>
      </c>
      <c r="B8" s="2321"/>
      <c r="C8" s="2321"/>
      <c r="D8" s="2321"/>
      <c r="E8" s="2321"/>
      <c r="F8" s="2321"/>
      <c r="G8" s="2322"/>
    </row>
    <row r="9" spans="1:7" ht="35.25" customHeight="1" x14ac:dyDescent="0.25">
      <c r="A9" s="2317" t="s">
        <v>1935</v>
      </c>
      <c r="B9" s="2318"/>
      <c r="C9" s="2318"/>
      <c r="D9" s="2318"/>
      <c r="E9" s="2318"/>
      <c r="F9" s="2318"/>
      <c r="G9" s="2319"/>
    </row>
    <row r="10" spans="1:7" ht="15" customHeight="1" x14ac:dyDescent="0.25">
      <c r="A10" s="1534" t="s">
        <v>1820</v>
      </c>
      <c r="B10" s="1535"/>
      <c r="C10" s="1535"/>
      <c r="D10" s="1535"/>
      <c r="E10" s="1535"/>
      <c r="F10" s="1535"/>
      <c r="G10" s="1536"/>
    </row>
    <row r="11" spans="1:7" ht="17.25" customHeight="1" x14ac:dyDescent="0.25">
      <c r="A11" s="2317" t="s">
        <v>1934</v>
      </c>
      <c r="B11" s="2318"/>
      <c r="C11" s="2318"/>
      <c r="D11" s="2318"/>
      <c r="E11" s="2318"/>
      <c r="F11" s="2318"/>
      <c r="G11" s="2319"/>
    </row>
    <row r="12" spans="1:7" ht="15" customHeight="1" x14ac:dyDescent="0.25">
      <c r="A12" s="1534" t="s">
        <v>1825</v>
      </c>
      <c r="B12" s="1535"/>
      <c r="C12" s="1535"/>
      <c r="D12" s="1535"/>
      <c r="E12" s="1535"/>
      <c r="F12" s="1535"/>
      <c r="G12" s="1536"/>
    </row>
    <row r="13" spans="1:7" ht="32.25" customHeight="1" x14ac:dyDescent="0.25">
      <c r="A13" s="2308" t="s">
        <v>1976</v>
      </c>
      <c r="B13" s="2309"/>
      <c r="C13" s="2309"/>
      <c r="D13" s="2309"/>
      <c r="E13" s="2309"/>
      <c r="F13" s="2309"/>
      <c r="G13" s="2310"/>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34" t="s">
        <v>2097</v>
      </c>
      <c r="B17" s="1931"/>
      <c r="C17" s="1653"/>
      <c r="D17" s="1841"/>
      <c r="E17" s="1537">
        <f t="shared" ref="E17:E141" si="0">IF(D17&lt;=25000,D17,IF(D17&gt;25000,25000,0))</f>
        <v>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0">
        <f>IF(F17=0,0,D17-F17)</f>
        <v>0</v>
      </c>
      <c r="H17" s="1644"/>
    </row>
    <row r="18" spans="1:8" x14ac:dyDescent="0.25">
      <c r="A18" s="1650"/>
      <c r="B18" s="1931"/>
      <c r="C18" s="1653"/>
      <c r="D18" s="1841"/>
      <c r="E18" s="1537">
        <f t="shared" ref="E18:E140" si="2">IF(D18&lt;=25000,D18,IF(D18&gt;25000,25000,0))</f>
        <v>0</v>
      </c>
      <c r="F18" s="1929">
        <f t="shared" si="1"/>
        <v>0</v>
      </c>
      <c r="G18" s="1790">
        <f t="shared" ref="G18:G140" si="3">IF(F18=0,0,D18-F18)</f>
        <v>0</v>
      </c>
    </row>
    <row r="19" spans="1:8" x14ac:dyDescent="0.25">
      <c r="A19" s="1650"/>
      <c r="B19" s="1931"/>
      <c r="C19" s="1653"/>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0</v>
      </c>
      <c r="E141" s="1538">
        <f t="shared" si="0"/>
        <v>0</v>
      </c>
      <c r="F141" s="1930">
        <f>SUM(F17:F140)</f>
        <v>0</v>
      </c>
      <c r="G141" s="1792">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23" t="s">
        <v>1679</v>
      </c>
      <c r="B5" s="2324"/>
      <c r="C5" s="2324"/>
      <c r="D5" s="2324"/>
      <c r="E5" s="2324"/>
      <c r="F5" s="2324"/>
      <c r="G5" s="2325"/>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105905</v>
      </c>
      <c r="F10" s="971"/>
      <c r="G10" s="972"/>
      <c r="H10" s="162"/>
      <c r="I10" s="162"/>
    </row>
    <row r="11" spans="1:9" s="665" customFormat="1" ht="22.5" customHeight="1" x14ac:dyDescent="0.2">
      <c r="A11" s="2328" t="s">
        <v>1977</v>
      </c>
      <c r="B11" s="2329"/>
      <c r="C11" s="2329"/>
      <c r="D11" s="2330"/>
      <c r="E11" s="974">
        <v>18053</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1859115</v>
      </c>
      <c r="F19" s="1796"/>
      <c r="G19" s="1798">
        <f>'Expenditures 15-22'!K33-SUM('Expenditures 15-22'!G33,'Expenditures 15-22'!I33)+'Expenditures 15-22'!D229</f>
        <v>1859115</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225</v>
      </c>
      <c r="F21" s="1799"/>
      <c r="G21" s="1802">
        <f>'Expenditures 15-22'!K42-SUM('Expenditures 15-22'!G42,'Expenditures 15-22'!I42)+'Expenditures 15-22'!K120-SUM('Expenditures 15-22'!G120,'Expenditures 15-22'!I120)+'Expenditures 15-22'!K180-SUM('Expenditures 15-22'!G180,'Expenditures 15-22'!I180)+'Expenditures 15-22'!D238</f>
        <v>225</v>
      </c>
      <c r="H21" s="984"/>
      <c r="I21" s="162"/>
    </row>
    <row r="22" spans="1:9" s="665" customFormat="1" ht="12" customHeight="1" x14ac:dyDescent="0.2">
      <c r="A22" s="991" t="s">
        <v>564</v>
      </c>
      <c r="B22" s="992"/>
      <c r="C22" s="990">
        <v>2200</v>
      </c>
      <c r="D22" s="1799"/>
      <c r="E22" s="1801">
        <f>'Expenditures 15-22'!K47-SUM('Expenditures 15-22'!G47,'Expenditures 15-22'!I47)+'Expenditures 15-22'!D243</f>
        <v>12272</v>
      </c>
      <c r="F22" s="1799"/>
      <c r="G22" s="1802">
        <f>'Expenditures 15-22'!K47-SUM('Expenditures 15-22'!G47,'Expenditures 15-22'!I47)+'Expenditures 15-22'!D243</f>
        <v>12272</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264371</v>
      </c>
      <c r="F23" s="1799"/>
      <c r="G23" s="1801">
        <f>'Expenditures 15-22'!K53-SUM('Expenditures 15-22'!G53,'Expenditures 15-22'!I53)+'Expenditures 15-22'!D257+'Expenditures 15-22'!K330-SUM('Expenditures 15-22'!G330,'Expenditures 15-22'!I330)</f>
        <v>264371</v>
      </c>
      <c r="H23" s="984"/>
      <c r="I23" s="162"/>
    </row>
    <row r="24" spans="1:9" s="665" customFormat="1" ht="12" customHeight="1" x14ac:dyDescent="0.2">
      <c r="A24" s="991" t="s">
        <v>566</v>
      </c>
      <c r="B24" s="992"/>
      <c r="C24" s="990">
        <v>2400</v>
      </c>
      <c r="D24" s="1799"/>
      <c r="E24" s="1801">
        <f>'Expenditures 15-22'!K57-SUM('Expenditures 15-22'!G57,'Expenditures 15-22'!I57)+'Expenditures 15-22'!D261</f>
        <v>281003</v>
      </c>
      <c r="F24" s="1799"/>
      <c r="G24" s="1802">
        <f>'Expenditures 15-22'!K57-SUM('Expenditures 15-22'!G57,'Expenditures 15-22'!I57)+'Expenditures 15-22'!D261</f>
        <v>281003</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65927</v>
      </c>
      <c r="E27" s="1801">
        <f>E8</f>
        <v>0</v>
      </c>
      <c r="F27" s="1801">
        <f>'Expenditures 15-22'!K60-SUM('Expenditures 15-22'!G60,'Expenditures 15-22'!I60)+'Expenditures 15-22'!D264-E8</f>
        <v>65927</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438856</v>
      </c>
      <c r="F28" s="1803">
        <f>'Expenditures 15-22'!K61-SUM('Expenditures 15-22'!G61,'Expenditures 15-22'!I61)+'Expenditures 15-22'!K124-SUM('Expenditures 15-22'!G124,'Expenditures 15-22'!I124)+'Expenditures 15-22'!D266-E9</f>
        <v>438856</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229490</v>
      </c>
      <c r="F29" s="1799"/>
      <c r="G29" s="1802">
        <f>'Expenditures 15-22'!K62-SUM('Expenditures 15-22'!G62,'Expenditures 15-22'!I62)+'Expenditures 15-22'!K125-SUM('Expenditures 15-22'!G125,'Expenditures 15-22'!I125)+'Expenditures 15-22'!K182-SUM('Expenditures 15-22'!G182,'Expenditures 15-22'!I182)+'Expenditures 15-22'!D267</f>
        <v>229490</v>
      </c>
      <c r="H29" s="982"/>
    </row>
    <row r="30" spans="1:9" ht="12" customHeight="1" x14ac:dyDescent="0.2">
      <c r="A30" s="991" t="s">
        <v>100</v>
      </c>
      <c r="B30" s="994"/>
      <c r="C30" s="990">
        <v>2560</v>
      </c>
      <c r="D30" s="1799"/>
      <c r="E30" s="1801">
        <f>'Expenditures 15-22'!K63-SUM('Expenditures 15-22'!G63,'Expenditures 15-22'!I63)+'Expenditures 15-22'!D268-E10</f>
        <v>129926</v>
      </c>
      <c r="F30" s="1799"/>
      <c r="G30" s="1801">
        <f>'Expenditures 15-22'!K63-SUM('Expenditures 15-22'!G63,'Expenditures 15-22'!I63)+'Expenditures 15-22'!D268-E10</f>
        <v>129926</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0</v>
      </c>
      <c r="F39" s="1799"/>
      <c r="G39" s="180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1823</v>
      </c>
      <c r="B40" s="988"/>
      <c r="C40" s="990"/>
      <c r="D40" s="1799"/>
      <c r="E40" s="1803">
        <f>-'Contracts Paid in CY 29'!G141</f>
        <v>0</v>
      </c>
      <c r="F40" s="1799"/>
      <c r="G40" s="1803">
        <f>-'Contracts Paid in CY 29'!G141</f>
        <v>0</v>
      </c>
    </row>
    <row r="41" spans="1:7" ht="12" customHeight="1" x14ac:dyDescent="0.2">
      <c r="A41" s="995" t="s">
        <v>156</v>
      </c>
      <c r="B41" s="996"/>
      <c r="C41" s="997"/>
      <c r="D41" s="1803">
        <f>SUM(D19:D39)</f>
        <v>65927</v>
      </c>
      <c r="E41" s="1803">
        <f>SUM(E19:E40)</f>
        <v>3215258</v>
      </c>
      <c r="F41" s="1803">
        <f>SUM(F19:F39)</f>
        <v>504783</v>
      </c>
      <c r="G41" s="1803">
        <f>SUM(G19:G40)</f>
        <v>2776402</v>
      </c>
    </row>
    <row r="42" spans="1:7" x14ac:dyDescent="0.2">
      <c r="A42" s="984"/>
      <c r="B42" s="162"/>
      <c r="C42" s="998"/>
      <c r="D42" s="2326" t="s">
        <v>522</v>
      </c>
      <c r="E42" s="2327"/>
      <c r="F42" s="999" t="s">
        <v>523</v>
      </c>
      <c r="G42" s="1000"/>
    </row>
    <row r="43" spans="1:7" ht="12" customHeight="1" x14ac:dyDescent="0.2">
      <c r="A43" s="984"/>
      <c r="B43" s="162"/>
      <c r="C43" s="998"/>
      <c r="D43" s="1804" t="s">
        <v>473</v>
      </c>
      <c r="E43" s="1805">
        <f>D41</f>
        <v>65927</v>
      </c>
      <c r="F43" s="1804" t="s">
        <v>473</v>
      </c>
      <c r="G43" s="1805">
        <f>F41</f>
        <v>504783</v>
      </c>
    </row>
    <row r="44" spans="1:7" ht="12" customHeight="1" x14ac:dyDescent="0.2">
      <c r="A44" s="984"/>
      <c r="B44" s="162"/>
      <c r="C44" s="998"/>
      <c r="D44" s="1804" t="s">
        <v>474</v>
      </c>
      <c r="E44" s="1805">
        <f>E41</f>
        <v>3215258</v>
      </c>
      <c r="F44" s="1804" t="s">
        <v>474</v>
      </c>
      <c r="G44" s="1805">
        <f>G41</f>
        <v>2776402</v>
      </c>
    </row>
    <row r="45" spans="1:7" ht="12" customHeight="1" x14ac:dyDescent="0.2">
      <c r="A45" s="984"/>
      <c r="B45" s="162"/>
      <c r="C45" s="162"/>
      <c r="D45" s="1806" t="s">
        <v>1006</v>
      </c>
      <c r="E45" s="1807">
        <f>(E43/E44)</f>
        <v>2.0504419863040541E-2</v>
      </c>
      <c r="F45" s="1806" t="s">
        <v>1006</v>
      </c>
      <c r="G45" s="1807">
        <f>(G43/G44)</f>
        <v>0.18181192781160654</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E25" sqref="AE25"/>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45" t="s">
        <v>1379</v>
      </c>
      <c r="B1" s="2345"/>
      <c r="C1" s="2345"/>
      <c r="D1" s="2345"/>
      <c r="E1" s="2345"/>
      <c r="F1" s="2345"/>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346" t="s">
        <v>1546</v>
      </c>
      <c r="B5" s="2347"/>
      <c r="C5" s="2348"/>
      <c r="D5" s="2348"/>
      <c r="E5" s="2348"/>
      <c r="F5" s="2348"/>
    </row>
    <row r="6" spans="1:10" ht="12" customHeight="1" x14ac:dyDescent="0.25">
      <c r="A6" s="1847"/>
      <c r="B6" s="1848"/>
      <c r="C6" s="2349" t="str">
        <f>COVER!A17</f>
        <v>Carthage ESD 317</v>
      </c>
      <c r="D6" s="2349"/>
      <c r="E6" s="2349"/>
      <c r="F6" s="1849"/>
    </row>
    <row r="7" spans="1:10" ht="11.25" customHeight="1" thickBot="1" x14ac:dyDescent="0.3">
      <c r="A7" s="1847"/>
      <c r="B7" s="1848"/>
      <c r="C7" s="2350">
        <f>COVER!A13</f>
        <v>26034317004</v>
      </c>
      <c r="D7" s="2350"/>
      <c r="E7" s="2350"/>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t="s">
        <v>2070</v>
      </c>
      <c r="D11" s="1862" t="s">
        <v>2070</v>
      </c>
      <c r="E11" s="1863"/>
      <c r="F11" s="1864" t="s">
        <v>2086</v>
      </c>
      <c r="H11" s="1875">
        <f>IF(C11="X",5,0)</f>
        <v>5</v>
      </c>
      <c r="I11" s="1875">
        <f>IF(D11="X",5,0)</f>
        <v>5</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t="s">
        <v>2070</v>
      </c>
      <c r="D13" s="1862" t="s">
        <v>2070</v>
      </c>
      <c r="E13" s="1865"/>
      <c r="F13" s="1864" t="s">
        <v>2086</v>
      </c>
      <c r="H13" s="1875">
        <f t="shared" si="0"/>
        <v>5</v>
      </c>
      <c r="I13" s="1875">
        <f t="shared" si="1"/>
        <v>5</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t="s">
        <v>2070</v>
      </c>
      <c r="D16" s="1862" t="s">
        <v>2070</v>
      </c>
      <c r="E16" s="1865"/>
      <c r="F16" s="1864" t="s">
        <v>2087</v>
      </c>
      <c r="H16" s="1875">
        <f t="shared" si="0"/>
        <v>5</v>
      </c>
      <c r="I16" s="1875">
        <f t="shared" si="1"/>
        <v>5</v>
      </c>
      <c r="J16" s="1875">
        <f t="shared" si="2"/>
        <v>0</v>
      </c>
    </row>
    <row r="17" spans="1:12" ht="12" customHeight="1" x14ac:dyDescent="0.2">
      <c r="A17" s="1860" t="s">
        <v>1389</v>
      </c>
      <c r="B17" s="1861"/>
      <c r="C17" s="1862" t="s">
        <v>2070</v>
      </c>
      <c r="D17" s="1862" t="s">
        <v>2070</v>
      </c>
      <c r="E17" s="1865"/>
      <c r="F17" s="1864" t="s">
        <v>2088</v>
      </c>
      <c r="H17" s="1875">
        <f t="shared" si="0"/>
        <v>5</v>
      </c>
      <c r="I17" s="1875">
        <f t="shared" si="1"/>
        <v>5</v>
      </c>
      <c r="J17" s="1875">
        <f t="shared" si="2"/>
        <v>0</v>
      </c>
    </row>
    <row r="18" spans="1:12" ht="12" customHeight="1" x14ac:dyDescent="0.2">
      <c r="A18" s="1860" t="s">
        <v>1390</v>
      </c>
      <c r="B18" s="1861"/>
      <c r="C18" s="1862" t="s">
        <v>2070</v>
      </c>
      <c r="D18" s="1862" t="s">
        <v>2070</v>
      </c>
      <c r="E18" s="1865"/>
      <c r="F18" s="1864" t="s">
        <v>2089</v>
      </c>
      <c r="H18" s="1875">
        <f t="shared" si="0"/>
        <v>5</v>
      </c>
      <c r="I18" s="1875">
        <f t="shared" si="1"/>
        <v>5</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t="s">
        <v>2070</v>
      </c>
      <c r="D22" s="1862" t="s">
        <v>2070</v>
      </c>
      <c r="E22" s="1865"/>
      <c r="F22" s="1864" t="s">
        <v>2089</v>
      </c>
      <c r="H22" s="1875">
        <f t="shared" si="0"/>
        <v>5</v>
      </c>
      <c r="I22" s="1875">
        <f t="shared" si="1"/>
        <v>5</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t="s">
        <v>2070</v>
      </c>
      <c r="D24" s="1862" t="s">
        <v>2070</v>
      </c>
      <c r="E24" s="1865"/>
      <c r="F24" s="1864" t="s">
        <v>2086</v>
      </c>
      <c r="H24" s="1875">
        <f t="shared" si="0"/>
        <v>5</v>
      </c>
      <c r="I24" s="1875">
        <f t="shared" si="1"/>
        <v>5</v>
      </c>
      <c r="J24" s="1875">
        <f t="shared" si="2"/>
        <v>0</v>
      </c>
    </row>
    <row r="25" spans="1:12" ht="12" customHeight="1" x14ac:dyDescent="0.2">
      <c r="A25" s="1860" t="s">
        <v>1533</v>
      </c>
      <c r="B25" s="1861"/>
      <c r="C25" s="1862" t="s">
        <v>2070</v>
      </c>
      <c r="D25" s="1862" t="s">
        <v>2070</v>
      </c>
      <c r="E25" s="1865"/>
      <c r="F25" s="1864" t="s">
        <v>2089</v>
      </c>
      <c r="H25" s="1875">
        <f t="shared" si="0"/>
        <v>5</v>
      </c>
      <c r="I25" s="1875">
        <f t="shared" si="1"/>
        <v>5</v>
      </c>
      <c r="J25" s="1875">
        <f t="shared" si="2"/>
        <v>0</v>
      </c>
    </row>
    <row r="26" spans="1:12" ht="12" customHeight="1" x14ac:dyDescent="0.2">
      <c r="A26" s="1860" t="s">
        <v>1534</v>
      </c>
      <c r="B26" s="1861"/>
      <c r="C26" s="1862" t="s">
        <v>2070</v>
      </c>
      <c r="D26" s="1862" t="s">
        <v>2070</v>
      </c>
      <c r="E26" s="1865"/>
      <c r="F26" s="1864" t="s">
        <v>2090</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t="s">
        <v>2070</v>
      </c>
      <c r="D28" s="1862" t="s">
        <v>2070</v>
      </c>
      <c r="E28" s="1865"/>
      <c r="F28" s="1864" t="s">
        <v>2091</v>
      </c>
      <c r="H28" s="1875">
        <f t="shared" si="0"/>
        <v>5</v>
      </c>
      <c r="I28" s="1875">
        <f t="shared" si="1"/>
        <v>5</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t="s">
        <v>2070</v>
      </c>
      <c r="D30" s="1862" t="s">
        <v>2070</v>
      </c>
      <c r="E30" s="1865"/>
      <c r="F30" s="1864" t="s">
        <v>2092</v>
      </c>
      <c r="H30" s="1875">
        <f t="shared" si="0"/>
        <v>5</v>
      </c>
      <c r="I30" s="1875">
        <f t="shared" si="1"/>
        <v>5</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55</v>
      </c>
      <c r="I34" s="1875">
        <f>SUM(I11:I32)</f>
        <v>55</v>
      </c>
      <c r="J34" s="1875">
        <f>SUM(J11:J32)</f>
        <v>0</v>
      </c>
      <c r="K34" s="1875">
        <f>SUM(H34:J34)</f>
        <v>110</v>
      </c>
    </row>
    <row r="35" spans="1:11" ht="12" customHeight="1" x14ac:dyDescent="0.2">
      <c r="A35" s="1868" t="s">
        <v>1392</v>
      </c>
      <c r="B35" s="1869"/>
      <c r="C35" s="2351"/>
      <c r="D35" s="2351"/>
      <c r="E35" s="2351"/>
      <c r="F35" s="2352"/>
    </row>
    <row r="36" spans="1:11" ht="12" customHeight="1" x14ac:dyDescent="0.2">
      <c r="A36" s="2334"/>
      <c r="B36" s="2335"/>
      <c r="C36" s="2335"/>
      <c r="D36" s="2335"/>
      <c r="E36" s="2335"/>
      <c r="F36" s="2336"/>
    </row>
    <row r="37" spans="1:11" ht="12" customHeight="1" x14ac:dyDescent="0.2">
      <c r="A37" s="2334"/>
      <c r="B37" s="2335"/>
      <c r="C37" s="2335"/>
      <c r="D37" s="2335"/>
      <c r="E37" s="2335"/>
      <c r="F37" s="2336"/>
    </row>
    <row r="38" spans="1:11" ht="12" customHeight="1" x14ac:dyDescent="0.2">
      <c r="A38" s="2337"/>
      <c r="B38" s="2338"/>
      <c r="C38" s="2338"/>
      <c r="D38" s="2338"/>
      <c r="E38" s="2338"/>
      <c r="F38" s="2339"/>
    </row>
    <row r="39" spans="1:11" ht="4.5" hidden="1" customHeight="1" x14ac:dyDescent="0.2">
      <c r="A39" s="1870"/>
      <c r="B39" s="1870"/>
      <c r="C39" s="1870"/>
      <c r="D39" s="1870"/>
      <c r="E39" s="1870"/>
      <c r="F39" s="1870"/>
    </row>
    <row r="40" spans="1:11" s="1867" customFormat="1" ht="12" customHeight="1" x14ac:dyDescent="0.25">
      <c r="A40" s="1871" t="s">
        <v>1391</v>
      </c>
      <c r="B40" s="1872"/>
      <c r="C40" s="2340"/>
      <c r="D40" s="2340"/>
      <c r="E40" s="2340"/>
      <c r="F40" s="2341"/>
      <c r="H40" s="1876"/>
      <c r="I40" s="1876"/>
      <c r="J40" s="1876"/>
      <c r="K40" s="1876"/>
    </row>
    <row r="41" spans="1:11" s="1867" customFormat="1" ht="12" customHeight="1" x14ac:dyDescent="0.25">
      <c r="A41" s="2342"/>
      <c r="B41" s="2343"/>
      <c r="C41" s="2343"/>
      <c r="D41" s="2343"/>
      <c r="E41" s="2343"/>
      <c r="F41" s="2344"/>
      <c r="H41" s="1876"/>
      <c r="I41" s="1876"/>
      <c r="J41" s="1876"/>
      <c r="K41" s="1876"/>
    </row>
    <row r="42" spans="1:11" s="1867" customFormat="1" ht="12" customHeight="1" x14ac:dyDescent="0.25">
      <c r="A42" s="2342"/>
      <c r="B42" s="2343"/>
      <c r="C42" s="2343"/>
      <c r="D42" s="2343"/>
      <c r="E42" s="2343"/>
      <c r="F42" s="2344"/>
      <c r="H42" s="1876"/>
      <c r="I42" s="1876"/>
      <c r="J42" s="1876"/>
      <c r="K42" s="1876"/>
    </row>
    <row r="43" spans="1:11" s="1867" customFormat="1" ht="15" x14ac:dyDescent="0.25">
      <c r="A43" s="2331"/>
      <c r="B43" s="2332"/>
      <c r="C43" s="2332"/>
      <c r="D43" s="2332"/>
      <c r="E43" s="2332"/>
      <c r="F43" s="2333"/>
      <c r="H43" s="1876"/>
      <c r="I43" s="1876"/>
      <c r="J43" s="1876"/>
      <c r="K43" s="1876"/>
    </row>
    <row r="44" spans="1:11" s="1867" customFormat="1" ht="12" hidden="1" customHeight="1" x14ac:dyDescent="0.25">
      <c r="A44" s="2331"/>
      <c r="B44" s="2332"/>
      <c r="C44" s="2332"/>
      <c r="D44" s="2332"/>
      <c r="E44" s="2332"/>
      <c r="F44" s="2333"/>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58" t="str">
        <f>COVER!A17</f>
        <v>Carthage ESD 317</v>
      </c>
      <c r="J6" s="2359"/>
      <c r="Q6" s="1661"/>
    </row>
    <row r="7" spans="1:17" x14ac:dyDescent="0.2">
      <c r="A7" s="2360" t="s">
        <v>869</v>
      </c>
      <c r="B7" s="2361"/>
      <c r="C7" s="2361"/>
      <c r="D7" s="2361"/>
      <c r="E7" s="2362"/>
      <c r="F7" s="1014"/>
      <c r="G7" s="1006"/>
      <c r="H7" s="1013" t="s">
        <v>372</v>
      </c>
      <c r="I7" s="2363">
        <f>COVER!A13</f>
        <v>26034317004</v>
      </c>
      <c r="J7" s="2363"/>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64" t="s">
        <v>481</v>
      </c>
      <c r="B11" s="2365"/>
      <c r="C11" s="2366"/>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66387</v>
      </c>
      <c r="F12" s="1036"/>
      <c r="G12" s="1808">
        <f t="shared" ref="G12:G18" si="0">SUM(E12:F12)</f>
        <v>66387</v>
      </c>
      <c r="H12" s="1037">
        <v>67600</v>
      </c>
      <c r="I12" s="1036"/>
      <c r="J12" s="1808">
        <f t="shared" ref="J12:J18" si="1">SUM(H12:I12)</f>
        <v>67600</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44976</v>
      </c>
      <c r="F14" s="1036"/>
      <c r="G14" s="1808">
        <f t="shared" si="0"/>
        <v>44976</v>
      </c>
      <c r="H14" s="1037">
        <v>46428</v>
      </c>
      <c r="I14" s="1036"/>
      <c r="J14" s="1808">
        <f t="shared" si="1"/>
        <v>46428</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67" t="s">
        <v>7</v>
      </c>
      <c r="C18" s="2368"/>
      <c r="D18" s="2369"/>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111363</v>
      </c>
      <c r="F19" s="1810">
        <f t="shared" si="2"/>
        <v>0</v>
      </c>
      <c r="G19" s="1810">
        <f t="shared" si="2"/>
        <v>111363</v>
      </c>
      <c r="H19" s="1810">
        <f t="shared" si="2"/>
        <v>114028</v>
      </c>
      <c r="I19" s="1810">
        <f t="shared" si="2"/>
        <v>0</v>
      </c>
      <c r="J19" s="1810">
        <f t="shared" si="2"/>
        <v>114028</v>
      </c>
    </row>
    <row r="20" spans="1:10" ht="13.5" thickTop="1" x14ac:dyDescent="0.2">
      <c r="A20" s="1032">
        <v>9</v>
      </c>
      <c r="B20" s="2370" t="s">
        <v>1981</v>
      </c>
      <c r="C20" s="2370"/>
      <c r="D20" s="2371"/>
      <c r="E20" s="1043"/>
      <c r="F20" s="1043"/>
      <c r="G20" s="1043"/>
      <c r="H20" s="1043"/>
      <c r="I20" s="1043"/>
      <c r="J20" s="1811">
        <f>IF(AND(G19&gt;0,J19&gt;0),(((J19-G19)/G19)),"Enter Budget Data")</f>
        <v>2.3930748992035056E-2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76"/>
      <c r="D26" s="2376"/>
      <c r="E26" s="1047"/>
      <c r="F26" s="2375"/>
      <c r="G26" s="2375"/>
    </row>
    <row r="27" spans="1:10" x14ac:dyDescent="0.2">
      <c r="B27" s="1044"/>
      <c r="C27" s="1048" t="s">
        <v>1033</v>
      </c>
      <c r="D27" s="1049"/>
      <c r="E27" s="1050"/>
      <c r="F27" s="2372" t="s">
        <v>1509</v>
      </c>
      <c r="G27" s="2372"/>
    </row>
    <row r="28" spans="1:10" ht="28.5" customHeight="1" x14ac:dyDescent="0.2">
      <c r="B28" s="1044"/>
      <c r="C28" s="2374"/>
      <c r="D28" s="2374"/>
      <c r="E28" s="1051"/>
      <c r="F28" s="2374"/>
      <c r="G28" s="2374"/>
    </row>
    <row r="29" spans="1:10" x14ac:dyDescent="0.2">
      <c r="B29" s="1044"/>
      <c r="C29" s="1052" t="s">
        <v>1561</v>
      </c>
      <c r="E29" s="1053"/>
      <c r="F29" s="2373" t="s">
        <v>1510</v>
      </c>
      <c r="G29" s="2373"/>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55" t="s">
        <v>132</v>
      </c>
      <c r="D33" s="2356"/>
      <c r="E33" s="2356"/>
      <c r="F33" s="2356"/>
      <c r="G33" s="2356"/>
      <c r="H33" s="2356"/>
      <c r="I33" s="2356"/>
    </row>
    <row r="34" spans="1:10" ht="10.35" customHeight="1" x14ac:dyDescent="0.2">
      <c r="C34" s="2356"/>
      <c r="D34" s="2356"/>
      <c r="E34" s="2356"/>
      <c r="F34" s="2356"/>
      <c r="G34" s="2356"/>
      <c r="H34" s="2356"/>
      <c r="I34" s="2356"/>
    </row>
    <row r="35" spans="1:10" ht="7.5" customHeight="1" x14ac:dyDescent="0.2">
      <c r="C35" s="1059"/>
    </row>
    <row r="36" spans="1:10" ht="13.5" customHeight="1" x14ac:dyDescent="0.2">
      <c r="B36" s="1058"/>
      <c r="C36" s="2357" t="s">
        <v>1983</v>
      </c>
      <c r="D36" s="2356"/>
      <c r="E36" s="2356"/>
      <c r="F36" s="2356"/>
      <c r="G36" s="2356"/>
      <c r="H36" s="2356"/>
      <c r="I36" s="2356"/>
      <c r="J36" s="1060"/>
    </row>
    <row r="37" spans="1:10" ht="22.5" customHeight="1" x14ac:dyDescent="0.2">
      <c r="C37" s="2356"/>
      <c r="D37" s="2356"/>
      <c r="E37" s="2356"/>
      <c r="F37" s="2356"/>
      <c r="G37" s="2356"/>
      <c r="H37" s="2356"/>
      <c r="I37" s="2356"/>
      <c r="J37" s="1060"/>
    </row>
    <row r="38" spans="1:10" ht="7.5" customHeight="1" x14ac:dyDescent="0.2">
      <c r="C38" s="1059"/>
      <c r="D38" s="1061"/>
      <c r="E38" s="1062"/>
      <c r="F38" s="1063"/>
      <c r="G38" s="1062"/>
    </row>
    <row r="39" spans="1:10" ht="13.5" customHeight="1" x14ac:dyDescent="0.2">
      <c r="B39" s="1058"/>
      <c r="C39" s="2353" t="s">
        <v>882</v>
      </c>
      <c r="D39" s="2354"/>
      <c r="E39" s="2354"/>
      <c r="F39" s="2354"/>
      <c r="G39" s="2354"/>
      <c r="H39" s="2354"/>
      <c r="I39" s="2354"/>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2131</v>
      </c>
    </row>
    <row r="6" spans="1:2" x14ac:dyDescent="0.2">
      <c r="A6" s="1065">
        <v>2</v>
      </c>
      <c r="B6" s="329" t="s">
        <v>2132</v>
      </c>
    </row>
    <row r="7" spans="1:2" x14ac:dyDescent="0.2">
      <c r="A7" s="1065"/>
      <c r="B7" s="329" t="s">
        <v>2133</v>
      </c>
    </row>
    <row r="8" spans="1:2" x14ac:dyDescent="0.2">
      <c r="A8" s="1065"/>
      <c r="B8" s="329" t="s">
        <v>2134</v>
      </c>
    </row>
    <row r="9" spans="1:2" x14ac:dyDescent="0.2">
      <c r="A9" s="1066"/>
      <c r="B9" s="329" t="s">
        <v>2135</v>
      </c>
    </row>
    <row r="10" spans="1:2" x14ac:dyDescent="0.2">
      <c r="A10" s="1981">
        <v>3</v>
      </c>
      <c r="B10" s="329" t="s">
        <v>2139</v>
      </c>
    </row>
    <row r="11" spans="1:2" x14ac:dyDescent="0.2">
      <c r="A11" s="1981">
        <v>4</v>
      </c>
      <c r="B11" s="329" t="s">
        <v>2138</v>
      </c>
    </row>
    <row r="12" spans="1:2" x14ac:dyDescent="0.2">
      <c r="A12" s="1981">
        <v>5</v>
      </c>
      <c r="B12" s="329" t="s">
        <v>2140</v>
      </c>
    </row>
    <row r="13" spans="1:2" x14ac:dyDescent="0.2">
      <c r="A13" s="1981">
        <v>6</v>
      </c>
      <c r="B13" s="329" t="s">
        <v>2136</v>
      </c>
    </row>
    <row r="14" spans="1:2" x14ac:dyDescent="0.2">
      <c r="A14" s="1981"/>
      <c r="B14" s="329" t="s">
        <v>2137</v>
      </c>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Carthage ESD 317</v>
      </c>
    </row>
    <row r="65" spans="2:2" x14ac:dyDescent="0.2">
      <c r="B65" s="1067">
        <f>COVER!A13</f>
        <v>26034317004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94" t="s">
        <v>1065</v>
      </c>
      <c r="B35" s="2094"/>
      <c r="C35" s="2094"/>
      <c r="D35" s="2094"/>
      <c r="E35" s="209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1" t="s">
        <v>691</v>
      </c>
      <c r="B40" s="2091"/>
      <c r="C40" s="2091"/>
      <c r="D40" s="2091"/>
      <c r="E40" s="2091"/>
    </row>
    <row r="41" spans="1:5" x14ac:dyDescent="0.2">
      <c r="A41" s="2092" t="s">
        <v>1608</v>
      </c>
      <c r="B41" s="2092"/>
      <c r="C41" s="2092"/>
      <c r="D41" s="2092"/>
      <c r="E41" s="2092"/>
    </row>
    <row r="42" spans="1:5" ht="12.75" customHeight="1" x14ac:dyDescent="0.2">
      <c r="A42" s="2093" t="s">
        <v>1022</v>
      </c>
      <c r="B42" s="2093"/>
      <c r="C42" s="2093"/>
      <c r="D42" s="2093"/>
      <c r="E42" s="2093"/>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77" t="s">
        <v>1685</v>
      </c>
      <c r="B18" s="237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993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9937" r:id="rId4"/>
      </mc:Fallback>
    </mc:AlternateContent>
    <mc:AlternateContent xmlns:mc="http://schemas.openxmlformats.org/markup-compatibility/2006">
      <mc:Choice Requires="x14">
        <oleObject progId="Acrobat Document" dvAspect="DVASPECT_ICON" shapeId="39938" r:id="rId6">
          <objectPr defaultSize="0" r:id="rId7">
            <anchor moveWithCells="1">
              <from>
                <xdr:col>1</xdr:col>
                <xdr:colOff>1076325</xdr:colOff>
                <xdr:row>0</xdr:row>
                <xdr:rowOff>152400</xdr:rowOff>
              </from>
              <to>
                <xdr:col>1</xdr:col>
                <xdr:colOff>1990725</xdr:colOff>
                <xdr:row>5</xdr:row>
                <xdr:rowOff>28575</xdr:rowOff>
              </to>
            </anchor>
          </objectPr>
        </oleObject>
      </mc:Choice>
      <mc:Fallback>
        <oleObject progId="Acrobat Document" dvAspect="DVASPECT_ICON" shapeId="3993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8" t="s">
        <v>1690</v>
      </c>
      <c r="B1" s="2379"/>
      <c r="C1" s="2379"/>
      <c r="D1" s="2379"/>
      <c r="E1" s="2379"/>
      <c r="F1" s="2380"/>
    </row>
    <row r="2" spans="1:8" ht="45" customHeight="1" x14ac:dyDescent="0.2">
      <c r="A2" s="2388" t="s">
        <v>1987</v>
      </c>
      <c r="B2" s="2389"/>
      <c r="C2" s="2389"/>
      <c r="D2" s="2389"/>
      <c r="E2" s="2389"/>
      <c r="F2" s="2390"/>
      <c r="G2" s="1071"/>
      <c r="H2" s="1071"/>
    </row>
    <row r="3" spans="1:8" ht="57" customHeight="1" x14ac:dyDescent="0.2">
      <c r="A3" s="2391" t="s">
        <v>1686</v>
      </c>
      <c r="B3" s="2392"/>
      <c r="C3" s="2392"/>
      <c r="D3" s="2392"/>
      <c r="E3" s="2392"/>
      <c r="F3" s="2393"/>
      <c r="G3" s="1071"/>
      <c r="H3" s="1071"/>
    </row>
    <row r="4" spans="1:8" ht="14.25" customHeight="1" x14ac:dyDescent="0.2">
      <c r="A4" s="2397" t="s">
        <v>1988</v>
      </c>
      <c r="B4" s="2398"/>
      <c r="C4" s="2398"/>
      <c r="D4" s="2398"/>
      <c r="E4" s="2398"/>
      <c r="F4" s="2399"/>
      <c r="G4" s="1071"/>
      <c r="H4" s="1071"/>
    </row>
    <row r="5" spans="1:8" ht="14.25" customHeight="1" x14ac:dyDescent="0.2">
      <c r="A5" s="2400" t="s">
        <v>1984</v>
      </c>
      <c r="B5" s="2401"/>
      <c r="C5" s="2401"/>
      <c r="D5" s="2401"/>
      <c r="E5" s="2401"/>
      <c r="F5" s="2402"/>
      <c r="G5" s="1071"/>
      <c r="H5" s="1071"/>
    </row>
    <row r="6" spans="1:8" s="1072" customFormat="1" ht="41.25" customHeight="1" x14ac:dyDescent="0.2">
      <c r="A6" s="2394" t="s">
        <v>1691</v>
      </c>
      <c r="B6" s="2395"/>
      <c r="C6" s="2395"/>
      <c r="D6" s="2395"/>
      <c r="E6" s="2395"/>
      <c r="F6" s="2396"/>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2890751</v>
      </c>
      <c r="C8" s="1812">
        <f>'Acct Summary 7-8'!D8</f>
        <v>525295</v>
      </c>
      <c r="D8" s="1812">
        <f>'Acct Summary 7-8'!F8</f>
        <v>243636</v>
      </c>
      <c r="E8" s="1812">
        <f>'Acct Summary 7-8'!I8</f>
        <v>61812</v>
      </c>
      <c r="F8" s="1812">
        <f>SUM(B8:E8)</f>
        <v>3721494</v>
      </c>
    </row>
    <row r="9" spans="1:8" s="1076" customFormat="1" ht="14.25" customHeight="1" thickBot="1" x14ac:dyDescent="0.25">
      <c r="A9" s="1075" t="s">
        <v>1369</v>
      </c>
      <c r="B9" s="1813">
        <f>'Acct Summary 7-8'!C17</f>
        <v>2785098</v>
      </c>
      <c r="C9" s="1813">
        <f>'Acct Summary 7-8'!D17</f>
        <v>295619</v>
      </c>
      <c r="D9" s="1813">
        <f>'Acct Summary 7-8'!F17</f>
        <v>222696</v>
      </c>
      <c r="E9" s="1812"/>
      <c r="F9" s="1812">
        <f>SUM(B9:E9)</f>
        <v>3303413</v>
      </c>
    </row>
    <row r="10" spans="1:8" s="1076" customFormat="1" ht="14.25" thickTop="1" thickBot="1" x14ac:dyDescent="0.25">
      <c r="A10" s="1077" t="s">
        <v>1370</v>
      </c>
      <c r="B10" s="1814">
        <f>(B8-B9)</f>
        <v>105653</v>
      </c>
      <c r="C10" s="1814">
        <f>(C8-C9)</f>
        <v>229676</v>
      </c>
      <c r="D10" s="1814">
        <f>(D8-D9)</f>
        <v>20940</v>
      </c>
      <c r="E10" s="1813">
        <f>(E8-E9)</f>
        <v>61812</v>
      </c>
      <c r="F10" s="1815">
        <f>SUM(F8-F9)</f>
        <v>418081</v>
      </c>
    </row>
    <row r="11" spans="1:8" s="1076" customFormat="1" ht="14.25" thickTop="1" thickBot="1" x14ac:dyDescent="0.25">
      <c r="A11" s="1078" t="s">
        <v>1985</v>
      </c>
      <c r="B11" s="1816">
        <f>'Acct Summary 7-8'!C81</f>
        <v>1122128</v>
      </c>
      <c r="C11" s="1816">
        <f>'Acct Summary 7-8'!D81</f>
        <v>2113868</v>
      </c>
      <c r="D11" s="1816">
        <f>'Acct Summary 7-8'!F81</f>
        <v>769577</v>
      </c>
      <c r="E11" s="1816">
        <f>'Acct Summary 7-8'!I81</f>
        <v>966746</v>
      </c>
      <c r="F11" s="1817">
        <f>SUM(B11:E11)</f>
        <v>4972319</v>
      </c>
    </row>
    <row r="12" spans="1:8" ht="16.5" customHeight="1" thickTop="1" x14ac:dyDescent="0.2">
      <c r="A12" s="1079"/>
      <c r="B12" s="1080"/>
      <c r="C12" s="2382" t="str">
        <f>IF(AND(F10&lt;0,F11&gt;=0,ABS(F10*3)&gt;ABS(F11)),A16,IF(AND(F10&lt;0,F11&gt;0,ABS(F10*3)&lt;=ABS(F11)),A17,IF(AND(F10&lt;0,F11&lt;0),A16,IF(F11=0,A19,A18))))</f>
        <v>Balanced - no deficit reduction plan is required.</v>
      </c>
      <c r="D12" s="2383"/>
      <c r="E12" s="2383"/>
      <c r="F12" s="2384"/>
    </row>
    <row r="13" spans="1:8" ht="19.5" customHeight="1" x14ac:dyDescent="0.2">
      <c r="A13" s="1081"/>
      <c r="B13" s="1082"/>
      <c r="C13" s="2382"/>
      <c r="D13" s="2383"/>
      <c r="E13" s="2383"/>
      <c r="F13" s="2384"/>
      <c r="H13" s="1071"/>
    </row>
    <row r="14" spans="1:8" ht="19.5" customHeight="1" x14ac:dyDescent="0.2">
      <c r="A14" s="1081"/>
      <c r="B14" s="1082"/>
      <c r="C14" s="2382"/>
      <c r="D14" s="2383"/>
      <c r="E14" s="2383"/>
      <c r="F14" s="2384"/>
      <c r="H14" s="1071"/>
    </row>
    <row r="15" spans="1:8" ht="17.25" customHeight="1" x14ac:dyDescent="0.2">
      <c r="A15" s="1081"/>
      <c r="B15" s="1082"/>
      <c r="C15" s="2385"/>
      <c r="D15" s="2386"/>
      <c r="E15" s="2386"/>
      <c r="F15" s="2387"/>
      <c r="H15" s="1071"/>
    </row>
    <row r="16" spans="1:8" s="310" customFormat="1" ht="51.75" hidden="1" customHeight="1" x14ac:dyDescent="0.2">
      <c r="A16" s="2381" t="s">
        <v>1687</v>
      </c>
      <c r="B16" s="2381"/>
      <c r="C16" s="2381"/>
      <c r="D16" s="2381"/>
      <c r="E16" s="2381"/>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403" t="s">
        <v>665</v>
      </c>
      <c r="B3" s="2404"/>
      <c r="C3" s="2404"/>
      <c r="D3" s="2405"/>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414" t="s">
        <v>1504</v>
      </c>
      <c r="D7" s="2415"/>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406" t="s">
        <v>1008</v>
      </c>
      <c r="B15" s="2407"/>
      <c r="C15" s="2407"/>
      <c r="D15" s="2408"/>
    </row>
    <row r="16" spans="1:4" s="665" customFormat="1" ht="24" customHeight="1" x14ac:dyDescent="0.2">
      <c r="A16" s="2409" t="s">
        <v>663</v>
      </c>
      <c r="B16" s="2410"/>
      <c r="C16" s="2410"/>
      <c r="D16" s="2411"/>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418" t="s">
        <v>314</v>
      </c>
      <c r="D21" s="2419"/>
    </row>
    <row r="22" spans="1:10" ht="12.75" x14ac:dyDescent="0.2">
      <c r="A22" s="1136"/>
      <c r="B22" s="1137">
        <v>2</v>
      </c>
      <c r="C22" s="2416" t="s">
        <v>1524</v>
      </c>
      <c r="D22" s="2417"/>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420" t="s">
        <v>536</v>
      </c>
      <c r="D43" s="2421"/>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412" t="s">
        <v>784</v>
      </c>
      <c r="D56" s="2413"/>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412" t="s">
        <v>1696</v>
      </c>
      <c r="D70" s="2413"/>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PLEASE ENTER CONTRACTS PAID IN CURRENT YEAR.</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26034317004</v>
      </c>
    </row>
    <row r="3" spans="1:2" x14ac:dyDescent="0.2">
      <c r="A3" t="s">
        <v>956</v>
      </c>
      <c r="B3" s="138" t="str">
        <f>COVER!A15</f>
        <v>Hancock</v>
      </c>
    </row>
    <row r="4" spans="1:2" x14ac:dyDescent="0.2">
      <c r="A4" t="s">
        <v>1007</v>
      </c>
      <c r="B4" s="138" t="str">
        <f>COVER!A17</f>
        <v>Carthage ESD 317</v>
      </c>
    </row>
    <row r="5" spans="1:2" x14ac:dyDescent="0.2">
      <c r="A5" t="s">
        <v>704</v>
      </c>
      <c r="B5" s="138" t="str">
        <f>COVER!A38</f>
        <v>Vicki Hardy</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Russell J. Rumbold II, CPA</v>
      </c>
    </row>
    <row r="18" spans="1:2" x14ac:dyDescent="0.2">
      <c r="A18" t="s">
        <v>1150</v>
      </c>
      <c r="B18" s="138" t="str">
        <f>COVER!T17</f>
        <v>4200 N Knoxville Ave</v>
      </c>
    </row>
    <row r="19" spans="1:2" x14ac:dyDescent="0.2">
      <c r="A19" t="s">
        <v>886</v>
      </c>
      <c r="B19" s="138" t="str">
        <f>COVER!T25</f>
        <v>rrumbold@gorenzcpa.com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582939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1122128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1078494</v>
      </c>
      <c r="D92" s="2" t="str">
        <f t="shared" si="0"/>
        <v>Error?</v>
      </c>
    </row>
    <row r="93" spans="1:4" x14ac:dyDescent="0.2">
      <c r="A93" s="5">
        <v>32</v>
      </c>
      <c r="B93" s="138">
        <f>'Assets-Liab 5-6'!C41</f>
        <v>1122128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760242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2113868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2113868</v>
      </c>
      <c r="D123" s="2" t="str">
        <f t="shared" si="0"/>
        <v>Error?</v>
      </c>
    </row>
    <row r="124" spans="1:4" x14ac:dyDescent="0.2">
      <c r="A124" s="5">
        <v>63</v>
      </c>
      <c r="B124" s="138">
        <f>'Assets-Liab 5-6'!D41</f>
        <v>2113868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5522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5522</v>
      </c>
      <c r="D140" s="2" t="str">
        <f t="shared" si="1"/>
        <v>Error?</v>
      </c>
    </row>
    <row r="141" spans="1:4" x14ac:dyDescent="0.2">
      <c r="A141" s="5">
        <v>80</v>
      </c>
      <c r="B141" s="138">
        <f>'Assets-Liab 5-6'!E41</f>
        <v>5522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484300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769577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769577</v>
      </c>
      <c r="D170" s="2" t="str">
        <f t="shared" si="1"/>
        <v>Error?</v>
      </c>
    </row>
    <row r="171" spans="1:4" x14ac:dyDescent="0.2">
      <c r="A171" s="5">
        <v>110</v>
      </c>
      <c r="B171" s="138">
        <f>'Assets-Liab 5-6'!F41</f>
        <v>769577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102154</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214373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143803</v>
      </c>
      <c r="D189" s="2" t="str">
        <f t="shared" si="1"/>
        <v>Error?</v>
      </c>
    </row>
    <row r="190" spans="1:4" x14ac:dyDescent="0.2">
      <c r="A190" s="5">
        <v>129</v>
      </c>
      <c r="B190" s="138">
        <f>'Assets-Liab 5-6'!G41</f>
        <v>214373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31500</v>
      </c>
      <c r="D273" s="2" t="str">
        <f t="shared" si="3"/>
        <v>Error?</v>
      </c>
    </row>
    <row r="274" spans="1:4" x14ac:dyDescent="0.2">
      <c r="A274" s="5">
        <v>213</v>
      </c>
      <c r="B274" s="138">
        <f>'Assets-Liab 5-6'!M17</f>
        <v>6200050</v>
      </c>
      <c r="D274" s="2" t="str">
        <f t="shared" si="3"/>
        <v>Error?</v>
      </c>
    </row>
    <row r="275" spans="1:4" x14ac:dyDescent="0.2">
      <c r="A275" s="5">
        <v>214</v>
      </c>
      <c r="B275" s="138">
        <f>'Assets-Liab 5-6'!M18</f>
        <v>107377</v>
      </c>
      <c r="D275" s="2" t="str">
        <f t="shared" si="3"/>
        <v>Error?</v>
      </c>
    </row>
    <row r="276" spans="1:4" x14ac:dyDescent="0.2">
      <c r="A276" s="5">
        <v>215</v>
      </c>
      <c r="B276" s="138">
        <f>'Assets-Liab 5-6'!M19</f>
        <v>354492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6693419</v>
      </c>
      <c r="C279" s="2" t="s">
        <v>573</v>
      </c>
      <c r="D279" s="2" t="str">
        <f t="shared" si="3"/>
        <v>Error?</v>
      </c>
    </row>
    <row r="280" spans="1:4" x14ac:dyDescent="0.2">
      <c r="A280" s="5">
        <v>219</v>
      </c>
      <c r="B280" s="138">
        <f>'Assets-Liab 5-6'!M40</f>
        <v>6693419</v>
      </c>
      <c r="D280" s="2" t="str">
        <f t="shared" si="3"/>
        <v>Error?</v>
      </c>
    </row>
    <row r="281" spans="1:4" x14ac:dyDescent="0.2">
      <c r="A281" s="5">
        <v>220</v>
      </c>
      <c r="B281" s="138">
        <f>'Assets-Liab 5-6'!M41</f>
        <v>6693419</v>
      </c>
      <c r="C281" s="2" t="s">
        <v>573</v>
      </c>
      <c r="D281" s="2" t="str">
        <f t="shared" si="3"/>
        <v>Error?</v>
      </c>
    </row>
    <row r="282" spans="1:4" x14ac:dyDescent="0.2">
      <c r="A282" s="5">
        <v>221</v>
      </c>
      <c r="B282" s="138">
        <f>'Assets-Liab 5-6'!N21</f>
        <v>5522</v>
      </c>
      <c r="D282" s="2" t="str">
        <f t="shared" si="3"/>
        <v>Error?</v>
      </c>
    </row>
    <row r="283" spans="1:4" x14ac:dyDescent="0.2">
      <c r="A283" s="5">
        <v>222</v>
      </c>
      <c r="B283" s="138">
        <f>'Assets-Liab 5-6'!N22</f>
        <v>-5522</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1022145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16046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1432080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470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470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66000</v>
      </c>
      <c r="D733" s="2" t="str">
        <f t="shared" si="10"/>
        <v>Error?</v>
      </c>
    </row>
    <row r="734" spans="1:4" x14ac:dyDescent="0.2">
      <c r="A734" s="5">
        <v>673</v>
      </c>
      <c r="B734" s="138">
        <f>'Expenditures 15-22'!C53</f>
        <v>66000</v>
      </c>
      <c r="C734" s="2" t="s">
        <v>573</v>
      </c>
      <c r="D734" s="2" t="str">
        <f t="shared" si="10"/>
        <v>Error?</v>
      </c>
    </row>
    <row r="735" spans="1:4" x14ac:dyDescent="0.2">
      <c r="A735" s="5">
        <v>674</v>
      </c>
      <c r="B735" s="138">
        <f>'Expenditures 15-22'!C55</f>
        <v>204259</v>
      </c>
      <c r="D735" s="2" t="str">
        <f t="shared" si="10"/>
        <v>Error?</v>
      </c>
    </row>
    <row r="736" spans="1:4" x14ac:dyDescent="0.2">
      <c r="A736" s="5">
        <v>675</v>
      </c>
      <c r="B736" s="138">
        <f>'Expenditures 15-22'!C56</f>
        <v>37774</v>
      </c>
      <c r="D736" s="2" t="str">
        <f t="shared" si="10"/>
        <v>Error?</v>
      </c>
    </row>
    <row r="737" spans="1:4" x14ac:dyDescent="0.2">
      <c r="A737" s="5">
        <v>676</v>
      </c>
      <c r="B737" s="138">
        <f>'Expenditures 15-22'!C57</f>
        <v>242033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48995</v>
      </c>
      <c r="D739" s="2" t="str">
        <f t="shared" si="10"/>
        <v>Error?</v>
      </c>
    </row>
    <row r="740" spans="1:4" x14ac:dyDescent="0.2">
      <c r="A740" s="5">
        <v>679</v>
      </c>
      <c r="B740" s="138">
        <f>'Expenditures 15-22'!C61</f>
        <v>110924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86470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246389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554892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1986972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118252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197319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573</v>
      </c>
      <c r="D792" s="2" t="str">
        <f t="shared" si="11"/>
        <v>Error?</v>
      </c>
    </row>
    <row r="793" spans="1:4" x14ac:dyDescent="0.2">
      <c r="A793" s="5">
        <v>732</v>
      </c>
      <c r="B793" s="138">
        <f>'Expenditures 15-22'!D55</f>
        <v>9699</v>
      </c>
      <c r="D793" s="2" t="str">
        <f t="shared" si="11"/>
        <v>Error?</v>
      </c>
    </row>
    <row r="794" spans="1:4" x14ac:dyDescent="0.2">
      <c r="A794" s="5">
        <v>733</v>
      </c>
      <c r="B794" s="138">
        <f>'Expenditures 15-22'!D56</f>
        <v>7202</v>
      </c>
      <c r="D794" s="2" t="str">
        <f t="shared" si="11"/>
        <v>Error?</v>
      </c>
    </row>
    <row r="795" spans="1:4" x14ac:dyDescent="0.2">
      <c r="A795" s="5">
        <v>734</v>
      </c>
      <c r="B795" s="138">
        <f>'Expenditures 15-22'!D57</f>
        <v>16901</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7680</v>
      </c>
      <c r="D797" s="2" t="str">
        <f t="shared" si="11"/>
        <v>Error?</v>
      </c>
    </row>
    <row r="798" spans="1:4" x14ac:dyDescent="0.2">
      <c r="A798" s="5">
        <v>737</v>
      </c>
      <c r="B798" s="138">
        <f>'Expenditures 15-22'!D61</f>
        <v>10457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17778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35915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52816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250135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33868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13732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79721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10075</v>
      </c>
      <c r="D844" s="2" t="str">
        <f t="shared" si="12"/>
        <v>Error?</v>
      </c>
    </row>
    <row r="845" spans="1:4" x14ac:dyDescent="0.2">
      <c r="A845" s="5">
        <v>784</v>
      </c>
      <c r="B845" s="138">
        <f>'Expenditures 15-22'!E45</f>
        <v>1693</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11768</v>
      </c>
      <c r="C847" s="2" t="s">
        <v>573</v>
      </c>
      <c r="D847" s="2" t="str">
        <f t="shared" si="12"/>
        <v>Error?</v>
      </c>
    </row>
    <row r="848" spans="1:4" x14ac:dyDescent="0.2">
      <c r="A848" s="5">
        <v>787</v>
      </c>
      <c r="B848" s="138">
        <f>'Expenditures 15-22'!E49</f>
        <v>30708</v>
      </c>
      <c r="D848" s="2" t="str">
        <f t="shared" si="12"/>
        <v>Error?</v>
      </c>
    </row>
    <row r="849" spans="1:4" x14ac:dyDescent="0.2">
      <c r="A849" s="5">
        <v>788</v>
      </c>
      <c r="B849" s="138">
        <f>'Expenditures 15-22'!E50</f>
        <v>0</v>
      </c>
      <c r="D849" s="2" t="str">
        <f t="shared" si="12"/>
        <v>Error?</v>
      </c>
    </row>
    <row r="850" spans="1:4" x14ac:dyDescent="0.2">
      <c r="A850" s="5">
        <v>789</v>
      </c>
      <c r="B850" s="138">
        <f>'Expenditures 15-22'!E53</f>
        <v>30708</v>
      </c>
      <c r="C850" s="2" t="s">
        <v>573</v>
      </c>
      <c r="D850" s="2" t="str">
        <f t="shared" si="12"/>
        <v>Error?</v>
      </c>
    </row>
    <row r="851" spans="1:4" x14ac:dyDescent="0.2">
      <c r="A851" s="5">
        <v>790</v>
      </c>
      <c r="B851" s="138">
        <f>'Expenditures 15-22'!E55</f>
        <v>20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6466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6466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48962</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235741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76418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4066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106696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225</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225</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93</v>
      </c>
      <c r="D906" s="2" t="str">
        <f t="shared" si="13"/>
        <v>Error?</v>
      </c>
    </row>
    <row r="907" spans="1:4" x14ac:dyDescent="0.2">
      <c r="A907" s="5">
        <v>846</v>
      </c>
      <c r="B907" s="138">
        <f>'Expenditures 15-22'!F50</f>
        <v>0</v>
      </c>
      <c r="D907" s="2" t="str">
        <f t="shared" si="13"/>
        <v>Error?</v>
      </c>
    </row>
    <row r="908" spans="1:4" x14ac:dyDescent="0.2">
      <c r="A908" s="5">
        <v>847</v>
      </c>
      <c r="B908" s="138">
        <f>'Expenditures 15-22'!F53</f>
        <v>93</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14730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109897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124627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124945</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231641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1598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1598</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1598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1598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2855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2855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2106</v>
      </c>
      <c r="D1022" s="2" t="str">
        <f t="shared" si="14"/>
        <v>Error?</v>
      </c>
    </row>
    <row r="1023" spans="1:4" x14ac:dyDescent="0.2">
      <c r="A1023" s="5">
        <v>962</v>
      </c>
      <c r="B1023" s="138">
        <f>'Expenditures 15-22'!H50</f>
        <v>387</v>
      </c>
      <c r="D1023" s="2" t="str">
        <f t="shared" ref="D1023:D1086" si="15">IF(ISBLANK(B1023),"OK",IF(A1023-B1023=0,"OK","Error?"))</f>
        <v>Error?</v>
      </c>
    </row>
    <row r="1024" spans="1:4" x14ac:dyDescent="0.2">
      <c r="A1024" s="5">
        <v>963</v>
      </c>
      <c r="B1024" s="138">
        <f>'Expenditures 15-22'!H53</f>
        <v>2493</v>
      </c>
      <c r="C1024" s="2" t="s">
        <v>573</v>
      </c>
      <c r="D1024" s="2" t="str">
        <f t="shared" si="15"/>
        <v>Error?</v>
      </c>
    </row>
    <row r="1025" spans="1:4" x14ac:dyDescent="0.2">
      <c r="A1025" s="5">
        <v>964</v>
      </c>
      <c r="B1025" s="138">
        <f>'Expenditures 15-22'!H55</f>
        <v>290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290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2783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73373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79011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1250683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36725</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1818671</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225</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225</v>
      </c>
      <c r="C1115" s="2" t="s">
        <v>573</v>
      </c>
      <c r="D1115" s="2" t="str">
        <f t="shared" si="16"/>
        <v>Error?</v>
      </c>
    </row>
    <row r="1116" spans="1:4" x14ac:dyDescent="0.2">
      <c r="A1116" s="5">
        <v>1055</v>
      </c>
      <c r="B1116" s="138">
        <f>'Expenditures 15-22'!K44</f>
        <v>10545</v>
      </c>
      <c r="C1116" s="2" t="s">
        <v>573</v>
      </c>
      <c r="D1116" s="2" t="str">
        <f t="shared" si="16"/>
        <v>Error?</v>
      </c>
    </row>
    <row r="1117" spans="1:4" x14ac:dyDescent="0.2">
      <c r="A1117" s="5">
        <v>1056</v>
      </c>
      <c r="B1117" s="138">
        <f>'Expenditures 15-22'!K45</f>
        <v>1693</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12238</v>
      </c>
      <c r="C1119" s="2" t="s">
        <v>573</v>
      </c>
      <c r="D1119" s="2" t="str">
        <f t="shared" si="16"/>
        <v>Error?</v>
      </c>
    </row>
    <row r="1120" spans="1:4" x14ac:dyDescent="0.2">
      <c r="A1120" s="5">
        <v>1059</v>
      </c>
      <c r="B1120" s="138">
        <f>'Expenditures 15-22'!K49</f>
        <v>32907</v>
      </c>
      <c r="C1120" s="2" t="s">
        <v>573</v>
      </c>
      <c r="D1120" s="2" t="str">
        <f t="shared" si="16"/>
        <v>Error?</v>
      </c>
    </row>
    <row r="1121" spans="1:4" x14ac:dyDescent="0.2">
      <c r="A1121" s="5">
        <v>1060</v>
      </c>
      <c r="B1121" s="138">
        <f>'Expenditures 15-22'!K50</f>
        <v>66387</v>
      </c>
      <c r="C1121" s="2" t="s">
        <v>573</v>
      </c>
      <c r="D1121" s="2" t="str">
        <f t="shared" si="16"/>
        <v>Error?</v>
      </c>
    </row>
    <row r="1122" spans="1:4" x14ac:dyDescent="0.2">
      <c r="A1122" s="5">
        <v>1061</v>
      </c>
      <c r="B1122" s="138">
        <f>'Expenditures 15-22'!K53</f>
        <v>99294</v>
      </c>
      <c r="C1122" s="2" t="s">
        <v>573</v>
      </c>
      <c r="D1122" s="2" t="str">
        <f t="shared" si="16"/>
        <v>Error?</v>
      </c>
    </row>
    <row r="1123" spans="1:4" x14ac:dyDescent="0.2">
      <c r="A1123" s="5">
        <v>1062</v>
      </c>
      <c r="B1123" s="138">
        <f>'Expenditures 15-22'!K55</f>
        <v>214268</v>
      </c>
      <c r="C1123" s="2" t="s">
        <v>573</v>
      </c>
      <c r="D1123" s="2" t="str">
        <f t="shared" si="16"/>
        <v>Error?</v>
      </c>
    </row>
    <row r="1124" spans="1:4" x14ac:dyDescent="0.2">
      <c r="A1124" s="5">
        <v>1063</v>
      </c>
      <c r="B1124" s="138">
        <f>'Expenditures 15-22'!K56</f>
        <v>44976</v>
      </c>
      <c r="C1124" s="2" t="s">
        <v>573</v>
      </c>
      <c r="D1124" s="2" t="str">
        <f t="shared" si="16"/>
        <v>Error?</v>
      </c>
    </row>
    <row r="1125" spans="1:4" x14ac:dyDescent="0.2">
      <c r="A1125" s="5">
        <v>1064</v>
      </c>
      <c r="B1125" s="138">
        <f>'Expenditures 15-22'!K57</f>
        <v>259244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56675</v>
      </c>
      <c r="C1127" s="2" t="s">
        <v>573</v>
      </c>
      <c r="D1127" s="2" t="str">
        <f t="shared" si="16"/>
        <v>Error?</v>
      </c>
    </row>
    <row r="1128" spans="1:4" x14ac:dyDescent="0.2">
      <c r="A1128" s="5">
        <v>1067</v>
      </c>
      <c r="B1128" s="138">
        <f>'Expenditures 15-22'!K61</f>
        <v>136111</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222209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414995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785996</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180431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2785098</v>
      </c>
      <c r="C1152" s="2" t="s">
        <v>573</v>
      </c>
      <c r="D1152" s="2" t="str">
        <f t="shared" si="17"/>
        <v>Error?</v>
      </c>
    </row>
    <row r="1153" spans="1:4" x14ac:dyDescent="0.2">
      <c r="A1153" s="5">
        <v>1092</v>
      </c>
      <c r="B1153" s="138">
        <f>'Expenditures 15-22'!K115</f>
        <v>105653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31088</v>
      </c>
      <c r="D1221" s="2" t="str">
        <f t="shared" si="18"/>
        <v>Error?</v>
      </c>
    </row>
    <row r="1222" spans="1:4" x14ac:dyDescent="0.2">
      <c r="A1222" s="10">
        <v>1161</v>
      </c>
      <c r="D1222" s="2" t="str">
        <f t="shared" si="18"/>
        <v>OK</v>
      </c>
    </row>
    <row r="1223" spans="1:4" x14ac:dyDescent="0.2">
      <c r="A1223" s="5">
        <v>1162</v>
      </c>
      <c r="B1223" s="138">
        <f>'Expenditures 15-22'!C127</f>
        <v>31088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31088</v>
      </c>
      <c r="C1225" s="2" t="s">
        <v>573</v>
      </c>
      <c r="D1225" s="2" t="str">
        <f t="shared" si="18"/>
        <v>Error?</v>
      </c>
    </row>
    <row r="1226" spans="1:4" x14ac:dyDescent="0.2">
      <c r="A1226" s="5">
        <v>1165</v>
      </c>
      <c r="B1226" s="138">
        <f>'Expenditures 15-22'!C151</f>
        <v>31088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5209</v>
      </c>
      <c r="D1229" s="2" t="str">
        <f t="shared" si="18"/>
        <v>Error?</v>
      </c>
    </row>
    <row r="1230" spans="1:4" x14ac:dyDescent="0.2">
      <c r="A1230" s="10">
        <v>1169</v>
      </c>
      <c r="D1230" s="2" t="str">
        <f t="shared" si="18"/>
        <v>OK</v>
      </c>
    </row>
    <row r="1231" spans="1:4" x14ac:dyDescent="0.2">
      <c r="A1231" s="5">
        <v>1170</v>
      </c>
      <c r="B1231" s="138">
        <f>'Expenditures 15-22'!D127</f>
        <v>5209</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5209</v>
      </c>
      <c r="C1233" s="2" t="s">
        <v>573</v>
      </c>
      <c r="D1233" s="2" t="str">
        <f t="shared" si="18"/>
        <v>Error?</v>
      </c>
    </row>
    <row r="1234" spans="1:4" x14ac:dyDescent="0.2">
      <c r="A1234" s="5">
        <v>1173</v>
      </c>
      <c r="B1234" s="138">
        <f>'Expenditures 15-22'!D151</f>
        <v>5209</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68551</v>
      </c>
      <c r="D1237" s="2" t="str">
        <f t="shared" si="18"/>
        <v>Error?</v>
      </c>
    </row>
    <row r="1238" spans="1:4" x14ac:dyDescent="0.2">
      <c r="A1238" s="10">
        <v>1177</v>
      </c>
      <c r="D1238" s="2" t="str">
        <f t="shared" si="18"/>
        <v>OK</v>
      </c>
    </row>
    <row r="1239" spans="1:4" x14ac:dyDescent="0.2">
      <c r="A1239" s="5">
        <v>1178</v>
      </c>
      <c r="B1239" s="138">
        <f>'Expenditures 15-22'!E127</f>
        <v>68551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68551</v>
      </c>
      <c r="C1241" s="2" t="s">
        <v>573</v>
      </c>
      <c r="D1241" s="2" t="str">
        <f t="shared" si="18"/>
        <v>Error?</v>
      </c>
    </row>
    <row r="1242" spans="1:4" x14ac:dyDescent="0.2">
      <c r="A1242" s="5">
        <v>1181</v>
      </c>
      <c r="B1242" s="138">
        <f>'Expenditures 15-22'!E151</f>
        <v>68551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165107</v>
      </c>
      <c r="D1245" s="2" t="str">
        <f t="shared" si="18"/>
        <v>Error?</v>
      </c>
    </row>
    <row r="1246" spans="1:4" x14ac:dyDescent="0.2">
      <c r="A1246" s="10">
        <v>1185</v>
      </c>
      <c r="D1246" s="2" t="str">
        <f t="shared" si="18"/>
        <v>OK</v>
      </c>
    </row>
    <row r="1247" spans="1:4" x14ac:dyDescent="0.2">
      <c r="A1247" s="5">
        <v>1186</v>
      </c>
      <c r="B1247" s="138">
        <f>'Expenditures 15-22'!F127</f>
        <v>165107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165107</v>
      </c>
      <c r="C1249" s="2" t="s">
        <v>573</v>
      </c>
      <c r="D1249" s="2" t="str">
        <f t="shared" si="18"/>
        <v>Error?</v>
      </c>
    </row>
    <row r="1250" spans="1:4" x14ac:dyDescent="0.2">
      <c r="A1250" s="5">
        <v>1189</v>
      </c>
      <c r="B1250" s="138">
        <f>'Expenditures 15-22'!F151</f>
        <v>165107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25664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25664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25664</v>
      </c>
      <c r="C1258" s="2" t="s">
        <v>573</v>
      </c>
      <c r="D1258" s="2" t="str">
        <f t="shared" si="18"/>
        <v>Error?</v>
      </c>
    </row>
    <row r="1259" spans="1:4" x14ac:dyDescent="0.2">
      <c r="A1259" s="5">
        <v>1198</v>
      </c>
      <c r="B1259" s="138">
        <f>'Expenditures 15-22'!G151</f>
        <v>25664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295619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295619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295619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295619</v>
      </c>
      <c r="C1288" s="2" t="s">
        <v>573</v>
      </c>
      <c r="D1288" s="2" t="str">
        <f t="shared" si="19"/>
        <v>Error?</v>
      </c>
    </row>
    <row r="1289" spans="1:4" x14ac:dyDescent="0.2">
      <c r="A1289" s="5">
        <v>1228</v>
      </c>
      <c r="B1289" s="138">
        <f>'Expenditures 15-22'!K152</f>
        <v>229676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3281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125000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128781</v>
      </c>
      <c r="C1317" s="2" t="s">
        <v>573</v>
      </c>
      <c r="D1317" s="2" t="str">
        <f t="shared" si="19"/>
        <v>Error?</v>
      </c>
    </row>
    <row r="1318" spans="1:4" x14ac:dyDescent="0.2">
      <c r="A1318" s="5">
        <v>1257</v>
      </c>
      <c r="B1318" s="138">
        <f>'Expenditures 15-22'!H174</f>
        <v>128781</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3281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125000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128781</v>
      </c>
      <c r="C1331" s="2" t="s">
        <v>573</v>
      </c>
      <c r="D1331" s="2" t="str">
        <f t="shared" si="19"/>
        <v>Error?</v>
      </c>
    </row>
    <row r="1332" spans="1:4" x14ac:dyDescent="0.2">
      <c r="A1332" s="5">
        <v>1271</v>
      </c>
      <c r="B1332" s="138">
        <f>'Expenditures 15-22'!K174</f>
        <v>128781</v>
      </c>
      <c r="C1332" s="2" t="s">
        <v>573</v>
      </c>
      <c r="D1332" s="2" t="str">
        <f t="shared" si="19"/>
        <v>Error?</v>
      </c>
    </row>
    <row r="1333" spans="1:4" x14ac:dyDescent="0.2">
      <c r="A1333" s="5">
        <v>1272</v>
      </c>
      <c r="B1333" s="138">
        <f>'Expenditures 15-22'!K175</f>
        <v>2018</v>
      </c>
      <c r="C1333" s="2" t="s">
        <v>573</v>
      </c>
      <c r="D1333" s="2" t="str">
        <f t="shared" si="19"/>
        <v>Error?</v>
      </c>
    </row>
    <row r="1334" spans="1:4" x14ac:dyDescent="0.2">
      <c r="A1334" s="10">
        <v>1273</v>
      </c>
      <c r="D1334" s="2" t="str">
        <f t="shared" si="19"/>
        <v>OK</v>
      </c>
    </row>
    <row r="1335" spans="1:4" x14ac:dyDescent="0.2">
      <c r="A1335" s="5">
        <v>1274</v>
      </c>
      <c r="B1335" s="138">
        <f>'Expenditures 15-22'!C182</f>
        <v>99646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99646</v>
      </c>
      <c r="C1339" s="2" t="s">
        <v>573</v>
      </c>
      <c r="D1339" s="2" t="str">
        <f t="shared" si="19"/>
        <v>Error?</v>
      </c>
    </row>
    <row r="1340" spans="1:4" x14ac:dyDescent="0.2">
      <c r="A1340" s="5">
        <v>1279</v>
      </c>
      <c r="B1340" s="138">
        <f>'Expenditures 15-22'!C210</f>
        <v>99646</v>
      </c>
      <c r="C1340" s="2" t="s">
        <v>573</v>
      </c>
      <c r="D1340" s="2" t="str">
        <f t="shared" si="19"/>
        <v>Error?</v>
      </c>
    </row>
    <row r="1341" spans="1:4" x14ac:dyDescent="0.2">
      <c r="A1341" s="5">
        <v>1280</v>
      </c>
      <c r="B1341" s="138">
        <f>'Expenditures 15-22'!D182</f>
        <v>934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934</v>
      </c>
      <c r="C1345" s="2" t="s">
        <v>573</v>
      </c>
      <c r="D1345" s="2" t="str">
        <f t="shared" si="20"/>
        <v>Error?</v>
      </c>
    </row>
    <row r="1346" spans="1:4" x14ac:dyDescent="0.2">
      <c r="A1346" s="5">
        <v>1285</v>
      </c>
      <c r="B1346" s="138">
        <f>'Expenditures 15-22'!D210</f>
        <v>934</v>
      </c>
      <c r="C1346" s="2" t="s">
        <v>573</v>
      </c>
      <c r="D1346" s="2" t="str">
        <f t="shared" si="20"/>
        <v>Error?</v>
      </c>
    </row>
    <row r="1347" spans="1:4" x14ac:dyDescent="0.2">
      <c r="A1347" s="5">
        <v>1286</v>
      </c>
      <c r="B1347" s="138">
        <f>'Expenditures 15-22'!E182</f>
        <v>91578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91578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91578</v>
      </c>
      <c r="C1353" s="2" t="s">
        <v>573</v>
      </c>
      <c r="D1353" s="2" t="str">
        <f t="shared" si="20"/>
        <v>Error?</v>
      </c>
    </row>
    <row r="1354" spans="1:4" x14ac:dyDescent="0.2">
      <c r="A1354" s="5">
        <v>1293</v>
      </c>
      <c r="B1354" s="138">
        <f>'Expenditures 15-22'!F182</f>
        <v>30538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30538</v>
      </c>
      <c r="C1358" s="2" t="s">
        <v>573</v>
      </c>
      <c r="D1358" s="2" t="str">
        <f t="shared" si="20"/>
        <v>Error?</v>
      </c>
    </row>
    <row r="1359" spans="1:4" x14ac:dyDescent="0.2">
      <c r="A1359" s="5">
        <v>1298</v>
      </c>
      <c r="B1359" s="138">
        <f>'Expenditures 15-22'!F210</f>
        <v>30538</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222696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222696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222696</v>
      </c>
      <c r="C1388" s="2" t="s">
        <v>573</v>
      </c>
      <c r="D1388" s="2" t="str">
        <f t="shared" si="20"/>
        <v>Error?</v>
      </c>
    </row>
    <row r="1389" spans="1:4" x14ac:dyDescent="0.2">
      <c r="A1389" s="5">
        <v>1328</v>
      </c>
      <c r="B1389" s="138">
        <f>'Expenditures 15-22'!K211</f>
        <v>20940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238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40444</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34</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34</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5049</v>
      </c>
      <c r="D1423" s="2" t="str">
        <f t="shared" si="21"/>
        <v>Error?</v>
      </c>
    </row>
    <row r="1424" spans="1:4" x14ac:dyDescent="0.2">
      <c r="A1424" s="5">
        <v>1363</v>
      </c>
      <c r="B1424" s="138">
        <f>'Expenditures 15-22'!D257</f>
        <v>5049</v>
      </c>
      <c r="C1424" s="2" t="s">
        <v>573</v>
      </c>
      <c r="D1424" s="2" t="str">
        <f t="shared" si="21"/>
        <v>Error?</v>
      </c>
    </row>
    <row r="1425" spans="1:4" x14ac:dyDescent="0.2">
      <c r="A1425" s="5">
        <v>1364</v>
      </c>
      <c r="B1425" s="138">
        <f>'Expenditures 15-22'!D259</f>
        <v>15235</v>
      </c>
      <c r="D1425" s="2" t="str">
        <f t="shared" si="21"/>
        <v>Error?</v>
      </c>
    </row>
    <row r="1426" spans="1:4" x14ac:dyDescent="0.2">
      <c r="A1426" s="5">
        <v>1365</v>
      </c>
      <c r="B1426" s="138">
        <f>'Expenditures 15-22'!D260</f>
        <v>6524</v>
      </c>
      <c r="D1426" s="2" t="str">
        <f t="shared" si="21"/>
        <v>Error?</v>
      </c>
    </row>
    <row r="1427" spans="1:4" x14ac:dyDescent="0.2">
      <c r="A1427" s="5">
        <v>1366</v>
      </c>
      <c r="B1427" s="138">
        <f>'Expenditures 15-22'!D261</f>
        <v>21759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9252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32790</v>
      </c>
      <c r="D1431" s="2" t="str">
        <f t="shared" si="21"/>
        <v>Error?</v>
      </c>
    </row>
    <row r="1432" spans="1:4" x14ac:dyDescent="0.2">
      <c r="A1432" s="5">
        <v>1371</v>
      </c>
      <c r="B1432" s="138">
        <f>'Expenditures 15-22'!D267</f>
        <v>6794</v>
      </c>
      <c r="D1432" s="2" t="str">
        <f t="shared" si="21"/>
        <v>Error?</v>
      </c>
    </row>
    <row r="1433" spans="1:4" x14ac:dyDescent="0.2">
      <c r="A1433" s="5">
        <v>1372</v>
      </c>
      <c r="B1433" s="138">
        <f>'Expenditures 15-22'!D268</f>
        <v>15220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64056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90898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131342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238</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40444</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34</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34</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5049</v>
      </c>
      <c r="C1487" s="2" t="s">
        <v>573</v>
      </c>
      <c r="D1487" s="2" t="str">
        <f t="shared" si="22"/>
        <v>Error?</v>
      </c>
    </row>
    <row r="1488" spans="1:4" x14ac:dyDescent="0.2">
      <c r="A1488" s="5">
        <v>1427</v>
      </c>
      <c r="B1488" s="138">
        <f>'Expenditures 15-22'!K257</f>
        <v>5049</v>
      </c>
      <c r="C1488" s="2" t="s">
        <v>573</v>
      </c>
      <c r="D1488" s="2" t="str">
        <f t="shared" si="22"/>
        <v>Error?</v>
      </c>
    </row>
    <row r="1489" spans="1:4" x14ac:dyDescent="0.2">
      <c r="A1489" s="5">
        <v>1428</v>
      </c>
      <c r="B1489" s="138">
        <f>'Expenditures 15-22'!K259</f>
        <v>15235</v>
      </c>
      <c r="C1489" s="2" t="s">
        <v>573</v>
      </c>
      <c r="D1489" s="2" t="str">
        <f t="shared" si="22"/>
        <v>Error?</v>
      </c>
    </row>
    <row r="1490" spans="1:4" x14ac:dyDescent="0.2">
      <c r="A1490" s="5">
        <v>1429</v>
      </c>
      <c r="B1490" s="138">
        <f>'Expenditures 15-22'!K260</f>
        <v>6524</v>
      </c>
      <c r="C1490" s="2" t="s">
        <v>573</v>
      </c>
      <c r="D1490" s="2" t="str">
        <f t="shared" si="22"/>
        <v>Error?</v>
      </c>
    </row>
    <row r="1491" spans="1:4" x14ac:dyDescent="0.2">
      <c r="A1491" s="5">
        <v>1430</v>
      </c>
      <c r="B1491" s="138">
        <f>'Expenditures 15-22'!K261</f>
        <v>21759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9252</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32790</v>
      </c>
      <c r="C1495" s="2" t="s">
        <v>573</v>
      </c>
      <c r="D1495" s="2" t="str">
        <f t="shared" si="22"/>
        <v>Error?</v>
      </c>
    </row>
    <row r="1496" spans="1:4" x14ac:dyDescent="0.2">
      <c r="A1496" s="5">
        <v>1435</v>
      </c>
      <c r="B1496" s="138">
        <f>'Expenditures 15-22'!K267</f>
        <v>6794</v>
      </c>
      <c r="C1496" s="2" t="s">
        <v>573</v>
      </c>
      <c r="D1496" s="2" t="str">
        <f t="shared" si="22"/>
        <v>Error?</v>
      </c>
    </row>
    <row r="1497" spans="1:4" x14ac:dyDescent="0.2">
      <c r="A1497" s="5">
        <v>1436</v>
      </c>
      <c r="B1497" s="138">
        <f>'Expenditures 15-22'!K268</f>
        <v>15220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64056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90898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131342</v>
      </c>
      <c r="C1517" s="2" t="s">
        <v>573</v>
      </c>
      <c r="D1517" s="2" t="str">
        <f t="shared" si="22"/>
        <v>Error?</v>
      </c>
    </row>
    <row r="1518" spans="1:4" x14ac:dyDescent="0.2">
      <c r="A1518" s="5">
        <v>1457</v>
      </c>
      <c r="B1518" s="138">
        <f>'Expenditures 15-22'!K296</f>
        <v>31970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1016475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1122128</v>
      </c>
      <c r="C1630" s="2" t="s">
        <v>573</v>
      </c>
      <c r="D1630" s="2" t="str">
        <f t="shared" si="24"/>
        <v>Error?</v>
      </c>
    </row>
    <row r="1631" spans="1:4" x14ac:dyDescent="0.2">
      <c r="A1631" s="5">
        <v>1570</v>
      </c>
      <c r="B1631" s="138">
        <f>'Acct Summary 7-8'!D79</f>
        <v>1884192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2113868</v>
      </c>
      <c r="C1644" s="2" t="s">
        <v>573</v>
      </c>
      <c r="D1644" s="2" t="str">
        <f t="shared" si="24"/>
        <v>Error?</v>
      </c>
    </row>
    <row r="1645" spans="1:4" x14ac:dyDescent="0.2">
      <c r="A1645" s="5">
        <v>1584</v>
      </c>
      <c r="B1645" s="138">
        <f>'Acct Summary 7-8'!E79</f>
        <v>3504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5522</v>
      </c>
      <c r="C1658" s="2" t="s">
        <v>573</v>
      </c>
      <c r="D1658" s="2" t="str">
        <f t="shared" si="24"/>
        <v>Error?</v>
      </c>
    </row>
    <row r="1659" spans="1:4" x14ac:dyDescent="0.2">
      <c r="A1659" s="5">
        <v>1598</v>
      </c>
      <c r="B1659" s="138">
        <f>'Acct Summary 7-8'!F79</f>
        <v>748637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769577</v>
      </c>
      <c r="C1672" s="2" t="s">
        <v>573</v>
      </c>
      <c r="D1672" s="2" t="str">
        <f t="shared" si="25"/>
        <v>Error?</v>
      </c>
    </row>
    <row r="1673" spans="1:4" x14ac:dyDescent="0.2">
      <c r="A1673" s="5">
        <v>1612</v>
      </c>
      <c r="B1673" s="138">
        <f>'Acct Summary 7-8'!G79</f>
        <v>182403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214373</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1185107</v>
      </c>
      <c r="C1744" s="2" t="s">
        <v>573</v>
      </c>
      <c r="D1744" s="2" t="str">
        <f t="shared" si="26"/>
        <v>Error?</v>
      </c>
    </row>
    <row r="1745" spans="1:5" x14ac:dyDescent="0.2">
      <c r="A1745" s="5">
        <v>1684</v>
      </c>
      <c r="B1745" s="138">
        <f>'Tax Sched 23'!B5</f>
        <v>322478</v>
      </c>
      <c r="C1745" s="2" t="s">
        <v>573</v>
      </c>
      <c r="D1745" s="2" t="str">
        <f t="shared" si="26"/>
        <v>Error?</v>
      </c>
    </row>
    <row r="1746" spans="1:5" x14ac:dyDescent="0.2">
      <c r="A1746" s="5">
        <v>1685</v>
      </c>
      <c r="B1746" s="138">
        <f>'Tax Sched 23'!B6</f>
        <v>130599</v>
      </c>
      <c r="C1746" s="2" t="s">
        <v>573</v>
      </c>
      <c r="D1746" s="2" t="str">
        <f t="shared" si="26"/>
        <v>Error?</v>
      </c>
    </row>
    <row r="1747" spans="1:5" x14ac:dyDescent="0.2">
      <c r="A1747" s="5">
        <v>1686</v>
      </c>
      <c r="B1747" s="138">
        <f>'Tax Sched 23'!B7</f>
        <v>96744</v>
      </c>
      <c r="C1747" s="2" t="s">
        <v>573</v>
      </c>
      <c r="D1747" s="2" t="str">
        <f t="shared" si="26"/>
        <v>Error?</v>
      </c>
    </row>
    <row r="1748" spans="1:5" x14ac:dyDescent="0.2">
      <c r="A1748" s="5">
        <v>1687</v>
      </c>
      <c r="B1748" s="138">
        <f>'Tax Sched 23'!B8</f>
        <v>77356</v>
      </c>
      <c r="C1748" s="2" t="s">
        <v>573</v>
      </c>
      <c r="D1748" s="2" t="str">
        <f t="shared" si="26"/>
        <v>Error?</v>
      </c>
    </row>
    <row r="1749" spans="1:5" x14ac:dyDescent="0.2">
      <c r="A1749" s="5">
        <v>1688</v>
      </c>
      <c r="B1749" s="138">
        <f>'Tax Sched 23'!B10</f>
        <v>40310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249514</v>
      </c>
      <c r="C1752" s="2" t="s">
        <v>573</v>
      </c>
      <c r="D1752" s="2" t="str">
        <f t="shared" si="26"/>
        <v>Error?</v>
      </c>
    </row>
    <row r="1753" spans="1:5" x14ac:dyDescent="0.2">
      <c r="A1753" s="5">
        <v>1692</v>
      </c>
      <c r="B1753" s="138">
        <f>'Tax Sched 23'!B12</f>
        <v>40310</v>
      </c>
      <c r="C1753" s="2" t="s">
        <v>573</v>
      </c>
      <c r="D1753" s="2" t="str">
        <f t="shared" si="26"/>
        <v>Error?</v>
      </c>
    </row>
    <row r="1754" spans="1:5" x14ac:dyDescent="0.2">
      <c r="A1754" s="5">
        <v>1693</v>
      </c>
      <c r="B1754" s="138">
        <f>'Tax Sched 23'!B14</f>
        <v>16124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2250869</v>
      </c>
      <c r="C1759" s="2" t="s">
        <v>573</v>
      </c>
      <c r="D1759" s="2" t="str">
        <f t="shared" si="26"/>
        <v>Error?</v>
      </c>
    </row>
    <row r="1760" spans="1:5" x14ac:dyDescent="0.2">
      <c r="A1760" s="5">
        <v>1699</v>
      </c>
      <c r="B1760" s="138">
        <f>'Tax Sched 23'!D4</f>
        <v>1185107</v>
      </c>
      <c r="C1760" s="2" t="s">
        <v>573</v>
      </c>
      <c r="D1760" s="2" t="str">
        <f t="shared" si="26"/>
        <v>Error?</v>
      </c>
    </row>
    <row r="1761" spans="1:5" x14ac:dyDescent="0.2">
      <c r="A1761" s="5">
        <v>1700</v>
      </c>
      <c r="B1761" s="138">
        <f>'Tax Sched 23'!D5</f>
        <v>322478</v>
      </c>
      <c r="C1761" s="2" t="s">
        <v>573</v>
      </c>
      <c r="D1761" s="2" t="str">
        <f t="shared" si="26"/>
        <v>Error?</v>
      </c>
    </row>
    <row r="1762" spans="1:5" s="8" customFormat="1" x14ac:dyDescent="0.2">
      <c r="A1762" s="5">
        <v>1701</v>
      </c>
      <c r="B1762" s="138">
        <f>'Tax Sched 23'!D6</f>
        <v>130599</v>
      </c>
      <c r="C1762" s="2" t="s">
        <v>573</v>
      </c>
      <c r="D1762" s="2" t="str">
        <f t="shared" si="26"/>
        <v>Error?</v>
      </c>
      <c r="E1762" s="9"/>
    </row>
    <row r="1763" spans="1:5" x14ac:dyDescent="0.2">
      <c r="A1763" s="5">
        <v>1702</v>
      </c>
      <c r="B1763" s="138">
        <f>'Tax Sched 23'!D7</f>
        <v>96744</v>
      </c>
      <c r="C1763" s="2" t="s">
        <v>573</v>
      </c>
      <c r="D1763" s="2" t="str">
        <f t="shared" si="26"/>
        <v>Error?</v>
      </c>
    </row>
    <row r="1764" spans="1:5" x14ac:dyDescent="0.2">
      <c r="A1764" s="5">
        <v>1703</v>
      </c>
      <c r="B1764" s="138">
        <f>'Tax Sched 23'!D8</f>
        <v>77356</v>
      </c>
      <c r="C1764" s="2" t="s">
        <v>573</v>
      </c>
      <c r="D1764" s="2" t="str">
        <f t="shared" si="26"/>
        <v>Error?</v>
      </c>
    </row>
    <row r="1765" spans="1:5" x14ac:dyDescent="0.2">
      <c r="A1765" s="5">
        <v>1704</v>
      </c>
      <c r="B1765" s="138">
        <f>'Tax Sched 23'!D10</f>
        <v>40310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249514</v>
      </c>
      <c r="C1768" s="2" t="s">
        <v>573</v>
      </c>
      <c r="D1768" s="2" t="str">
        <f t="shared" si="26"/>
        <v>Error?</v>
      </c>
    </row>
    <row r="1769" spans="1:5" x14ac:dyDescent="0.2">
      <c r="A1769" s="5">
        <v>1708</v>
      </c>
      <c r="B1769" s="138">
        <f>'Tax Sched 23'!D12</f>
        <v>40310</v>
      </c>
      <c r="C1769" s="2" t="s">
        <v>573</v>
      </c>
      <c r="D1769" s="2" t="str">
        <f t="shared" si="26"/>
        <v>Error?</v>
      </c>
    </row>
    <row r="1770" spans="1:5" x14ac:dyDescent="0.2">
      <c r="A1770" s="5">
        <v>1709</v>
      </c>
      <c r="B1770" s="138">
        <f>'Tax Sched 23'!D14</f>
        <v>16124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2250869</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1230233</v>
      </c>
      <c r="C1792" s="2" t="s">
        <v>573</v>
      </c>
      <c r="D1792" s="2" t="str">
        <f t="shared" si="27"/>
        <v>Error?</v>
      </c>
    </row>
    <row r="1793" spans="1:4" x14ac:dyDescent="0.2">
      <c r="A1793" s="5">
        <v>1732</v>
      </c>
      <c r="B1793" s="138">
        <f>'Tax Sched 23'!F5</f>
        <v>334757</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100427</v>
      </c>
      <c r="C1795" s="2" t="s">
        <v>573</v>
      </c>
      <c r="D1795" s="2" t="str">
        <f t="shared" si="27"/>
        <v>Error?</v>
      </c>
    </row>
    <row r="1796" spans="1:4" x14ac:dyDescent="0.2">
      <c r="A1796" s="5">
        <v>1735</v>
      </c>
      <c r="B1796" s="138">
        <f>'Tax Sched 23'!F8</f>
        <v>50004</v>
      </c>
      <c r="C1796" s="2" t="s">
        <v>573</v>
      </c>
      <c r="D1796" s="2" t="str">
        <f t="shared" si="27"/>
        <v>Error?</v>
      </c>
    </row>
    <row r="1797" spans="1:4" x14ac:dyDescent="0.2">
      <c r="A1797" s="5">
        <v>1736</v>
      </c>
      <c r="B1797" s="138">
        <f>'Tax Sched 23'!F10</f>
        <v>41845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250005</v>
      </c>
      <c r="C1800" s="2" t="s">
        <v>573</v>
      </c>
      <c r="D1800" s="2" t="str">
        <f t="shared" si="27"/>
        <v>Error?</v>
      </c>
    </row>
    <row r="1801" spans="1:4" x14ac:dyDescent="0.2">
      <c r="A1801" s="5">
        <v>1740</v>
      </c>
      <c r="B1801" s="138">
        <f>'Tax Sched 23'!F12</f>
        <v>41845</v>
      </c>
      <c r="C1801" s="2" t="s">
        <v>573</v>
      </c>
      <c r="D1801" s="2" t="str">
        <f t="shared" si="27"/>
        <v>Error?</v>
      </c>
    </row>
    <row r="1802" spans="1:4" x14ac:dyDescent="0.2">
      <c r="A1802" s="5">
        <v>1741</v>
      </c>
      <c r="B1802" s="138">
        <f>'Tax Sched 23'!F14</f>
        <v>16738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2130863</v>
      </c>
      <c r="C1807" s="2" t="s">
        <v>573</v>
      </c>
      <c r="D1807" s="2" t="str">
        <f t="shared" si="27"/>
        <v>Error?</v>
      </c>
    </row>
    <row r="1808" spans="1:4" x14ac:dyDescent="0.2">
      <c r="A1808" s="5">
        <v>1747</v>
      </c>
      <c r="B1808" s="138">
        <f>'Tax Sched 23'!E4</f>
        <v>1230233</v>
      </c>
      <c r="D1808" s="2" t="str">
        <f t="shared" si="27"/>
        <v>Error?</v>
      </c>
    </row>
    <row r="1809" spans="1:4" x14ac:dyDescent="0.2">
      <c r="A1809" s="5">
        <v>1748</v>
      </c>
      <c r="B1809" s="138">
        <f>'Tax Sched 23'!E5</f>
        <v>334757</v>
      </c>
      <c r="D1809" s="2" t="str">
        <f t="shared" si="27"/>
        <v>Error?</v>
      </c>
    </row>
    <row r="1810" spans="1:4" x14ac:dyDescent="0.2">
      <c r="A1810" s="5">
        <v>1749</v>
      </c>
      <c r="B1810" s="138">
        <f>'Tax Sched 23'!E6</f>
        <v>0</v>
      </c>
      <c r="D1810" s="2" t="str">
        <f t="shared" si="27"/>
        <v>Error?</v>
      </c>
    </row>
    <row r="1811" spans="1:4" x14ac:dyDescent="0.2">
      <c r="A1811" s="5">
        <v>1750</v>
      </c>
      <c r="B1811" s="138">
        <f>'Tax Sched 23'!E7</f>
        <v>100427</v>
      </c>
      <c r="D1811" s="2" t="str">
        <f t="shared" si="27"/>
        <v>Error?</v>
      </c>
    </row>
    <row r="1812" spans="1:4" x14ac:dyDescent="0.2">
      <c r="A1812" s="5">
        <v>1751</v>
      </c>
      <c r="B1812" s="138">
        <f>'Tax Sched 23'!E8</f>
        <v>50004</v>
      </c>
      <c r="D1812" s="2" t="str">
        <f t="shared" si="27"/>
        <v>Error?</v>
      </c>
    </row>
    <row r="1813" spans="1:4" x14ac:dyDescent="0.2">
      <c r="A1813" s="5">
        <v>1752</v>
      </c>
      <c r="B1813" s="138">
        <f>'Tax Sched 23'!E10</f>
        <v>41845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250005</v>
      </c>
      <c r="D1816" s="2" t="str">
        <f t="shared" si="27"/>
        <v>Error?</v>
      </c>
    </row>
    <row r="1817" spans="1:4" x14ac:dyDescent="0.2">
      <c r="A1817" s="5">
        <v>1756</v>
      </c>
      <c r="B1817" s="138">
        <f>'Tax Sched 23'!E12</f>
        <v>41845</v>
      </c>
      <c r="D1817" s="2" t="str">
        <f t="shared" si="27"/>
        <v>Error?</v>
      </c>
    </row>
    <row r="1818" spans="1:4" x14ac:dyDescent="0.2">
      <c r="A1818" s="5">
        <v>1757</v>
      </c>
      <c r="B1818" s="138">
        <f>'Tax Sched 23'!E14</f>
        <v>16738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2130863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16124</v>
      </c>
      <c r="D1972" s="2" t="str">
        <f t="shared" si="29"/>
        <v>Error?</v>
      </c>
    </row>
    <row r="1973" spans="1:5" x14ac:dyDescent="0.2">
      <c r="A1973" s="5">
        <v>1912</v>
      </c>
      <c r="B1973" s="138">
        <f>'Rest Tax Levies-Tort Im 25'!H6</f>
        <v>1</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16125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16125</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31500</v>
      </c>
      <c r="D2008" s="2" t="str">
        <f t="shared" si="30"/>
        <v>Error?</v>
      </c>
    </row>
    <row r="2009" spans="1:4" x14ac:dyDescent="0.2">
      <c r="A2009" s="5">
        <v>1948</v>
      </c>
      <c r="B2009" s="138">
        <f>'Cap Outlay Deprec 26'!C8</f>
        <v>6115843</v>
      </c>
      <c r="D2009" s="2" t="str">
        <f t="shared" si="30"/>
        <v>Error?</v>
      </c>
    </row>
    <row r="2010" spans="1:4" x14ac:dyDescent="0.2">
      <c r="A2010" s="5">
        <v>1949</v>
      </c>
      <c r="B2010" s="138">
        <f>'Cap Outlay Deprec 26'!C10</f>
        <v>107377</v>
      </c>
      <c r="D2010" s="2" t="str">
        <f t="shared" si="30"/>
        <v>Error?</v>
      </c>
    </row>
    <row r="2011" spans="1:4" x14ac:dyDescent="0.2">
      <c r="A2011" s="5">
        <v>1950</v>
      </c>
      <c r="B2011" s="138">
        <f>'Cap Outlay Deprec 26'!C12</f>
        <v>133921</v>
      </c>
      <c r="D2011" s="2" t="str">
        <f t="shared" si="30"/>
        <v>Error?</v>
      </c>
    </row>
    <row r="2012" spans="1:4" x14ac:dyDescent="0.2">
      <c r="A2012" s="5">
        <v>1951</v>
      </c>
      <c r="B2012" s="138">
        <f>'Cap Outlay Deprec 26'!C13</f>
        <v>189598</v>
      </c>
      <c r="D2012" s="2" t="str">
        <f t="shared" si="30"/>
        <v>Error?</v>
      </c>
    </row>
    <row r="2013" spans="1:4" x14ac:dyDescent="0.2">
      <c r="A2013" s="5">
        <v>1952</v>
      </c>
      <c r="B2013" s="138">
        <f>'Cap Outlay Deprec 26'!C16</f>
        <v>6585540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84207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25664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111469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3590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3590</v>
      </c>
      <c r="C2025" s="2" t="s">
        <v>573</v>
      </c>
      <c r="D2025" s="2" t="str">
        <f t="shared" si="30"/>
        <v>Error?</v>
      </c>
    </row>
    <row r="2026" spans="1:4" x14ac:dyDescent="0.2">
      <c r="A2026" s="5">
        <v>1965</v>
      </c>
      <c r="B2026" s="138">
        <f>'Cap Outlay Deprec 26'!F5</f>
        <v>31500</v>
      </c>
      <c r="C2026" s="2" t="s">
        <v>573</v>
      </c>
      <c r="D2026" s="2" t="str">
        <f t="shared" si="30"/>
        <v>Error?</v>
      </c>
    </row>
    <row r="2027" spans="1:4" x14ac:dyDescent="0.2">
      <c r="A2027" s="5">
        <v>1966</v>
      </c>
      <c r="B2027" s="138">
        <f>'Cap Outlay Deprec 26'!F8</f>
        <v>6200050</v>
      </c>
      <c r="C2027" s="2" t="s">
        <v>573</v>
      </c>
      <c r="D2027" s="2" t="str">
        <f t="shared" si="30"/>
        <v>Error?</v>
      </c>
    </row>
    <row r="2028" spans="1:4" x14ac:dyDescent="0.2">
      <c r="A2028" s="5">
        <v>1967</v>
      </c>
      <c r="B2028" s="138">
        <f>'Cap Outlay Deprec 26'!F10</f>
        <v>107377</v>
      </c>
      <c r="C2028" s="2" t="s">
        <v>573</v>
      </c>
      <c r="D2028" s="2" t="str">
        <f t="shared" si="30"/>
        <v>Error?</v>
      </c>
    </row>
    <row r="2029" spans="1:4" x14ac:dyDescent="0.2">
      <c r="A2029" s="5">
        <v>1968</v>
      </c>
      <c r="B2029" s="138">
        <f>'Cap Outlay Deprec 26'!F12</f>
        <v>155995</v>
      </c>
      <c r="C2029" s="2" t="s">
        <v>573</v>
      </c>
      <c r="D2029" s="2" t="str">
        <f t="shared" si="30"/>
        <v>Error?</v>
      </c>
    </row>
    <row r="2030" spans="1:4" x14ac:dyDescent="0.2">
      <c r="A2030" s="5">
        <v>1969</v>
      </c>
      <c r="B2030" s="138">
        <f>'Cap Outlay Deprec 26'!F13</f>
        <v>189598</v>
      </c>
      <c r="C2030" s="2" t="s">
        <v>573</v>
      </c>
      <c r="D2030" s="2" t="str">
        <f t="shared" si="30"/>
        <v>Error?</v>
      </c>
    </row>
    <row r="2031" spans="1:4" x14ac:dyDescent="0.2">
      <c r="A2031" s="5">
        <v>1970</v>
      </c>
      <c r="B2031" s="138">
        <f>'Cap Outlay Deprec 26'!F16</f>
        <v>6693419</v>
      </c>
      <c r="C2031" s="2" t="s">
        <v>573</v>
      </c>
      <c r="D2031" s="2" t="str">
        <f t="shared" si="30"/>
        <v>Error?</v>
      </c>
    </row>
    <row r="2032" spans="1:4" x14ac:dyDescent="0.2">
      <c r="A2032" s="10">
        <v>1971</v>
      </c>
      <c r="D2032" s="2" t="str">
        <f t="shared" si="30"/>
        <v>OK</v>
      </c>
    </row>
    <row r="2033" spans="1:4" x14ac:dyDescent="0.2">
      <c r="A2033" s="5">
        <v>1972</v>
      </c>
      <c r="B2033" s="138">
        <f>'Cap Outlay Deprec 26'!H8</f>
        <v>3085570</v>
      </c>
      <c r="D2033" s="2" t="str">
        <f t="shared" si="30"/>
        <v>Error?</v>
      </c>
    </row>
    <row r="2034" spans="1:4" x14ac:dyDescent="0.2">
      <c r="A2034" s="5">
        <v>1973</v>
      </c>
      <c r="B2034" s="138">
        <f>'Cap Outlay Deprec 26'!H10</f>
        <v>56825</v>
      </c>
      <c r="D2034" s="2" t="str">
        <f t="shared" si="30"/>
        <v>Error?</v>
      </c>
    </row>
    <row r="2035" spans="1:4" x14ac:dyDescent="0.2">
      <c r="A2035" s="5">
        <v>1974</v>
      </c>
      <c r="B2035" s="138">
        <f>'Cap Outlay Deprec 26'!H12</f>
        <v>88500</v>
      </c>
      <c r="D2035" s="2" t="str">
        <f t="shared" si="30"/>
        <v>Error?</v>
      </c>
    </row>
    <row r="2036" spans="1:4" x14ac:dyDescent="0.2">
      <c r="A2036" s="5">
        <v>1975</v>
      </c>
      <c r="B2036" s="138">
        <f>'Cap Outlay Deprec 26'!H13</f>
        <v>178798</v>
      </c>
      <c r="D2036" s="2" t="str">
        <f t="shared" si="30"/>
        <v>Error?</v>
      </c>
    </row>
    <row r="2037" spans="1:4" x14ac:dyDescent="0.2">
      <c r="A2037" s="5">
        <v>1976</v>
      </c>
      <c r="B2037" s="138">
        <f>'Cap Outlay Deprec 26'!H16</f>
        <v>3416645</v>
      </c>
      <c r="C2037" s="2" t="s">
        <v>573</v>
      </c>
      <c r="D2037" s="2" t="str">
        <f t="shared" si="30"/>
        <v>Error?</v>
      </c>
    </row>
    <row r="2038" spans="1:4" x14ac:dyDescent="0.2">
      <c r="A2038" s="10">
        <v>1977</v>
      </c>
      <c r="D2038" s="2" t="str">
        <f t="shared" si="30"/>
        <v>OK</v>
      </c>
    </row>
    <row r="2039" spans="1:4" x14ac:dyDescent="0.2">
      <c r="A2039" s="5">
        <v>1978</v>
      </c>
      <c r="B2039" s="138">
        <f>'Cap Outlay Deprec 26'!I8</f>
        <v>102419</v>
      </c>
      <c r="D2039" s="2" t="str">
        <f t="shared" si="30"/>
        <v>Error?</v>
      </c>
    </row>
    <row r="2040" spans="1:4" x14ac:dyDescent="0.2">
      <c r="A2040" s="5">
        <v>1979</v>
      </c>
      <c r="B2040" s="138">
        <f>'Cap Outlay Deprec 26'!I10</f>
        <v>3520</v>
      </c>
      <c r="D2040" s="2" t="str">
        <f t="shared" si="30"/>
        <v>Error?</v>
      </c>
    </row>
    <row r="2041" spans="1:4" x14ac:dyDescent="0.2">
      <c r="A2041" s="5">
        <v>1980</v>
      </c>
      <c r="B2041" s="138">
        <f>'Cap Outlay Deprec 26'!I12</f>
        <v>15596</v>
      </c>
      <c r="D2041" s="2" t="str">
        <f t="shared" si="30"/>
        <v>Error?</v>
      </c>
    </row>
    <row r="2042" spans="1:4" x14ac:dyDescent="0.2">
      <c r="A2042" s="5">
        <v>1981</v>
      </c>
      <c r="B2042" s="138">
        <f>'Cap Outlay Deprec 26'!I13</f>
        <v>10800</v>
      </c>
      <c r="D2042" s="2" t="str">
        <f t="shared" si="30"/>
        <v>Error?</v>
      </c>
    </row>
    <row r="2043" spans="1:4" x14ac:dyDescent="0.2">
      <c r="A2043" s="5">
        <v>1982</v>
      </c>
      <c r="B2043" s="138">
        <f>'Cap Outlay Deprec 26'!I16</f>
        <v>133217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3590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3590</v>
      </c>
      <c r="C2049" s="2" t="s">
        <v>573</v>
      </c>
      <c r="D2049" s="2" t="str">
        <f t="shared" si="31"/>
        <v>Error?</v>
      </c>
    </row>
    <row r="2050" spans="1:4" x14ac:dyDescent="0.2">
      <c r="A2050" s="10">
        <v>1989</v>
      </c>
      <c r="D2050" s="2" t="str">
        <f t="shared" si="31"/>
        <v>OK</v>
      </c>
    </row>
    <row r="2051" spans="1:4" x14ac:dyDescent="0.2">
      <c r="A2051" s="5">
        <v>1990</v>
      </c>
      <c r="B2051" s="138">
        <f>'Cap Outlay Deprec 26'!K8</f>
        <v>3187989</v>
      </c>
      <c r="C2051" s="2" t="s">
        <v>573</v>
      </c>
      <c r="D2051" s="2" t="str">
        <f t="shared" si="31"/>
        <v>Error?</v>
      </c>
    </row>
    <row r="2052" spans="1:4" x14ac:dyDescent="0.2">
      <c r="A2052" s="5">
        <v>1991</v>
      </c>
      <c r="B2052" s="138">
        <f>'Cap Outlay Deprec 26'!K10</f>
        <v>60345</v>
      </c>
      <c r="C2052" s="2" t="s">
        <v>573</v>
      </c>
      <c r="D2052" s="2" t="str">
        <f t="shared" si="31"/>
        <v>Error?</v>
      </c>
    </row>
    <row r="2053" spans="1:4" x14ac:dyDescent="0.2">
      <c r="A2053" s="5">
        <v>1992</v>
      </c>
      <c r="B2053" s="138">
        <f>'Cap Outlay Deprec 26'!K12</f>
        <v>100506</v>
      </c>
      <c r="C2053" s="2" t="s">
        <v>573</v>
      </c>
      <c r="D2053" s="2" t="str">
        <f t="shared" si="31"/>
        <v>Error?</v>
      </c>
    </row>
    <row r="2054" spans="1:4" x14ac:dyDescent="0.2">
      <c r="A2054" s="5">
        <v>1993</v>
      </c>
      <c r="B2054" s="138">
        <f>'Cap Outlay Deprec 26'!K13</f>
        <v>189598</v>
      </c>
      <c r="C2054" s="2" t="s">
        <v>573</v>
      </c>
      <c r="D2054" s="2" t="str">
        <f t="shared" si="31"/>
        <v>Error?</v>
      </c>
    </row>
    <row r="2055" spans="1:4" x14ac:dyDescent="0.2">
      <c r="A2055" s="5">
        <v>1994</v>
      </c>
      <c r="B2055" s="138">
        <f>'Cap Outlay Deprec 26'!K16</f>
        <v>3546272</v>
      </c>
      <c r="C2055" s="2" t="s">
        <v>573</v>
      </c>
      <c r="D2055" s="2" t="str">
        <f t="shared" si="31"/>
        <v>Error?</v>
      </c>
    </row>
    <row r="2056" spans="1:4" x14ac:dyDescent="0.2">
      <c r="A2056" s="5">
        <v>1995</v>
      </c>
      <c r="B2056" s="138">
        <f>'Cap Outlay Deprec 26'!L5</f>
        <v>31500</v>
      </c>
      <c r="C2056" s="2" t="s">
        <v>573</v>
      </c>
      <c r="D2056" s="2" t="str">
        <f t="shared" si="31"/>
        <v>Error?</v>
      </c>
    </row>
    <row r="2057" spans="1:4" x14ac:dyDescent="0.2">
      <c r="A2057" s="5">
        <v>1996</v>
      </c>
      <c r="B2057" s="138">
        <f>'Cap Outlay Deprec 26'!L8</f>
        <v>3012061</v>
      </c>
      <c r="C2057" s="2" t="s">
        <v>573</v>
      </c>
      <c r="D2057" s="2" t="str">
        <f t="shared" si="31"/>
        <v>Error?</v>
      </c>
    </row>
    <row r="2058" spans="1:4" x14ac:dyDescent="0.2">
      <c r="A2058" s="5">
        <v>1997</v>
      </c>
      <c r="B2058" s="138">
        <f>'Cap Outlay Deprec 26'!L10</f>
        <v>47032</v>
      </c>
      <c r="C2058" s="2" t="s">
        <v>573</v>
      </c>
      <c r="D2058" s="2" t="str">
        <f t="shared" si="31"/>
        <v>Error?</v>
      </c>
    </row>
    <row r="2059" spans="1:4" x14ac:dyDescent="0.2">
      <c r="A2059" s="5">
        <v>1998</v>
      </c>
      <c r="B2059" s="138">
        <f>'Cap Outlay Deprec 26'!L12</f>
        <v>55489</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3147147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28267</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135325</v>
      </c>
      <c r="C2088" s="2" t="s">
        <v>573</v>
      </c>
      <c r="D2088" s="2" t="str">
        <f t="shared" si="31"/>
        <v>Error?</v>
      </c>
    </row>
    <row r="2089" spans="1:4" x14ac:dyDescent="0.2">
      <c r="A2089" s="5">
        <v>2028</v>
      </c>
      <c r="B2089" s="138">
        <f>'Expenditures 15-22'!K92</f>
        <v>45106</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43634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70570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1465060</v>
      </c>
      <c r="C2551" s="2" t="s">
        <v>573</v>
      </c>
      <c r="D2551" s="2" t="str">
        <f t="shared" si="38"/>
        <v>Error?</v>
      </c>
    </row>
    <row r="2552" spans="1:4" x14ac:dyDescent="0.2">
      <c r="A2552" s="10">
        <v>2491</v>
      </c>
      <c r="D2552" s="2" t="str">
        <f t="shared" si="38"/>
        <v>OK</v>
      </c>
    </row>
    <row r="2553" spans="1:4" x14ac:dyDescent="0.2">
      <c r="A2553" s="5">
        <v>2492</v>
      </c>
      <c r="B2553" s="138">
        <f>'Acct Summary 7-8'!C6</f>
        <v>1227934</v>
      </c>
      <c r="C2553" s="2" t="s">
        <v>573</v>
      </c>
      <c r="D2553" s="2" t="str">
        <f t="shared" si="38"/>
        <v>Error?</v>
      </c>
    </row>
    <row r="2554" spans="1:4" x14ac:dyDescent="0.2">
      <c r="A2554" s="5">
        <v>2493</v>
      </c>
      <c r="B2554" s="138">
        <f>'Acct Summary 7-8'!C7</f>
        <v>197757</v>
      </c>
      <c r="C2554" s="2" t="s">
        <v>573</v>
      </c>
      <c r="D2554" s="2" t="str">
        <f t="shared" si="38"/>
        <v>Error?</v>
      </c>
    </row>
    <row r="2555" spans="1:4" x14ac:dyDescent="0.2">
      <c r="A2555" s="5">
        <v>2494</v>
      </c>
      <c r="B2555" s="138">
        <f>'Acct Summary 7-8'!C8</f>
        <v>2890751</v>
      </c>
      <c r="C2555" s="2" t="s">
        <v>573</v>
      </c>
      <c r="D2555" s="2" t="str">
        <f t="shared" si="38"/>
        <v>Error?</v>
      </c>
    </row>
    <row r="2556" spans="1:4" x14ac:dyDescent="0.2">
      <c r="A2556" s="5">
        <v>2495</v>
      </c>
      <c r="B2556" s="138">
        <f>'Acct Summary 7-8'!C12</f>
        <v>1818671</v>
      </c>
      <c r="C2556" s="2" t="s">
        <v>573</v>
      </c>
      <c r="D2556" s="2" t="str">
        <f t="shared" si="38"/>
        <v>Error?</v>
      </c>
    </row>
    <row r="2557" spans="1:4" x14ac:dyDescent="0.2">
      <c r="A2557" s="5">
        <v>2496</v>
      </c>
      <c r="B2557" s="138">
        <f>'Acct Summary 7-8'!C13</f>
        <v>785996</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180431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2785098</v>
      </c>
      <c r="C2561" s="2" t="s">
        <v>573</v>
      </c>
      <c r="D2561" s="2" t="str">
        <f t="shared" si="39"/>
        <v>Error?</v>
      </c>
    </row>
    <row r="2562" spans="1:4" x14ac:dyDescent="0.2">
      <c r="A2562" s="5">
        <v>2501</v>
      </c>
      <c r="B2562" s="138">
        <f>'Acct Summary 7-8'!C20</f>
        <v>105653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525295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525295</v>
      </c>
      <c r="C2568" s="2" t="s">
        <v>573</v>
      </c>
      <c r="D2568" s="2" t="str">
        <f t="shared" si="39"/>
        <v>Error?</v>
      </c>
    </row>
    <row r="2569" spans="1:4" x14ac:dyDescent="0.2">
      <c r="A2569" s="5">
        <v>2508</v>
      </c>
      <c r="B2569" s="138">
        <f>'Acct Summary 7-8'!D13</f>
        <v>295619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295619</v>
      </c>
      <c r="C2573" s="2" t="s">
        <v>573</v>
      </c>
      <c r="D2573" s="2" t="str">
        <f t="shared" si="39"/>
        <v>Error?</v>
      </c>
    </row>
    <row r="2574" spans="1:4" x14ac:dyDescent="0.2">
      <c r="A2574" s="5">
        <v>2513</v>
      </c>
      <c r="B2574" s="138">
        <f>'Acct Summary 7-8'!D20</f>
        <v>229676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151055</v>
      </c>
      <c r="C2591" s="2" t="s">
        <v>573</v>
      </c>
      <c r="D2591" s="2" t="str">
        <f t="shared" si="39"/>
        <v>Error?</v>
      </c>
    </row>
    <row r="2592" spans="1:4" x14ac:dyDescent="0.2">
      <c r="A2592" s="10">
        <v>2531</v>
      </c>
      <c r="D2592" s="2" t="str">
        <f t="shared" si="39"/>
        <v>OK</v>
      </c>
    </row>
    <row r="2593" spans="1:4" x14ac:dyDescent="0.2">
      <c r="A2593" s="5">
        <v>2532</v>
      </c>
      <c r="B2593" s="138">
        <f>'Acct Summary 7-8'!F6</f>
        <v>92581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243636</v>
      </c>
      <c r="C2595" s="2" t="s">
        <v>573</v>
      </c>
      <c r="D2595" s="2" t="str">
        <f t="shared" si="39"/>
        <v>Error?</v>
      </c>
    </row>
    <row r="2596" spans="1:4" x14ac:dyDescent="0.2">
      <c r="A2596" s="5">
        <v>2535</v>
      </c>
      <c r="B2596" s="138">
        <f>'Acct Summary 7-8'!F13</f>
        <v>222696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222696</v>
      </c>
      <c r="C2600" s="2" t="s">
        <v>573</v>
      </c>
      <c r="D2600" s="2" t="str">
        <f t="shared" si="39"/>
        <v>Error?</v>
      </c>
    </row>
    <row r="2601" spans="1:4" x14ac:dyDescent="0.2">
      <c r="A2601" s="5">
        <v>2540</v>
      </c>
      <c r="B2601" s="138">
        <f>'Acct Summary 7-8'!F20</f>
        <v>20940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163312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163312</v>
      </c>
      <c r="C2606" s="2" t="s">
        <v>573</v>
      </c>
      <c r="D2606" s="2" t="str">
        <f t="shared" si="39"/>
        <v>Error?</v>
      </c>
    </row>
    <row r="2607" spans="1:4" x14ac:dyDescent="0.2">
      <c r="A2607" s="5">
        <v>2546</v>
      </c>
      <c r="B2607" s="138">
        <f>'Acct Summary 7-8'!G12</f>
        <v>40444</v>
      </c>
      <c r="C2607" s="2" t="s">
        <v>573</v>
      </c>
      <c r="D2607" s="2" t="str">
        <f t="shared" si="39"/>
        <v>Error?</v>
      </c>
    </row>
    <row r="2608" spans="1:4" x14ac:dyDescent="0.2">
      <c r="A2608" s="5">
        <v>2547</v>
      </c>
      <c r="B2608" s="138">
        <f>'Acct Summary 7-8'!G13</f>
        <v>90898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131342</v>
      </c>
      <c r="C2612" s="2" t="s">
        <v>573</v>
      </c>
      <c r="D2612" s="2" t="str">
        <f t="shared" si="39"/>
        <v>Error?</v>
      </c>
    </row>
    <row r="2613" spans="1:4" x14ac:dyDescent="0.2">
      <c r="A2613" s="5">
        <v>2552</v>
      </c>
      <c r="B2613" s="138">
        <f>'Acct Summary 7-8'!G20</f>
        <v>31970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130799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130799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128781</v>
      </c>
      <c r="C2634" s="2" t="s">
        <v>573</v>
      </c>
      <c r="D2634" s="2" t="str">
        <f t="shared" si="40"/>
        <v>Error?</v>
      </c>
    </row>
    <row r="2635" spans="1:4" x14ac:dyDescent="0.2">
      <c r="A2635" s="5">
        <v>2574</v>
      </c>
      <c r="B2635" s="138">
        <f>'Acct Summary 7-8'!E17</f>
        <v>128781</v>
      </c>
      <c r="C2635" s="2" t="s">
        <v>573</v>
      </c>
      <c r="D2635" s="2" t="str">
        <f t="shared" si="40"/>
        <v>Error?</v>
      </c>
    </row>
    <row r="2636" spans="1:4" x14ac:dyDescent="0.2">
      <c r="A2636" s="5">
        <v>2575</v>
      </c>
      <c r="B2636" s="138">
        <f>'Acct Summary 7-8'!E20</f>
        <v>2018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107058</v>
      </c>
      <c r="C2789" s="2" t="s">
        <v>573</v>
      </c>
      <c r="D2789" s="2" t="str">
        <f t="shared" si="42"/>
        <v>Error?</v>
      </c>
    </row>
    <row r="2790" spans="1:4" x14ac:dyDescent="0.2">
      <c r="A2790" s="5">
        <v>2729</v>
      </c>
      <c r="B2790" s="138">
        <f>'Expenditures 15-22'!E102</f>
        <v>107058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904934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966746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15490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60885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966746</v>
      </c>
      <c r="D2912" s="2" t="str">
        <f t="shared" si="44"/>
        <v>Error?</v>
      </c>
    </row>
    <row r="2913" spans="1:4" x14ac:dyDescent="0.2">
      <c r="A2913" s="5">
        <v>2852</v>
      </c>
      <c r="B2913" s="138">
        <f>'Assets-Liab 5-6'!I41</f>
        <v>966746</v>
      </c>
      <c r="C2913" s="2" t="s">
        <v>573</v>
      </c>
      <c r="D2913" s="2" t="str">
        <f t="shared" si="44"/>
        <v>Error?</v>
      </c>
    </row>
    <row r="2914" spans="1:4" x14ac:dyDescent="0.2">
      <c r="A2914" s="5">
        <v>2853</v>
      </c>
      <c r="B2914" s="138">
        <f>'Assets-Liab 5-6'!L33</f>
        <v>42430</v>
      </c>
      <c r="D2914" s="2" t="str">
        <f t="shared" si="44"/>
        <v>Error?</v>
      </c>
    </row>
    <row r="2915" spans="1:4" x14ac:dyDescent="0.2">
      <c r="A2915" s="10">
        <v>2854</v>
      </c>
      <c r="D2915" s="2" t="str">
        <f t="shared" si="44"/>
        <v>OK</v>
      </c>
    </row>
    <row r="2916" spans="1:4" x14ac:dyDescent="0.2">
      <c r="A2916" s="5">
        <v>2855</v>
      </c>
      <c r="B2916" s="138">
        <f>'Assets-Liab 5-6'!L34</f>
        <v>42430</v>
      </c>
      <c r="C2916" s="2" t="s">
        <v>573</v>
      </c>
      <c r="D2916" s="2" t="str">
        <f t="shared" si="44"/>
        <v>Error?</v>
      </c>
    </row>
    <row r="2917" spans="1:4" x14ac:dyDescent="0.2">
      <c r="A2917" s="5">
        <v>2856</v>
      </c>
      <c r="B2917" s="138">
        <f>'Assets-Liab 5-6'!L41</f>
        <v>60885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69254</v>
      </c>
      <c r="D2949" s="2" t="str">
        <f t="shared" si="45"/>
        <v>Error?</v>
      </c>
    </row>
    <row r="2950" spans="1:4" x14ac:dyDescent="0.2">
      <c r="A2950" s="5">
        <v>2889</v>
      </c>
      <c r="B2950" s="138">
        <f>'Expenditures 15-22'!E79</f>
        <v>37804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28267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69254</v>
      </c>
      <c r="C2973" s="2" t="s">
        <v>573</v>
      </c>
      <c r="D2973" s="2" t="str">
        <f t="shared" si="45"/>
        <v>Error?</v>
      </c>
    </row>
    <row r="2974" spans="1:4" x14ac:dyDescent="0.2">
      <c r="A2974" s="5">
        <v>2913</v>
      </c>
      <c r="B2974" s="138">
        <f>'Expenditures 15-22'!K79</f>
        <v>66071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38811</v>
      </c>
      <c r="D3055" s="2" t="str">
        <f t="shared" si="46"/>
        <v>Error?</v>
      </c>
    </row>
    <row r="3056" spans="1:4" x14ac:dyDescent="0.2">
      <c r="A3056" s="5">
        <v>2995</v>
      </c>
      <c r="B3056" s="138">
        <f>'Expenditures 15-22'!D10</f>
        <v>10816</v>
      </c>
      <c r="D3056" s="2" t="str">
        <f t="shared" si="46"/>
        <v>Error?</v>
      </c>
    </row>
    <row r="3057" spans="1:4" x14ac:dyDescent="0.2">
      <c r="A3057" s="5">
        <v>2996</v>
      </c>
      <c r="B3057" s="138">
        <f>'Expenditures 15-22'!E10</f>
        <v>31251</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80878</v>
      </c>
      <c r="C3062" s="2" t="s">
        <v>573</v>
      </c>
      <c r="D3062" s="2" t="str">
        <f t="shared" si="46"/>
        <v>Error?</v>
      </c>
    </row>
    <row r="3063" spans="1:4" x14ac:dyDescent="0.2">
      <c r="A3063" s="10">
        <v>3002</v>
      </c>
      <c r="D3063" s="2" t="str">
        <f t="shared" si="46"/>
        <v>OK</v>
      </c>
    </row>
    <row r="3064" spans="1:4" x14ac:dyDescent="0.2">
      <c r="A3064" s="5">
        <v>3003</v>
      </c>
      <c r="B3064" s="138">
        <f>'Expenditures 15-22'!D219</f>
        <v>898</v>
      </c>
      <c r="D3064" s="2" t="str">
        <f t="shared" si="46"/>
        <v>Error?</v>
      </c>
    </row>
    <row r="3065" spans="1:4" x14ac:dyDescent="0.2">
      <c r="A3065" s="5">
        <v>3004</v>
      </c>
      <c r="B3065" s="138">
        <f>'Expenditures 15-22'!K219</f>
        <v>898</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18455</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61812</v>
      </c>
      <c r="C3225" s="2" t="s">
        <v>573</v>
      </c>
      <c r="D3225" s="2" t="str">
        <f t="shared" si="49"/>
        <v>Error?</v>
      </c>
    </row>
    <row r="3226" spans="1:4" x14ac:dyDescent="0.2">
      <c r="A3226" s="5">
        <v>3165</v>
      </c>
      <c r="B3226" s="138">
        <f>'Acct Summary 7-8'!I8</f>
        <v>61812</v>
      </c>
      <c r="C3226" s="2" t="s">
        <v>573</v>
      </c>
      <c r="D3226" s="2" t="str">
        <f t="shared" si="49"/>
        <v>Error?</v>
      </c>
    </row>
    <row r="3227" spans="1:4" x14ac:dyDescent="0.2">
      <c r="A3227" s="5">
        <v>3166</v>
      </c>
      <c r="B3227" s="138">
        <f>'Acct Summary 7-8'!I20</f>
        <v>61812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105653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229676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20940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31970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2018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61812</v>
      </c>
      <c r="C3320" s="2" t="s">
        <v>573</v>
      </c>
      <c r="D3320" s="2" t="str">
        <f t="shared" si="50"/>
        <v>Error?</v>
      </c>
    </row>
    <row r="3321" spans="1:4" x14ac:dyDescent="0.2">
      <c r="A3321" s="5">
        <v>3260</v>
      </c>
      <c r="B3321" s="138">
        <f>'Acct Summary 7-8'!I79</f>
        <v>904934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966746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283282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53195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883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337376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15622</v>
      </c>
      <c r="D3387" s="2" t="str">
        <f t="shared" si="51"/>
        <v>Error?</v>
      </c>
    </row>
    <row r="3388" spans="1:4" x14ac:dyDescent="0.2">
      <c r="A3388" s="5">
        <v>3327</v>
      </c>
      <c r="B3388" s="138">
        <f>'Expenditures 15-22'!D217</f>
        <v>19981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15622</v>
      </c>
      <c r="C3390" s="2" t="s">
        <v>573</v>
      </c>
      <c r="D3390" s="2" t="str">
        <f t="shared" si="51"/>
        <v>Error?</v>
      </c>
    </row>
    <row r="3391" spans="1:4" x14ac:dyDescent="0.2">
      <c r="A3391" s="5">
        <v>3330</v>
      </c>
      <c r="B3391" s="138">
        <f>'Expenditures 15-22'!K217</f>
        <v>19981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539189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1353626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5522</v>
      </c>
      <c r="D3417" s="2" t="str">
        <f t="shared" si="52"/>
        <v>Error?</v>
      </c>
    </row>
    <row r="3418" spans="1:4" x14ac:dyDescent="0.2">
      <c r="A3418" s="10">
        <v>3357</v>
      </c>
      <c r="D3418" s="2" t="str">
        <f t="shared" si="52"/>
        <v>OK</v>
      </c>
    </row>
    <row r="3419" spans="1:4" x14ac:dyDescent="0.2">
      <c r="A3419" s="5">
        <v>3358</v>
      </c>
      <c r="B3419" s="138">
        <f>'Assets-Liab 5-6'!F4</f>
        <v>285277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112219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61812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45395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77356</v>
      </c>
      <c r="C3446" s="2" t="s">
        <v>573</v>
      </c>
      <c r="D3446" s="2" t="str">
        <f t="shared" si="52"/>
        <v>Error?</v>
      </c>
    </row>
    <row r="3447" spans="1:4" x14ac:dyDescent="0.2">
      <c r="A3447" s="5">
        <v>3386</v>
      </c>
      <c r="B3447" s="138">
        <f>'Tax Sched 23'!D16</f>
        <v>77356</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50004</v>
      </c>
      <c r="C3449" s="2" t="s">
        <v>573</v>
      </c>
      <c r="D3449" s="2" t="str">
        <f t="shared" si="52"/>
        <v>Error?</v>
      </c>
    </row>
    <row r="3450" spans="1:4" x14ac:dyDescent="0.2">
      <c r="A3450" s="5">
        <v>3389</v>
      </c>
      <c r="B3450" s="138">
        <f>'Tax Sched 23'!E16</f>
        <v>50004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29443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249941</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279384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279384</v>
      </c>
      <c r="D3567" s="2" t="str">
        <f t="shared" si="54"/>
        <v>Error?</v>
      </c>
    </row>
    <row r="3568" spans="1:4" x14ac:dyDescent="0.2">
      <c r="A3568" s="5">
        <v>3507</v>
      </c>
      <c r="B3568" s="138">
        <f>'Assets-Liab 5-6'!K41</f>
        <v>279384</v>
      </c>
      <c r="C3568" s="2" t="s">
        <v>573</v>
      </c>
      <c r="D3568" s="2" t="str">
        <f t="shared" si="54"/>
        <v>Error?</v>
      </c>
    </row>
    <row r="3569" spans="1:4" x14ac:dyDescent="0.2">
      <c r="A3569" s="5">
        <v>3508</v>
      </c>
      <c r="B3569" s="138">
        <f>'Acct Summary 7-8'!K4</f>
        <v>46639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46639</v>
      </c>
      <c r="C3571" s="2" t="s">
        <v>573</v>
      </c>
      <c r="D3571" s="2" t="str">
        <f t="shared" si="54"/>
        <v>Error?</v>
      </c>
    </row>
    <row r="3572" spans="1:4" x14ac:dyDescent="0.2">
      <c r="A3572" s="5">
        <v>3511</v>
      </c>
      <c r="B3572" s="138">
        <f>'Acct Summary 7-8'!K13</f>
        <v>107100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107100</v>
      </c>
      <c r="C3575" s="2" t="s">
        <v>573</v>
      </c>
      <c r="D3575" s="2" t="str">
        <f t="shared" si="54"/>
        <v>Error?</v>
      </c>
    </row>
    <row r="3576" spans="1:4" x14ac:dyDescent="0.2">
      <c r="A3576" s="5">
        <v>3515</v>
      </c>
      <c r="B3576" s="138">
        <f>'Acct Summary 7-8'!K20</f>
        <v>-60461</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-60461</v>
      </c>
      <c r="C3588" s="2" t="s">
        <v>573</v>
      </c>
      <c r="D3588" s="2" t="str">
        <f t="shared" si="55"/>
        <v>Error?</v>
      </c>
    </row>
    <row r="3589" spans="1:4" x14ac:dyDescent="0.2">
      <c r="A3589" s="5">
        <v>3528</v>
      </c>
      <c r="B3589" s="138">
        <f>'Acct Summary 7-8'!K79</f>
        <v>339845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279384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19682</v>
      </c>
      <c r="D3632" s="2" t="str">
        <f t="shared" si="55"/>
        <v>Error?</v>
      </c>
    </row>
    <row r="3633" spans="1:4" x14ac:dyDescent="0.2">
      <c r="A3633" s="5">
        <v>3572</v>
      </c>
      <c r="B3633" s="138">
        <f>'Expenditures 15-22'!E350</f>
        <v>19682</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19682</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3211</v>
      </c>
      <c r="D3639" s="2" t="str">
        <f t="shared" si="55"/>
        <v>Error?</v>
      </c>
    </row>
    <row r="3640" spans="1:4" x14ac:dyDescent="0.2">
      <c r="A3640" s="5">
        <v>3579</v>
      </c>
      <c r="B3640" s="138">
        <f>'Expenditures 15-22'!F350</f>
        <v>3211</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3211</v>
      </c>
      <c r="C3642" s="2" t="s">
        <v>573</v>
      </c>
      <c r="D3642" s="2" t="str">
        <f t="shared" si="55"/>
        <v>Error?</v>
      </c>
    </row>
    <row r="3643" spans="1:4" x14ac:dyDescent="0.2">
      <c r="A3643" s="5">
        <v>3582</v>
      </c>
      <c r="B3643" s="138">
        <f>'Expenditures 15-22'!F367</f>
        <v>3211</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84207</v>
      </c>
      <c r="D3646" s="2" t="str">
        <f t="shared" si="55"/>
        <v>Error?</v>
      </c>
    </row>
    <row r="3647" spans="1:4" x14ac:dyDescent="0.2">
      <c r="A3647" s="5">
        <v>3586</v>
      </c>
      <c r="B3647" s="138">
        <f>'Expenditures 15-22'!G350</f>
        <v>84207</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84207</v>
      </c>
      <c r="C3649" s="2" t="s">
        <v>573</v>
      </c>
      <c r="D3649" s="2" t="str">
        <f t="shared" si="56"/>
        <v>Error?</v>
      </c>
    </row>
    <row r="3650" spans="1:4" x14ac:dyDescent="0.2">
      <c r="A3650" s="5">
        <v>3589</v>
      </c>
      <c r="B3650" s="138">
        <f>'Expenditures 15-22'!G367</f>
        <v>84207</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107100</v>
      </c>
      <c r="C3669" s="2" t="s">
        <v>573</v>
      </c>
      <c r="D3669" s="2" t="str">
        <f t="shared" si="56"/>
        <v>Error?</v>
      </c>
    </row>
    <row r="3670" spans="1:4" x14ac:dyDescent="0.2">
      <c r="A3670" s="5">
        <v>3609</v>
      </c>
      <c r="B3670" s="138">
        <f>'Expenditures 15-22'!K350</f>
        <v>107100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107100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107100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-60461</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14971</v>
      </c>
      <c r="C3725" s="2" t="s">
        <v>573</v>
      </c>
      <c r="D3725" s="2" t="str">
        <f t="shared" si="57"/>
        <v>Error?</v>
      </c>
    </row>
    <row r="3726" spans="1:4" x14ac:dyDescent="0.2">
      <c r="A3726" s="5">
        <v>3665</v>
      </c>
      <c r="B3726" s="138">
        <f>'Tax Sched 23'!D13</f>
        <v>14971</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15005</v>
      </c>
      <c r="C3728" s="2" t="s">
        <v>573</v>
      </c>
      <c r="D3728" s="2" t="str">
        <f t="shared" si="57"/>
        <v>Error?</v>
      </c>
    </row>
    <row r="3729" spans="1:4" x14ac:dyDescent="0.2">
      <c r="A3729" s="5">
        <v>3668</v>
      </c>
      <c r="B3729" s="138">
        <f>'Tax Sched 23'!E13</f>
        <v>15005</v>
      </c>
      <c r="D3729" s="2" t="str">
        <f t="shared" si="57"/>
        <v>Error?</v>
      </c>
    </row>
    <row r="3730" spans="1:4" x14ac:dyDescent="0.2">
      <c r="A3730" s="5">
        <v>3669</v>
      </c>
      <c r="B3730" s="138">
        <f>'ICR Computation 30'!E10</f>
        <v>105905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1099589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3990340</v>
      </c>
      <c r="C4122" s="2" t="s">
        <v>573</v>
      </c>
      <c r="D4122" s="2" t="str">
        <f t="shared" si="63"/>
        <v>Error?</v>
      </c>
    </row>
    <row r="4123" spans="1:4" x14ac:dyDescent="0.2">
      <c r="A4123" s="5">
        <v>4062</v>
      </c>
      <c r="B4123" s="138">
        <f>'Acct Summary 7-8'!D10</f>
        <v>525295</v>
      </c>
      <c r="C4123" s="2" t="s">
        <v>573</v>
      </c>
      <c r="D4123" s="2" t="str">
        <f t="shared" si="63"/>
        <v>Error?</v>
      </c>
    </row>
    <row r="4124" spans="1:4" x14ac:dyDescent="0.2">
      <c r="A4124" s="5">
        <v>4063</v>
      </c>
      <c r="B4124" s="138">
        <f>'Acct Summary 7-8'!E10</f>
        <v>130799</v>
      </c>
      <c r="C4124" s="2" t="s">
        <v>573</v>
      </c>
      <c r="D4124" s="2" t="str">
        <f t="shared" si="63"/>
        <v>Error?</v>
      </c>
    </row>
    <row r="4125" spans="1:4" x14ac:dyDescent="0.2">
      <c r="A4125" s="5">
        <v>4064</v>
      </c>
      <c r="B4125" s="138">
        <f>'Acct Summary 7-8'!F10</f>
        <v>243636</v>
      </c>
      <c r="C4125" s="2" t="s">
        <v>573</v>
      </c>
      <c r="D4125" s="2" t="str">
        <f t="shared" si="63"/>
        <v>Error?</v>
      </c>
    </row>
    <row r="4126" spans="1:4" x14ac:dyDescent="0.2">
      <c r="A4126" s="5">
        <v>4065</v>
      </c>
      <c r="B4126" s="138">
        <f>'Acct Summary 7-8'!G10</f>
        <v>163312</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61812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46639</v>
      </c>
      <c r="C4130" s="2" t="s">
        <v>573</v>
      </c>
      <c r="D4130" s="2" t="str">
        <f t="shared" si="63"/>
        <v>Error?</v>
      </c>
    </row>
    <row r="4131" spans="1:4" x14ac:dyDescent="0.2">
      <c r="A4131" s="5">
        <v>4070</v>
      </c>
      <c r="B4131" s="138">
        <f>'Acct Summary 7-8'!C18</f>
        <v>1099589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3884687</v>
      </c>
      <c r="C4136" s="2" t="s">
        <v>573</v>
      </c>
      <c r="D4136" s="2" t="str">
        <f t="shared" si="63"/>
        <v>Error?</v>
      </c>
    </row>
    <row r="4137" spans="1:4" x14ac:dyDescent="0.2">
      <c r="A4137" s="5">
        <v>4076</v>
      </c>
      <c r="B4137" s="138">
        <f>'Acct Summary 7-8'!D19</f>
        <v>295619</v>
      </c>
      <c r="C4137" s="2" t="s">
        <v>573</v>
      </c>
      <c r="D4137" s="2" t="str">
        <f t="shared" si="63"/>
        <v>Error?</v>
      </c>
    </row>
    <row r="4138" spans="1:4" x14ac:dyDescent="0.2">
      <c r="A4138" s="5">
        <v>4077</v>
      </c>
      <c r="B4138" s="138">
        <f>'Acct Summary 7-8'!E19</f>
        <v>128781</v>
      </c>
      <c r="C4138" s="2" t="s">
        <v>573</v>
      </c>
      <c r="D4138" s="2" t="str">
        <f t="shared" si="63"/>
        <v>Error?</v>
      </c>
    </row>
    <row r="4139" spans="1:4" x14ac:dyDescent="0.2">
      <c r="A4139" s="5">
        <v>4078</v>
      </c>
      <c r="B4139" s="138">
        <f>'Acct Summary 7-8'!F19</f>
        <v>222696</v>
      </c>
      <c r="C4139" s="2" t="s">
        <v>573</v>
      </c>
      <c r="D4139" s="2" t="str">
        <f t="shared" si="63"/>
        <v>Error?</v>
      </c>
    </row>
    <row r="4140" spans="1:4" x14ac:dyDescent="0.2">
      <c r="A4140" s="5">
        <v>4079</v>
      </c>
      <c r="B4140" s="138">
        <f>'Acct Summary 7-8'!G19</f>
        <v>131342</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107100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-5522</v>
      </c>
      <c r="C4172" s="2" t="s">
        <v>573</v>
      </c>
      <c r="D4172" s="2" t="str">
        <f t="shared" si="64"/>
        <v>Error?</v>
      </c>
    </row>
    <row r="4173" spans="1:4" x14ac:dyDescent="0.2">
      <c r="A4173" s="5">
        <v>4112</v>
      </c>
      <c r="B4173" s="138">
        <f>'Short-Term Long-Term Debt 24'!H49</f>
        <v>125000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1470</v>
      </c>
      <c r="C4265" s="2" t="s">
        <v>573</v>
      </c>
      <c r="D4265" s="2" t="str">
        <f t="shared" si="65"/>
        <v>Error?</v>
      </c>
      <c r="E4265" s="128"/>
    </row>
    <row r="4266" spans="1:5" x14ac:dyDescent="0.2">
      <c r="A4266" s="12">
        <v>4205</v>
      </c>
      <c r="B4266" s="138">
        <f>('FP Info 3'!F10)*100000</f>
        <v>400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1990</v>
      </c>
      <c r="C4268" s="2" t="s">
        <v>573</v>
      </c>
      <c r="D4268" s="2" t="str">
        <f t="shared" si="65"/>
        <v>Error?</v>
      </c>
    </row>
    <row r="4269" spans="1:5" x14ac:dyDescent="0.2">
      <c r="A4269" s="12">
        <v>4208</v>
      </c>
      <c r="B4269" s="138">
        <f>'FP Info 3'!J16</f>
        <v>4972319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8688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8273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83689299</v>
      </c>
      <c r="D4995" s="2" t="str">
        <f t="shared" si="77"/>
        <v>Error?</v>
      </c>
    </row>
    <row r="4996" spans="1:4" x14ac:dyDescent="0.2">
      <c r="A4996" s="12">
        <v>4935</v>
      </c>
      <c r="B4996" s="138">
        <f>'FP Info 3'!H31</f>
        <v>5774561.6310000001</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14971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1185107</v>
      </c>
      <c r="D5061" s="2" t="str">
        <f t="shared" si="78"/>
        <v>Error?</v>
      </c>
    </row>
    <row r="5062" spans="1:4" x14ac:dyDescent="0.2">
      <c r="A5062" s="10">
        <v>5001</v>
      </c>
      <c r="D5062" s="2" t="str">
        <f t="shared" si="78"/>
        <v>OK</v>
      </c>
    </row>
    <row r="5063" spans="1:4" x14ac:dyDescent="0.2">
      <c r="A5063" s="5">
        <v>5002</v>
      </c>
      <c r="B5063" s="138">
        <f>'Revenues 9-14'!C7</f>
        <v>16124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1216202</v>
      </c>
      <c r="C5066" s="2" t="s">
        <v>573</v>
      </c>
      <c r="D5066" s="2" t="str">
        <f t="shared" si="78"/>
        <v>Error?</v>
      </c>
    </row>
    <row r="5067" spans="1:4" x14ac:dyDescent="0.2">
      <c r="A5067" s="5">
        <v>5006</v>
      </c>
      <c r="B5067" s="138">
        <f>'Revenues 9-14'!C14</f>
        <v>330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77885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78215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5824</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5824</v>
      </c>
      <c r="C5087" s="2" t="s">
        <v>573</v>
      </c>
      <c r="D5087" s="2" t="str">
        <f t="shared" si="78"/>
        <v>Error?</v>
      </c>
    </row>
    <row r="5088" spans="1:4" x14ac:dyDescent="0.2">
      <c r="A5088" s="5">
        <v>5027</v>
      </c>
      <c r="B5088" s="138">
        <f>'Revenues 9-14'!C65</f>
        <v>19407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19407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2677</v>
      </c>
      <c r="D5094" s="2" t="str">
        <f t="shared" si="78"/>
        <v>Error?</v>
      </c>
    </row>
    <row r="5095" spans="1:4" x14ac:dyDescent="0.2">
      <c r="A5095" s="5">
        <v>5034</v>
      </c>
      <c r="B5095" s="138">
        <f>'Revenues 9-14'!C74</f>
        <v>5010</v>
      </c>
      <c r="D5095" s="2" t="str">
        <f t="shared" si="78"/>
        <v>Error?</v>
      </c>
    </row>
    <row r="5096" spans="1:4" x14ac:dyDescent="0.2">
      <c r="A5096" s="5">
        <v>5035</v>
      </c>
      <c r="B5096" s="138">
        <f>'Revenues 9-14'!C75</f>
        <v>62749</v>
      </c>
      <c r="C5096" s="2" t="s">
        <v>573</v>
      </c>
      <c r="D5096" s="2" t="str">
        <f t="shared" si="78"/>
        <v>Error?</v>
      </c>
    </row>
    <row r="5097" spans="1:4" x14ac:dyDescent="0.2">
      <c r="A5097" s="5">
        <v>5036</v>
      </c>
      <c r="B5097" s="138">
        <f>'Revenues 9-14'!C77</f>
        <v>5249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5249</v>
      </c>
      <c r="C5102" s="2" t="s">
        <v>573</v>
      </c>
      <c r="D5102" s="2" t="str">
        <f t="shared" si="78"/>
        <v>Error?</v>
      </c>
    </row>
    <row r="5103" spans="1:4" x14ac:dyDescent="0.2">
      <c r="A5103" s="5">
        <v>5042</v>
      </c>
      <c r="B5103" s="138">
        <f>'Revenues 9-14'!C84</f>
        <v>14625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14625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399</v>
      </c>
      <c r="D5114" s="2" t="str">
        <f t="shared" si="78"/>
        <v>Error?</v>
      </c>
    </row>
    <row r="5115" spans="1:4" x14ac:dyDescent="0.2">
      <c r="A5115" s="5">
        <v>5054</v>
      </c>
      <c r="B5115" s="138">
        <f>'Revenues 9-14'!C98</f>
        <v>60308</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2082</v>
      </c>
      <c r="D5119" s="2" t="str">
        <f t="shared" ref="D5119:D5182" si="79">IF(ISBLANK(B5119),"OK",IF(A5119-B5119=0,"OK","Error?"))</f>
        <v>Error?</v>
      </c>
    </row>
    <row r="5120" spans="1:4" x14ac:dyDescent="0.2">
      <c r="A5120" s="5">
        <v>5059</v>
      </c>
      <c r="B5120" s="138">
        <f>'Revenues 9-14'!C108</f>
        <v>62789</v>
      </c>
      <c r="C5120" s="2" t="s">
        <v>573</v>
      </c>
      <c r="D5120" s="2" t="str">
        <f t="shared" si="79"/>
        <v>Error?</v>
      </c>
    </row>
    <row r="5121" spans="1:4" x14ac:dyDescent="0.2">
      <c r="A5121" s="5">
        <v>5060</v>
      </c>
      <c r="B5121" s="138">
        <f>'Revenues 9-14'!C109</f>
        <v>1465060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1078495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1078495</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11157</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11157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1900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136382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149439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1227934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86876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21433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108309</v>
      </c>
      <c r="C5246" s="2" t="s">
        <v>573</v>
      </c>
      <c r="D5246" s="2" t="str">
        <f t="shared" si="80"/>
        <v>Error?</v>
      </c>
    </row>
    <row r="5247" spans="1:4" x14ac:dyDescent="0.2">
      <c r="A5247" s="5">
        <v>5186</v>
      </c>
      <c r="B5247" s="138">
        <f>'Revenues 9-14'!C200</f>
        <v>72487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72487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197757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197757</v>
      </c>
      <c r="C5326" s="2" t="s">
        <v>573</v>
      </c>
      <c r="D5326" s="2" t="str">
        <f t="shared" si="82"/>
        <v>Error?</v>
      </c>
    </row>
    <row r="5327" spans="1:5" x14ac:dyDescent="0.2">
      <c r="A5327" s="5">
        <v>5266</v>
      </c>
      <c r="B5327" s="138">
        <f>'Revenues 9-14'!C268</f>
        <v>2890751</v>
      </c>
      <c r="C5327" s="2" t="s">
        <v>573</v>
      </c>
      <c r="D5327" s="2" t="str">
        <f t="shared" si="82"/>
        <v>Error?</v>
      </c>
    </row>
    <row r="5328" spans="1:5" x14ac:dyDescent="0.2">
      <c r="A5328" s="5">
        <v>5267</v>
      </c>
      <c r="B5328" s="138">
        <f>'Revenues 9-14'!D5</f>
        <v>322478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322478</v>
      </c>
      <c r="C5334" s="2" t="s">
        <v>573</v>
      </c>
      <c r="D5334" s="2" t="str">
        <f t="shared" si="82"/>
        <v>Error?</v>
      </c>
    </row>
    <row r="5335" spans="1:4" x14ac:dyDescent="0.2">
      <c r="A5335" s="5">
        <v>5274</v>
      </c>
      <c r="B5335" s="138">
        <f>'Revenues 9-14'!D14</f>
        <v>87</v>
      </c>
      <c r="D5335" s="2" t="str">
        <f t="shared" si="82"/>
        <v>Error?</v>
      </c>
    </row>
    <row r="5336" spans="1:4" x14ac:dyDescent="0.2">
      <c r="A5336" s="5">
        <v>5275</v>
      </c>
      <c r="B5336" s="138">
        <f>'Revenues 9-14'!D15</f>
        <v>0</v>
      </c>
      <c r="D5336" s="2" t="str">
        <f t="shared" si="82"/>
        <v>Error?</v>
      </c>
    </row>
    <row r="5337" spans="1:4" x14ac:dyDescent="0.2">
      <c r="A5337" s="5">
        <v>5276</v>
      </c>
      <c r="B5337" s="138">
        <f>'Revenues 9-14'!D16</f>
        <v>9000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9087</v>
      </c>
      <c r="C5339" s="2" t="s">
        <v>573</v>
      </c>
      <c r="D5339" s="2" t="str">
        <f t="shared" si="82"/>
        <v>Error?</v>
      </c>
    </row>
    <row r="5340" spans="1:4" x14ac:dyDescent="0.2">
      <c r="A5340" s="5">
        <v>5279</v>
      </c>
      <c r="B5340" s="138">
        <f>'Revenues 9-14'!D65</f>
        <v>29738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29738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12000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109267</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22201</v>
      </c>
      <c r="D5354" s="2" t="str">
        <f t="shared" si="82"/>
        <v>Error?</v>
      </c>
    </row>
    <row r="5355" spans="1:4" x14ac:dyDescent="0.2">
      <c r="A5355" s="5">
        <v>5294</v>
      </c>
      <c r="B5355" s="138">
        <f>'Revenues 9-14'!D108</f>
        <v>163992</v>
      </c>
      <c r="C5355" s="2" t="s">
        <v>573</v>
      </c>
      <c r="D5355" s="2" t="str">
        <f t="shared" si="82"/>
        <v>Error?</v>
      </c>
    </row>
    <row r="5356" spans="1:4" x14ac:dyDescent="0.2">
      <c r="A5356" s="5">
        <v>5295</v>
      </c>
      <c r="B5356" s="138">
        <f>'Revenues 9-14'!D109</f>
        <v>525295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525295</v>
      </c>
      <c r="C5508" s="2" t="s">
        <v>573</v>
      </c>
      <c r="D5508" s="2" t="str">
        <f t="shared" si="85"/>
        <v>Error?</v>
      </c>
    </row>
    <row r="5509" spans="1:4" x14ac:dyDescent="0.2">
      <c r="A5509" s="5">
        <v>5448</v>
      </c>
      <c r="B5509" s="138">
        <f>'Revenues 9-14'!E5</f>
        <v>130599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130599</v>
      </c>
      <c r="C5513" s="2" t="s">
        <v>573</v>
      </c>
      <c r="D5513" s="2" t="str">
        <f t="shared" si="85"/>
        <v>Error?</v>
      </c>
    </row>
    <row r="5514" spans="1:4" x14ac:dyDescent="0.2">
      <c r="A5514" s="5">
        <v>5453</v>
      </c>
      <c r="B5514" s="138">
        <f>'Revenues 9-14'!E14</f>
        <v>35</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35</v>
      </c>
      <c r="C5518" s="2" t="s">
        <v>573</v>
      </c>
      <c r="D5518" s="2" t="str">
        <f t="shared" si="85"/>
        <v>Error?</v>
      </c>
    </row>
    <row r="5519" spans="1:4" x14ac:dyDescent="0.2">
      <c r="A5519" s="5">
        <v>5458</v>
      </c>
      <c r="B5519" s="138">
        <f>'Revenues 9-14'!E65</f>
        <v>165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165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130799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130799</v>
      </c>
      <c r="C5552" s="2" t="s">
        <v>573</v>
      </c>
      <c r="D5552" s="2" t="str">
        <f t="shared" si="85"/>
        <v>Error?</v>
      </c>
    </row>
    <row r="5553" spans="1:4" x14ac:dyDescent="0.2">
      <c r="A5553" s="5">
        <v>5492</v>
      </c>
      <c r="B5553" s="138">
        <f>'Revenues 9-14'!F5</f>
        <v>96744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96744</v>
      </c>
      <c r="C5557" s="2" t="s">
        <v>573</v>
      </c>
      <c r="D5557" s="2" t="str">
        <f t="shared" si="85"/>
        <v>Error?</v>
      </c>
    </row>
    <row r="5558" spans="1:4" x14ac:dyDescent="0.2">
      <c r="A5558" s="5">
        <v>5497</v>
      </c>
      <c r="B5558" s="138">
        <f>'Revenues 9-14'!F14</f>
        <v>26</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26</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13660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13660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35745</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4880</v>
      </c>
      <c r="D5586" s="2" t="str">
        <f t="shared" si="86"/>
        <v>Error?</v>
      </c>
    </row>
    <row r="5587" spans="1:4" x14ac:dyDescent="0.2">
      <c r="A5587" s="5">
        <v>5526</v>
      </c>
      <c r="B5587" s="138">
        <f>'Revenues 9-14'!F108</f>
        <v>40625</v>
      </c>
      <c r="C5587" s="2" t="s">
        <v>573</v>
      </c>
      <c r="D5587" s="2" t="str">
        <f t="shared" si="86"/>
        <v>Error?</v>
      </c>
    </row>
    <row r="5588" spans="1:4" x14ac:dyDescent="0.2">
      <c r="A5588" s="5">
        <v>5527</v>
      </c>
      <c r="B5588" s="138">
        <f>'Revenues 9-14'!F109</f>
        <v>151055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59792</v>
      </c>
      <c r="D5615" s="2" t="str">
        <f t="shared" si="86"/>
        <v>Error?</v>
      </c>
    </row>
    <row r="5616" spans="1:4" x14ac:dyDescent="0.2">
      <c r="A5616" s="10">
        <v>5555</v>
      </c>
      <c r="D5616" s="2" t="str">
        <f t="shared" si="86"/>
        <v>OK</v>
      </c>
    </row>
    <row r="5617" spans="1:5" x14ac:dyDescent="0.2">
      <c r="A5617" s="5">
        <v>5556</v>
      </c>
      <c r="B5617" s="138">
        <f>'Revenues 9-14'!F153</f>
        <v>32789</v>
      </c>
      <c r="D5617" s="2" t="str">
        <f t="shared" si="86"/>
        <v>Error?</v>
      </c>
    </row>
    <row r="5618" spans="1:5" x14ac:dyDescent="0.2">
      <c r="A5618" s="5">
        <v>5557</v>
      </c>
      <c r="B5618" s="138">
        <f>'Revenues 9-14'!F155</f>
        <v>92581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92581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92581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243636</v>
      </c>
      <c r="C5720" s="2" t="s">
        <v>573</v>
      </c>
      <c r="D5720" s="2" t="str">
        <f t="shared" si="88"/>
        <v>Error?</v>
      </c>
    </row>
    <row r="5721" spans="1:4" x14ac:dyDescent="0.2">
      <c r="A5721" s="5">
        <v>5660</v>
      </c>
      <c r="B5721" s="138">
        <f>'Revenues 9-14'!G5</f>
        <v>77356</v>
      </c>
      <c r="D5721" s="2" t="str">
        <f t="shared" si="88"/>
        <v>Error?</v>
      </c>
    </row>
    <row r="5722" spans="1:4" x14ac:dyDescent="0.2">
      <c r="A5722" s="5">
        <v>5661</v>
      </c>
      <c r="B5722" s="138">
        <f>'Revenues 9-14'!G7</f>
        <v>0</v>
      </c>
      <c r="D5722" s="2" t="str">
        <f t="shared" si="88"/>
        <v>Error?</v>
      </c>
    </row>
    <row r="5723" spans="1:4" x14ac:dyDescent="0.2">
      <c r="A5723" s="5">
        <v>5662</v>
      </c>
      <c r="B5723" s="138">
        <f>'Revenues 9-14'!G8</f>
        <v>77356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154712</v>
      </c>
      <c r="C5725" s="2" t="s">
        <v>573</v>
      </c>
      <c r="D5725" s="2" t="str">
        <f t="shared" si="88"/>
        <v>Error?</v>
      </c>
    </row>
    <row r="5726" spans="1:4" x14ac:dyDescent="0.2">
      <c r="A5726" s="5">
        <v>5665</v>
      </c>
      <c r="B5726" s="138">
        <f>'Revenues 9-14'!G14</f>
        <v>42</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5042</v>
      </c>
      <c r="C5730" s="2" t="s">
        <v>573</v>
      </c>
      <c r="D5730" s="2" t="str">
        <f t="shared" si="88"/>
        <v>Error?</v>
      </c>
    </row>
    <row r="5731" spans="1:4" x14ac:dyDescent="0.2">
      <c r="A5731" s="5">
        <v>5670</v>
      </c>
      <c r="B5731" s="138">
        <f>'Revenues 9-14'!G65</f>
        <v>3558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3558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163312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40310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40310</v>
      </c>
      <c r="C5918" s="2" t="s">
        <v>573</v>
      </c>
      <c r="D5918" s="2" t="str">
        <f t="shared" si="91"/>
        <v>Error?</v>
      </c>
    </row>
    <row r="5919" spans="1:4" x14ac:dyDescent="0.2">
      <c r="A5919" s="5">
        <v>5858</v>
      </c>
      <c r="B5919" s="138">
        <f>'Revenues 9-14'!I14</f>
        <v>11</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11</v>
      </c>
      <c r="C5923" s="2" t="s">
        <v>573</v>
      </c>
      <c r="D5923" s="2" t="str">
        <f t="shared" si="91"/>
        <v>Error?</v>
      </c>
    </row>
    <row r="5924" spans="1:4" x14ac:dyDescent="0.2">
      <c r="A5924" s="5">
        <v>5863</v>
      </c>
      <c r="B5924" s="138">
        <f>'Revenues 9-14'!I65</f>
        <v>21491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21491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61812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40310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40310</v>
      </c>
      <c r="C5987" s="2" t="s">
        <v>573</v>
      </c>
      <c r="D5987" s="2" t="str">
        <f t="shared" si="92"/>
        <v>Error?</v>
      </c>
    </row>
    <row r="5988" spans="1:4" x14ac:dyDescent="0.2">
      <c r="A5988" s="5">
        <v>5927</v>
      </c>
      <c r="B5988" s="138">
        <f>'Revenues 9-14'!K14</f>
        <v>11</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11</v>
      </c>
      <c r="C5992" s="2" t="s">
        <v>573</v>
      </c>
      <c r="D5992" s="2" t="str">
        <f t="shared" si="92"/>
        <v>Error?</v>
      </c>
    </row>
    <row r="5993" spans="1:4" x14ac:dyDescent="0.2">
      <c r="A5993" s="5">
        <v>5932</v>
      </c>
      <c r="B5993" s="138">
        <f>'Revenues 9-14'!K65</f>
        <v>6318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6318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46639</v>
      </c>
      <c r="C6023" s="2" t="s">
        <v>573</v>
      </c>
      <c r="D6023" s="2" t="str">
        <f t="shared" si="93"/>
        <v>Error?</v>
      </c>
    </row>
    <row r="6024" spans="1:5" x14ac:dyDescent="0.2">
      <c r="A6024" s="5">
        <v>5963</v>
      </c>
      <c r="B6024" s="138">
        <f>'Revenues 9-14'!G109</f>
        <v>163312</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61812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46639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55062</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18053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383.1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591457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591457</v>
      </c>
      <c r="D6215" s="2" t="str">
        <f t="shared" si="96"/>
        <v>Error?</v>
      </c>
      <c r="E6215" s="2" t="s">
        <v>190</v>
      </c>
    </row>
    <row r="6216" spans="1:5" x14ac:dyDescent="0.2">
      <c r="A6216">
        <v>6155</v>
      </c>
      <c r="B6216" s="138">
        <f>'Assets-Liab 5-6'!J41</f>
        <v>591457</v>
      </c>
      <c r="D6216" s="2" t="str">
        <f t="shared" si="96"/>
        <v>Error?</v>
      </c>
      <c r="E6216" s="2" t="s">
        <v>190</v>
      </c>
    </row>
    <row r="6217" spans="1:5" x14ac:dyDescent="0.2">
      <c r="A6217">
        <v>6156</v>
      </c>
      <c r="B6217" s="138">
        <f>'Assets-Liab 5-6'!J4</f>
        <v>391457</v>
      </c>
      <c r="D6217" s="2" t="str">
        <f t="shared" si="96"/>
        <v>Error?</v>
      </c>
      <c r="E6217" s="2" t="s">
        <v>190</v>
      </c>
    </row>
    <row r="6218" spans="1:5" x14ac:dyDescent="0.2">
      <c r="A6218">
        <v>6157</v>
      </c>
      <c r="B6218" s="138">
        <f>'Assets-Liab 5-6'!J5</f>
        <v>200000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259714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259714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259714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160028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160028</v>
      </c>
      <c r="D6229" s="2" t="str">
        <f t="shared" si="96"/>
        <v>Error?</v>
      </c>
      <c r="E6229" s="2" t="s">
        <v>190</v>
      </c>
    </row>
    <row r="6230" spans="1:5" x14ac:dyDescent="0.2">
      <c r="A6230">
        <v>6169</v>
      </c>
      <c r="B6230" s="138">
        <f>'Acct Summary 7-8'!J20</f>
        <v>99686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99686</v>
      </c>
      <c r="D6263" s="2" t="str">
        <f t="shared" si="96"/>
        <v>Error?</v>
      </c>
      <c r="E6263" s="2" t="s">
        <v>190</v>
      </c>
    </row>
    <row r="6264" spans="1:5" x14ac:dyDescent="0.2">
      <c r="A6264">
        <v>6203</v>
      </c>
      <c r="B6264" s="138">
        <f>'Acct Summary 7-8'!J79</f>
        <v>491771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591457</v>
      </c>
      <c r="D6266" s="2" t="str">
        <f t="shared" si="96"/>
        <v>Error?</v>
      </c>
      <c r="E6266" s="2" t="s">
        <v>190</v>
      </c>
    </row>
    <row r="6267" spans="1:5" x14ac:dyDescent="0.2">
      <c r="A6267">
        <v>6206</v>
      </c>
      <c r="B6267" s="138">
        <f>'Acct Summary 7-8'!C82</f>
        <v>105653</v>
      </c>
      <c r="D6267" s="2" t="str">
        <f t="shared" si="96"/>
        <v>Error?</v>
      </c>
      <c r="E6267" s="2" t="s">
        <v>190</v>
      </c>
    </row>
    <row r="6268" spans="1:5" x14ac:dyDescent="0.2">
      <c r="A6268">
        <v>6207</v>
      </c>
      <c r="B6268" s="138">
        <f>'Acct Summary 7-8'!D82</f>
        <v>229676</v>
      </c>
      <c r="D6268" s="2" t="str">
        <f t="shared" si="96"/>
        <v>Error?</v>
      </c>
      <c r="E6268" s="2" t="s">
        <v>190</v>
      </c>
    </row>
    <row r="6269" spans="1:5" x14ac:dyDescent="0.2">
      <c r="A6269">
        <v>6208</v>
      </c>
      <c r="B6269" s="138">
        <f>'Acct Summary 7-8'!E82</f>
        <v>2018</v>
      </c>
      <c r="D6269" s="2" t="str">
        <f t="shared" si="96"/>
        <v>Error?</v>
      </c>
      <c r="E6269" s="2" t="s">
        <v>190</v>
      </c>
    </row>
    <row r="6270" spans="1:5" x14ac:dyDescent="0.2">
      <c r="A6270">
        <v>6209</v>
      </c>
      <c r="B6270" s="138">
        <f>'Acct Summary 7-8'!F82</f>
        <v>20940</v>
      </c>
      <c r="D6270" s="2" t="str">
        <f t="shared" si="96"/>
        <v>Error?</v>
      </c>
      <c r="E6270" s="2" t="s">
        <v>190</v>
      </c>
    </row>
    <row r="6271" spans="1:5" x14ac:dyDescent="0.2">
      <c r="A6271">
        <v>6210</v>
      </c>
      <c r="B6271" s="138">
        <f>'Acct Summary 7-8'!G82</f>
        <v>31970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61812</v>
      </c>
      <c r="D6273" s="2" t="str">
        <f t="shared" si="97"/>
        <v>Error?</v>
      </c>
      <c r="E6273" s="2" t="s">
        <v>190</v>
      </c>
    </row>
    <row r="6274" spans="1:5" x14ac:dyDescent="0.2">
      <c r="A6274">
        <v>6213</v>
      </c>
      <c r="B6274" s="138">
        <f>'Acct Summary 7-8'!J82</f>
        <v>99686</v>
      </c>
      <c r="D6274" s="2" t="str">
        <f t="shared" si="97"/>
        <v>Error?</v>
      </c>
      <c r="E6274" s="2" t="s">
        <v>190</v>
      </c>
    </row>
    <row r="6275" spans="1:5" x14ac:dyDescent="0.2">
      <c r="A6275">
        <v>6214</v>
      </c>
      <c r="B6275" s="138">
        <f>'Acct Summary 7-8'!K82</f>
        <v>-60461</v>
      </c>
      <c r="D6275" s="2" t="str">
        <f t="shared" si="97"/>
        <v>Error?</v>
      </c>
      <c r="E6275" s="2" t="s">
        <v>190</v>
      </c>
    </row>
    <row r="6276" spans="1:5" x14ac:dyDescent="0.2">
      <c r="A6276">
        <v>6215</v>
      </c>
      <c r="B6276" s="138">
        <f>'Acct Summary 7-8'!C83</f>
        <v>9.4154142842884231E-2</v>
      </c>
      <c r="D6276" s="2" t="str">
        <f t="shared" si="97"/>
        <v>Error?</v>
      </c>
      <c r="E6276" s="2" t="s">
        <v>190</v>
      </c>
    </row>
    <row r="6277" spans="1:5" x14ac:dyDescent="0.2">
      <c r="A6277">
        <v>6216</v>
      </c>
      <c r="B6277" s="138">
        <f>'Acct Summary 7-8'!D83</f>
        <v>0.10865200665320635</v>
      </c>
      <c r="D6277" s="2" t="str">
        <f t="shared" si="97"/>
        <v>Error?</v>
      </c>
      <c r="E6277" s="2" t="s">
        <v>190</v>
      </c>
    </row>
    <row r="6278" spans="1:5" x14ac:dyDescent="0.2">
      <c r="A6278">
        <v>6217</v>
      </c>
      <c r="B6278" s="138">
        <f>'Acct Summary 7-8'!E83</f>
        <v>0.36544730170228179</v>
      </c>
      <c r="D6278" s="2" t="str">
        <f t="shared" si="97"/>
        <v>Error?</v>
      </c>
      <c r="E6278" s="2" t="s">
        <v>190</v>
      </c>
    </row>
    <row r="6279" spans="1:5" x14ac:dyDescent="0.2">
      <c r="A6279">
        <v>6218</v>
      </c>
      <c r="B6279" s="138">
        <f>'Acct Summary 7-8'!F83</f>
        <v>2.720975289022411E-2</v>
      </c>
      <c r="D6279" s="2" t="str">
        <f t="shared" si="97"/>
        <v>Error?</v>
      </c>
      <c r="E6279" s="2" t="s">
        <v>190</v>
      </c>
    </row>
    <row r="6280" spans="1:5" x14ac:dyDescent="0.2">
      <c r="A6280">
        <v>6219</v>
      </c>
      <c r="B6280" s="138">
        <f>'Acct Summary 7-8'!G83</f>
        <v>0.14913258665970061</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6.3938200933854397E-2</v>
      </c>
      <c r="D6282" s="2" t="str">
        <f t="shared" si="97"/>
        <v>Error?</v>
      </c>
      <c r="E6282" s="2" t="s">
        <v>190</v>
      </c>
    </row>
    <row r="6283" spans="1:5" x14ac:dyDescent="0.2">
      <c r="A6283">
        <v>6222</v>
      </c>
      <c r="B6283" s="138">
        <f>'Acct Summary 7-8'!J83</f>
        <v>0.16854310626131738</v>
      </c>
      <c r="D6283" s="2" t="str">
        <f t="shared" si="97"/>
        <v>Error?</v>
      </c>
      <c r="E6283" s="2" t="s">
        <v>190</v>
      </c>
    </row>
    <row r="6284" spans="1:5" x14ac:dyDescent="0.2">
      <c r="A6284">
        <v>6223</v>
      </c>
      <c r="B6284" s="138">
        <f>'Acct Summary 7-8'!K83</f>
        <v>-0.21640824098731495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249514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249514</v>
      </c>
      <c r="D6301" s="2" t="str">
        <f t="shared" si="97"/>
        <v>Error?</v>
      </c>
      <c r="E6301" s="2" t="s">
        <v>190</v>
      </c>
    </row>
    <row r="6302" spans="1:5" x14ac:dyDescent="0.2">
      <c r="A6302">
        <v>6241</v>
      </c>
      <c r="B6302" s="138">
        <f>'Revenues 9-14'!J14</f>
        <v>68</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68</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7843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7843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2289</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20524</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2289</v>
      </c>
      <c r="D6351" s="2" t="str">
        <f t="shared" si="98"/>
        <v>Error?</v>
      </c>
      <c r="E6351" s="2" t="s">
        <v>190</v>
      </c>
    </row>
    <row r="6352" spans="1:5" x14ac:dyDescent="0.2">
      <c r="A6352">
        <v>6291</v>
      </c>
      <c r="B6352" s="138">
        <f>'Revenues 9-14'!J109</f>
        <v>259714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71796</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113009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1000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39306</v>
      </c>
      <c r="D6983" s="2" t="str">
        <f t="shared" si="108"/>
        <v>Error?</v>
      </c>
    </row>
    <row r="6984" spans="1:4" x14ac:dyDescent="0.2">
      <c r="A6984">
        <v>6923</v>
      </c>
      <c r="B6984" s="138">
        <f>'Expenditures 15-22'!K86</f>
        <v>39306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5800</v>
      </c>
      <c r="D6991" s="2" t="str">
        <f t="shared" si="108"/>
        <v>Error?</v>
      </c>
    </row>
    <row r="6992" spans="1:4" x14ac:dyDescent="0.2">
      <c r="A6992">
        <v>6931</v>
      </c>
      <c r="B6992" s="138">
        <f>'Expenditures 15-22'!K90</f>
        <v>5800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45106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160028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259714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3705</v>
      </c>
      <c r="D7073" s="2" t="str">
        <f t="shared" si="109"/>
        <v>Error?</v>
      </c>
    </row>
    <row r="7074" spans="1:4" x14ac:dyDescent="0.2">
      <c r="A7074">
        <v>7013</v>
      </c>
      <c r="B7074" s="138">
        <f>'Expenditures 15-22'!K216</f>
        <v>3705</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33997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33997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17201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17201</v>
      </c>
      <c r="D7153" s="2" t="str">
        <f t="shared" si="110"/>
        <v>Error?</v>
      </c>
    </row>
    <row r="7154" spans="1:4" x14ac:dyDescent="0.2">
      <c r="A7154">
        <v>7093</v>
      </c>
      <c r="B7154" s="138">
        <f>'Expenditures 15-22'!C323</f>
        <v>77366</v>
      </c>
      <c r="D7154" s="2" t="str">
        <f t="shared" si="110"/>
        <v>Error?</v>
      </c>
    </row>
    <row r="7155" spans="1:4" x14ac:dyDescent="0.2">
      <c r="A7155">
        <v>7094</v>
      </c>
      <c r="B7155" s="138">
        <f>'Expenditures 15-22'!D323</f>
        <v>3606</v>
      </c>
      <c r="D7155" s="2" t="str">
        <f t="shared" si="110"/>
        <v>Error?</v>
      </c>
    </row>
    <row r="7156" spans="1:4" x14ac:dyDescent="0.2">
      <c r="A7156">
        <v>7095</v>
      </c>
      <c r="B7156" s="138">
        <f>'Expenditures 15-22'!E323</f>
        <v>198</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81170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63</v>
      </c>
      <c r="D7198" s="2" t="str">
        <f t="shared" si="111"/>
        <v>Error?</v>
      </c>
    </row>
    <row r="7199" spans="1:4" x14ac:dyDescent="0.2">
      <c r="A7199">
        <v>7138</v>
      </c>
      <c r="B7199" s="138">
        <f>'Expenditures 15-22'!C330</f>
        <v>77366</v>
      </c>
      <c r="D7199" s="2" t="str">
        <f t="shared" si="111"/>
        <v>Error?</v>
      </c>
    </row>
    <row r="7200" spans="1:4" x14ac:dyDescent="0.2">
      <c r="A7200">
        <v>7139</v>
      </c>
      <c r="B7200" s="138">
        <f>'Expenditures 15-22'!D330</f>
        <v>3606</v>
      </c>
      <c r="D7200" s="2" t="str">
        <f t="shared" si="111"/>
        <v>Error?</v>
      </c>
    </row>
    <row r="7201" spans="1:4" x14ac:dyDescent="0.2">
      <c r="A7201">
        <v>7140</v>
      </c>
      <c r="B7201" s="138">
        <f>'Expenditures 15-22'!E330</f>
        <v>79056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160028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77366</v>
      </c>
      <c r="D7216" s="2" t="str">
        <f t="shared" si="111"/>
        <v>Error?</v>
      </c>
    </row>
    <row r="7217" spans="1:4" x14ac:dyDescent="0.2">
      <c r="A7217">
        <v>7156</v>
      </c>
      <c r="B7217" s="138">
        <f>'Expenditures 15-22'!D342</f>
        <v>3606</v>
      </c>
      <c r="D7217" s="2" t="str">
        <f t="shared" si="111"/>
        <v>Error?</v>
      </c>
    </row>
    <row r="7218" spans="1:4" x14ac:dyDescent="0.2">
      <c r="A7218">
        <v>7157</v>
      </c>
      <c r="B7218" s="138">
        <f>'Expenditures 15-22'!E342</f>
        <v>79056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160028</v>
      </c>
      <c r="D7224" s="2" t="str">
        <f t="shared" si="111"/>
        <v>Error?</v>
      </c>
    </row>
    <row r="7225" spans="1:4" x14ac:dyDescent="0.2">
      <c r="A7225">
        <v>7164</v>
      </c>
      <c r="B7225" s="138">
        <f>'Expenditures 15-22'!K343</f>
        <v>99686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15030</v>
      </c>
      <c r="D7246" s="2" t="str">
        <f t="shared" si="112"/>
        <v>Error?</v>
      </c>
    </row>
    <row r="7247" spans="1:4" x14ac:dyDescent="0.2">
      <c r="A7247">
        <f t="shared" si="113"/>
        <v>7186</v>
      </c>
      <c r="B7247" s="138">
        <f>'Expenditures 15-22'!E7</f>
        <v>854</v>
      </c>
      <c r="D7247" s="2" t="str">
        <f t="shared" si="112"/>
        <v>Error?</v>
      </c>
    </row>
    <row r="7248" spans="1:4" x14ac:dyDescent="0.2">
      <c r="A7248">
        <f t="shared" si="113"/>
        <v>7187</v>
      </c>
      <c r="B7248" s="138">
        <f>'Expenditures 15-22'!F7</f>
        <v>25329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7301</v>
      </c>
      <c r="D7615" s="2" t="str">
        <f t="shared" ref="D7615:D7678" si="124">IF(ISBLANK(B7615),"OK",IF(A7615-B7615=0,"OK","Error?"))</f>
        <v>Error?</v>
      </c>
      <c r="E7615" s="2" t="s">
        <v>19</v>
      </c>
    </row>
    <row r="7616" spans="1:5" x14ac:dyDescent="0.2">
      <c r="A7616">
        <f t="shared" si="123"/>
        <v>7555</v>
      </c>
      <c r="B7616" s="138">
        <f>'Cap Outlay Deprec 26'!D14</f>
        <v>1598</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8899</v>
      </c>
      <c r="D7618" s="2" t="str">
        <f t="shared" si="124"/>
        <v>Error?</v>
      </c>
      <c r="E7618" s="2" t="s">
        <v>19</v>
      </c>
    </row>
    <row r="7619" spans="1:5" x14ac:dyDescent="0.2">
      <c r="A7619">
        <f t="shared" si="123"/>
        <v>7558</v>
      </c>
      <c r="B7619" s="138">
        <f>'Cap Outlay Deprec 26'!H14</f>
        <v>6952</v>
      </c>
      <c r="D7619" s="2" t="str">
        <f t="shared" si="124"/>
        <v>Error?</v>
      </c>
      <c r="E7619" s="2" t="s">
        <v>19</v>
      </c>
    </row>
    <row r="7620" spans="1:5" x14ac:dyDescent="0.2">
      <c r="A7620">
        <f t="shared" si="123"/>
        <v>7559</v>
      </c>
      <c r="B7620" s="138">
        <f>'Cap Outlay Deprec 26'!I14</f>
        <v>882</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7834</v>
      </c>
      <c r="D7622" s="2" t="str">
        <f t="shared" si="124"/>
        <v>Error?</v>
      </c>
      <c r="E7622" s="2" t="s">
        <v>19</v>
      </c>
    </row>
    <row r="7623" spans="1:5" x14ac:dyDescent="0.2">
      <c r="A7623">
        <f t="shared" si="123"/>
        <v>7562</v>
      </c>
      <c r="B7623" s="138">
        <f>'Cap Outlay Deprec 26'!L14</f>
        <v>1065</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133217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18336</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18336</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9261</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9261</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16125</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45" t="s">
        <v>1191</v>
      </c>
      <c r="B2" s="2445"/>
      <c r="C2" s="2445"/>
      <c r="D2" s="2445"/>
      <c r="E2" s="2445"/>
      <c r="F2" s="2445"/>
      <c r="G2" s="2445"/>
      <c r="H2" s="2445"/>
      <c r="I2" s="2445"/>
      <c r="J2" s="2445"/>
      <c r="K2" s="2445"/>
      <c r="L2" s="2445"/>
    </row>
    <row r="3" spans="1:29" ht="13.5" customHeight="1" x14ac:dyDescent="0.2">
      <c r="A3" s="2431" t="s">
        <v>1190</v>
      </c>
      <c r="B3" s="2431"/>
      <c r="C3" s="2431"/>
      <c r="D3" s="2431"/>
      <c r="E3" s="2431"/>
      <c r="F3" s="2431"/>
      <c r="G3" s="2431"/>
      <c r="H3" s="2431"/>
      <c r="I3" s="2431"/>
      <c r="J3" s="2431"/>
      <c r="K3" s="2431"/>
      <c r="L3" s="2431"/>
    </row>
    <row r="4" spans="1:29" ht="13.5" customHeight="1" x14ac:dyDescent="0.2">
      <c r="A4" s="2445" t="s">
        <v>1989</v>
      </c>
      <c r="B4" s="2462"/>
      <c r="C4" s="2462"/>
      <c r="D4" s="2462"/>
      <c r="E4" s="2462"/>
      <c r="F4" s="2462"/>
      <c r="G4" s="2462"/>
      <c r="H4" s="2462"/>
      <c r="I4" s="2462"/>
      <c r="J4" s="2462"/>
      <c r="K4" s="2462"/>
      <c r="L4" s="2462"/>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25" t="str">
        <f>COVER!A17</f>
        <v>Carthage ESD 317</v>
      </c>
      <c r="B7" s="2426"/>
      <c r="C7" s="2426"/>
      <c r="D7" s="2463"/>
      <c r="E7" s="2464">
        <f>COVER!A13</f>
        <v>26034317004</v>
      </c>
      <c r="F7" s="2465"/>
      <c r="G7" s="2432" t="str">
        <f>COVER!T23</f>
        <v>066-005027</v>
      </c>
      <c r="H7" s="2433"/>
      <c r="I7" s="2433"/>
      <c r="J7" s="2433"/>
      <c r="K7" s="2433"/>
      <c r="L7" s="2434"/>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35"/>
      <c r="B9" s="2436"/>
      <c r="C9" s="2436"/>
      <c r="D9" s="2436"/>
      <c r="E9" s="2436"/>
      <c r="F9" s="2437"/>
      <c r="G9" s="2438" t="str">
        <f>COVER!T13</f>
        <v>Gorenz and Associates, Ltd.</v>
      </c>
      <c r="H9" s="2439"/>
      <c r="I9" s="2439"/>
      <c r="J9" s="2439"/>
      <c r="K9" s="2439"/>
      <c r="L9" s="2440"/>
    </row>
    <row r="10" spans="1:29" ht="13.5" customHeight="1" x14ac:dyDescent="0.2">
      <c r="A10" s="2422" t="str">
        <f>COVER!A38</f>
        <v>Vicki Hardy</v>
      </c>
      <c r="B10" s="2423"/>
      <c r="C10" s="2423"/>
      <c r="D10" s="2423"/>
      <c r="E10" s="2423"/>
      <c r="F10" s="2424"/>
      <c r="G10" s="2438" t="str">
        <f>COVER!T17</f>
        <v>4200 N Knoxville Ave</v>
      </c>
      <c r="H10" s="2451"/>
      <c r="I10" s="2451"/>
      <c r="J10" s="2451"/>
      <c r="K10" s="2451"/>
      <c r="L10" s="2452"/>
    </row>
    <row r="11" spans="1:29" ht="13.5" customHeight="1" x14ac:dyDescent="0.2">
      <c r="A11" s="1181" t="s">
        <v>1519</v>
      </c>
      <c r="B11" s="1182"/>
      <c r="C11" s="1183"/>
      <c r="D11" s="1188"/>
      <c r="E11" s="1183"/>
      <c r="F11" s="1187"/>
      <c r="G11" s="2438" t="str">
        <f>COVER!T19</f>
        <v>Peoria</v>
      </c>
      <c r="H11" s="2451"/>
      <c r="I11" s="2451"/>
      <c r="J11" s="2451"/>
      <c r="K11" s="2451"/>
      <c r="L11" s="2452"/>
    </row>
    <row r="12" spans="1:29" ht="13.5" customHeight="1" x14ac:dyDescent="0.2">
      <c r="A12" s="2456" t="s">
        <v>1518</v>
      </c>
      <c r="B12" s="2457"/>
      <c r="C12" s="2457"/>
      <c r="D12" s="2457"/>
      <c r="E12" s="2457"/>
      <c r="F12" s="2458"/>
      <c r="G12" s="2453"/>
      <c r="H12" s="2454"/>
      <c r="I12" s="2454"/>
      <c r="J12" s="2454"/>
      <c r="K12" s="2454"/>
      <c r="L12" s="2455"/>
    </row>
    <row r="13" spans="1:29" ht="13.5" customHeight="1" x14ac:dyDescent="0.2">
      <c r="A13" s="2438"/>
      <c r="B13" s="2451"/>
      <c r="C13" s="2451"/>
      <c r="D13" s="2451"/>
      <c r="E13" s="2451"/>
      <c r="F13" s="2452"/>
      <c r="G13" s="2446" t="s">
        <v>1520</v>
      </c>
      <c r="H13" s="2447"/>
      <c r="I13" s="2459" t="str">
        <f>COVER!T25</f>
        <v>rrumbold@gorenzcpa.com</v>
      </c>
      <c r="J13" s="2460"/>
      <c r="K13" s="2460"/>
      <c r="L13" s="2461"/>
    </row>
    <row r="14" spans="1:29" ht="13.5" customHeight="1" x14ac:dyDescent="0.2">
      <c r="A14" s="2438" t="str">
        <f>COVER!A19</f>
        <v>210 South Adams</v>
      </c>
      <c r="B14" s="2451"/>
      <c r="C14" s="2451"/>
      <c r="D14" s="2451"/>
      <c r="E14" s="2451"/>
      <c r="F14" s="2452"/>
      <c r="G14" s="1192" t="s">
        <v>1185</v>
      </c>
      <c r="H14" s="1190"/>
      <c r="I14" s="1190"/>
      <c r="J14" s="1190"/>
      <c r="K14" s="1190"/>
      <c r="L14" s="1191"/>
    </row>
    <row r="15" spans="1:29" ht="13.5" customHeight="1" x14ac:dyDescent="0.2">
      <c r="A15" s="2438" t="str">
        <f>COVER!A21</f>
        <v>Carthage</v>
      </c>
      <c r="B15" s="2451"/>
      <c r="C15" s="2451"/>
      <c r="D15" s="2451"/>
      <c r="E15" s="2451"/>
      <c r="F15" s="2452"/>
      <c r="G15" s="2448" t="str">
        <f>COVER!T15</f>
        <v>Russell J. Rumbold II, CPA</v>
      </c>
      <c r="H15" s="2449"/>
      <c r="I15" s="2449"/>
      <c r="J15" s="2449"/>
      <c r="K15" s="2449"/>
      <c r="L15" s="2450"/>
    </row>
    <row r="16" spans="1:29" ht="12.2" customHeight="1" x14ac:dyDescent="0.2">
      <c r="A16" s="2428">
        <f>COVER!A25</f>
        <v>62321</v>
      </c>
      <c r="B16" s="2429"/>
      <c r="C16" s="2429"/>
      <c r="D16" s="2429"/>
      <c r="E16" s="2429"/>
      <c r="F16" s="2430"/>
      <c r="G16" s="2441"/>
      <c r="H16" s="2442"/>
      <c r="I16" s="2442"/>
      <c r="J16" s="2442"/>
      <c r="K16" s="2442"/>
      <c r="L16" s="2443"/>
    </row>
    <row r="17" spans="1:13" ht="12.2" customHeight="1" x14ac:dyDescent="0.2">
      <c r="A17" s="2444"/>
      <c r="B17" s="2429"/>
      <c r="C17" s="2429"/>
      <c r="D17" s="2429"/>
      <c r="E17" s="2429"/>
      <c r="F17" s="2430"/>
      <c r="G17" s="1192" t="s">
        <v>1184</v>
      </c>
      <c r="H17" s="1190"/>
      <c r="I17" s="1190"/>
      <c r="J17" s="1190"/>
      <c r="K17" s="1194" t="s">
        <v>1183</v>
      </c>
      <c r="L17" s="1187"/>
      <c r="M17" s="1180"/>
    </row>
    <row r="18" spans="1:13" ht="12.2" customHeight="1" x14ac:dyDescent="0.2">
      <c r="A18" s="2422"/>
      <c r="B18" s="2423"/>
      <c r="C18" s="2423"/>
      <c r="D18" s="2423"/>
      <c r="E18" s="2423"/>
      <c r="F18" s="2424"/>
      <c r="G18" s="2425" t="str">
        <f>COVER!T21</f>
        <v>309-685-7621</v>
      </c>
      <c r="H18" s="2426"/>
      <c r="I18" s="2426"/>
      <c r="J18" s="2426"/>
      <c r="K18" s="2425" t="str">
        <f>COVER!X21</f>
        <v>309-685-4758</v>
      </c>
      <c r="L18" s="2427"/>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66" t="str">
        <f>'Single Audit Cover'!A7</f>
        <v>Carthage ESD 317</v>
      </c>
      <c r="B1" s="2462"/>
      <c r="C1" s="2462"/>
      <c r="D1" s="2462"/>
    </row>
    <row r="2" spans="1:11" s="1209" customFormat="1" ht="12.75" x14ac:dyDescent="0.2">
      <c r="A2" s="2467">
        <f>'Single Audit Cover'!E7</f>
        <v>26034317004</v>
      </c>
      <c r="B2" s="2468"/>
      <c r="C2" s="2468"/>
      <c r="D2" s="2468"/>
    </row>
    <row r="3" spans="1:11" s="1209" customFormat="1" ht="12.75" x14ac:dyDescent="0.2">
      <c r="A3" s="2466" t="s">
        <v>1513</v>
      </c>
      <c r="B3" s="2462"/>
      <c r="C3" s="2462"/>
      <c r="D3" s="2462"/>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70" t="str">
        <f>'Single Audit Cover'!A7</f>
        <v>Carthage ESD 317</v>
      </c>
      <c r="B1" s="2470"/>
      <c r="C1" s="2470"/>
      <c r="D1" s="2470"/>
      <c r="E1" s="2470"/>
    </row>
    <row r="2" spans="1:5" x14ac:dyDescent="0.2">
      <c r="A2" s="2471">
        <f>'Single Audit Cover'!E7</f>
        <v>26034317004</v>
      </c>
      <c r="B2" s="2471"/>
      <c r="C2" s="2471"/>
      <c r="D2" s="2471"/>
      <c r="E2" s="2471"/>
    </row>
    <row r="3" spans="1:5" ht="4.5" customHeight="1" x14ac:dyDescent="0.2"/>
    <row r="4" spans="1:5" x14ac:dyDescent="0.2">
      <c r="A4" s="2470" t="s">
        <v>1245</v>
      </c>
      <c r="B4" s="2470"/>
      <c r="C4" s="2470"/>
      <c r="D4" s="2470"/>
      <c r="E4" s="2470"/>
    </row>
    <row r="5" spans="1:5" x14ac:dyDescent="0.2">
      <c r="A5" s="2473" t="str">
        <f>'Single Audit Cover'!A4</f>
        <v>Year Ending June 30, 2019</v>
      </c>
      <c r="B5" s="2473"/>
      <c r="C5" s="2473"/>
      <c r="D5" s="2473"/>
      <c r="E5" s="2473"/>
    </row>
    <row r="6" spans="1:5" x14ac:dyDescent="0.2">
      <c r="A6" s="2470" t="s">
        <v>1244</v>
      </c>
      <c r="B6" s="2470"/>
      <c r="C6" s="2470"/>
      <c r="D6" s="2470"/>
      <c r="E6" s="2470"/>
    </row>
    <row r="8" spans="1:5" x14ac:dyDescent="0.2">
      <c r="A8" s="1254" t="s">
        <v>1243</v>
      </c>
    </row>
    <row r="10" spans="1:5" x14ac:dyDescent="0.2">
      <c r="A10" s="1255" t="s">
        <v>1242</v>
      </c>
      <c r="B10" s="1256" t="s">
        <v>1241</v>
      </c>
      <c r="C10" s="1256"/>
      <c r="D10" s="1257">
        <f>SUM('Acct Summary 7-8'!C7:K7)</f>
        <v>197757</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18053</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-8688</v>
      </c>
    </row>
    <row r="19" spans="1:4" ht="13.5" thickBot="1" x14ac:dyDescent="0.25">
      <c r="A19" s="1259" t="s">
        <v>1235</v>
      </c>
      <c r="D19" s="1260">
        <f>SUM(D10:D17)</f>
        <v>207122</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72"/>
      <c r="B24" s="2472"/>
      <c r="D24" s="1262"/>
    </row>
    <row r="25" spans="1:4" x14ac:dyDescent="0.2">
      <c r="A25" s="2469"/>
      <c r="B25" s="2469"/>
      <c r="D25" s="1262"/>
    </row>
    <row r="26" spans="1:4" x14ac:dyDescent="0.2">
      <c r="A26" s="2469"/>
      <c r="B26" s="2469"/>
      <c r="D26" s="1262"/>
    </row>
    <row r="27" spans="1:4" x14ac:dyDescent="0.2">
      <c r="A27" s="2469"/>
      <c r="B27" s="2469"/>
      <c r="D27" s="1262"/>
    </row>
    <row r="28" spans="1:4" x14ac:dyDescent="0.2">
      <c r="A28" s="2469"/>
      <c r="B28" s="2469"/>
      <c r="D28" s="1262"/>
    </row>
    <row r="29" spans="1:4" x14ac:dyDescent="0.2">
      <c r="A29" s="2469"/>
      <c r="B29" s="2469"/>
      <c r="D29" s="1262"/>
    </row>
    <row r="30" spans="1:4" x14ac:dyDescent="0.2">
      <c r="A30" s="2469"/>
      <c r="B30" s="2469"/>
      <c r="D30" s="1262"/>
    </row>
    <row r="32" spans="1:4" x14ac:dyDescent="0.2">
      <c r="A32" s="1254" t="s">
        <v>1233</v>
      </c>
      <c r="D32" s="1257">
        <f>SUM(D19:D30)</f>
        <v>207122</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69"/>
      <c r="B40" s="2469"/>
      <c r="D40" s="1262"/>
    </row>
    <row r="41" spans="1:4" x14ac:dyDescent="0.2">
      <c r="A41" s="2469"/>
      <c r="B41" s="2469"/>
      <c r="D41" s="1265"/>
    </row>
    <row r="42" spans="1:4" x14ac:dyDescent="0.2">
      <c r="A42" s="2469"/>
      <c r="B42" s="2469"/>
      <c r="D42" s="1265"/>
    </row>
    <row r="43" spans="1:4" x14ac:dyDescent="0.2">
      <c r="A43" s="2469"/>
      <c r="B43" s="2469"/>
      <c r="D43" s="1265"/>
    </row>
    <row r="44" spans="1:4" x14ac:dyDescent="0.2">
      <c r="A44" s="2469"/>
      <c r="B44" s="2469"/>
      <c r="D44" s="1265"/>
    </row>
    <row r="45" spans="1:4" x14ac:dyDescent="0.2">
      <c r="A45" s="2469"/>
      <c r="B45" s="2469"/>
      <c r="D45" s="1265"/>
    </row>
    <row r="47" spans="1:4" x14ac:dyDescent="0.2">
      <c r="B47" s="1266" t="s">
        <v>1227</v>
      </c>
      <c r="C47" s="1266"/>
      <c r="D47" s="1267">
        <f>SUM(D35:D45)</f>
        <v>0</v>
      </c>
    </row>
    <row r="49" spans="2:4" x14ac:dyDescent="0.2">
      <c r="B49" s="1266" t="s">
        <v>1226</v>
      </c>
      <c r="C49" s="1266"/>
      <c r="D49" s="1267">
        <f>D32-D47</f>
        <v>207122</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31" t="str">
        <f>'Single Audit Cover'!A7</f>
        <v>Carthage ESD 317</v>
      </c>
      <c r="C1" s="2474"/>
      <c r="D1" s="2474"/>
      <c r="E1" s="2474"/>
      <c r="F1" s="2474"/>
      <c r="G1" s="2474"/>
      <c r="H1" s="2474"/>
      <c r="I1" s="2474"/>
      <c r="J1" s="2474"/>
      <c r="K1" s="2474"/>
      <c r="L1" s="2474"/>
      <c r="M1" s="2474"/>
    </row>
    <row r="2" spans="2:14" ht="15" x14ac:dyDescent="0.2">
      <c r="B2" s="2475">
        <f>'Single Audit Cover'!E7</f>
        <v>26034317004</v>
      </c>
      <c r="C2" s="2475"/>
      <c r="D2" s="2475"/>
      <c r="E2" s="2475"/>
      <c r="F2" s="2475"/>
      <c r="G2" s="2475"/>
      <c r="H2" s="2475"/>
      <c r="I2" s="2475"/>
      <c r="J2" s="2475"/>
      <c r="K2" s="2475"/>
      <c r="L2" s="2475"/>
      <c r="M2" s="2475"/>
      <c r="N2" s="1296"/>
    </row>
    <row r="3" spans="2:14" ht="15" x14ac:dyDescent="0.2">
      <c r="B3" s="2476" t="s">
        <v>1219</v>
      </c>
      <c r="C3" s="2476"/>
      <c r="D3" s="2476"/>
      <c r="E3" s="2476"/>
      <c r="F3" s="2476"/>
      <c r="G3" s="2476"/>
      <c r="H3" s="2476"/>
      <c r="I3" s="2476"/>
      <c r="J3" s="2476"/>
      <c r="K3" s="2476"/>
      <c r="L3" s="2476"/>
      <c r="M3" s="2476"/>
      <c r="N3" s="1296"/>
    </row>
    <row r="4" spans="2:14" ht="15" x14ac:dyDescent="0.2">
      <c r="B4" s="2477" t="str">
        <f>'Single Audit Cover'!A4</f>
        <v>Year Ending June 30, 2019</v>
      </c>
      <c r="C4" s="2477"/>
      <c r="D4" s="2477"/>
      <c r="E4" s="2477"/>
      <c r="F4" s="2477"/>
      <c r="G4" s="2477"/>
      <c r="H4" s="2477"/>
      <c r="I4" s="2477"/>
      <c r="J4" s="2477"/>
      <c r="K4" s="2477"/>
      <c r="L4" s="2477"/>
      <c r="M4" s="2477"/>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79" t="str">
        <f>'Single Audit Cover'!A7</f>
        <v>Carthage ESD 317</v>
      </c>
      <c r="B1" s="2479"/>
      <c r="C1" s="2479"/>
      <c r="D1" s="2479"/>
      <c r="E1" s="2479"/>
      <c r="F1" s="2479"/>
    </row>
    <row r="2" spans="1:7" ht="13.5" customHeight="1" x14ac:dyDescent="0.2">
      <c r="A2" s="2475">
        <f>'Single Audit Cover'!E7</f>
        <v>26034317004</v>
      </c>
      <c r="B2" s="2475"/>
      <c r="C2" s="2475"/>
      <c r="D2" s="2475"/>
      <c r="E2" s="2475"/>
      <c r="F2" s="2475"/>
      <c r="G2" s="1269"/>
    </row>
    <row r="3" spans="1:7" ht="15.75" customHeight="1" x14ac:dyDescent="0.2">
      <c r="A3" s="2480" t="s">
        <v>1271</v>
      </c>
      <c r="B3" s="2480"/>
      <c r="C3" s="2480"/>
      <c r="D3" s="2480"/>
      <c r="E3" s="2480"/>
      <c r="F3" s="2480"/>
    </row>
    <row r="4" spans="1:7" ht="13.5" customHeight="1" x14ac:dyDescent="0.2">
      <c r="A4" s="2481" t="str">
        <f>'Single Audit Cover'!A4</f>
        <v>Year Ending June 30, 2019</v>
      </c>
      <c r="B4" s="2481"/>
      <c r="C4" s="2481"/>
      <c r="D4" s="2481"/>
      <c r="E4" s="2481"/>
      <c r="F4" s="2481"/>
    </row>
    <row r="5" spans="1:7" ht="8.25" customHeight="1" x14ac:dyDescent="0.2">
      <c r="C5" s="317"/>
      <c r="D5" s="317"/>
    </row>
    <row r="6" spans="1:7" ht="13.5" customHeight="1" x14ac:dyDescent="0.2">
      <c r="A6" s="1270" t="s">
        <v>1728</v>
      </c>
      <c r="C6" s="317"/>
      <c r="D6" s="317"/>
    </row>
    <row r="7" spans="1:7" ht="60.95" customHeight="1" x14ac:dyDescent="0.2">
      <c r="A7" s="2478" t="s">
        <v>1729</v>
      </c>
      <c r="B7" s="2478"/>
      <c r="C7" s="2478"/>
      <c r="D7" s="2478"/>
      <c r="E7" s="2478"/>
      <c r="F7" s="2478"/>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78" t="s">
        <v>1731</v>
      </c>
      <c r="B13" s="2478"/>
      <c r="C13" s="2478"/>
      <c r="D13" s="2478"/>
      <c r="E13" s="2478"/>
      <c r="F13" s="2478"/>
    </row>
    <row r="14" spans="1:7" ht="9.75" customHeight="1" x14ac:dyDescent="0.2">
      <c r="C14" s="1254"/>
      <c r="D14" s="1254"/>
    </row>
    <row r="15" spans="1:7" ht="13.5" customHeight="1" x14ac:dyDescent="0.2">
      <c r="C15" s="1843" t="s">
        <v>1270</v>
      </c>
      <c r="D15" s="2483" t="s">
        <v>1269</v>
      </c>
      <c r="E15" s="2483"/>
      <c r="F15" s="2483"/>
    </row>
    <row r="16" spans="1:7" ht="13.5" customHeight="1" x14ac:dyDescent="0.2">
      <c r="A16" s="1276"/>
      <c r="B16" s="1270" t="s">
        <v>1268</v>
      </c>
      <c r="C16" s="1843" t="s">
        <v>1267</v>
      </c>
      <c r="D16" s="2484" t="s">
        <v>1588</v>
      </c>
      <c r="E16" s="2484"/>
      <c r="F16" s="2484"/>
    </row>
    <row r="17" spans="1:6" ht="20.45" customHeight="1" x14ac:dyDescent="0.2">
      <c r="A17" s="1277"/>
      <c r="B17" s="1278"/>
      <c r="C17" s="1279"/>
      <c r="D17" s="2482"/>
      <c r="E17" s="2482"/>
      <c r="F17" s="2482"/>
    </row>
    <row r="18" spans="1:6" ht="20.65" customHeight="1" x14ac:dyDescent="0.2">
      <c r="A18" s="1277"/>
      <c r="B18" s="1278"/>
      <c r="C18" s="1279"/>
      <c r="D18" s="2482"/>
      <c r="E18" s="2482"/>
      <c r="F18" s="2482"/>
    </row>
    <row r="19" spans="1:6" ht="20.65" customHeight="1" x14ac:dyDescent="0.2">
      <c r="A19" s="1277"/>
      <c r="B19" s="1278"/>
      <c r="C19" s="1279"/>
      <c r="D19" s="2482"/>
      <c r="E19" s="2482"/>
      <c r="F19" s="2482"/>
    </row>
    <row r="20" spans="1:6" ht="20.65" customHeight="1" x14ac:dyDescent="0.2">
      <c r="A20" s="1277"/>
      <c r="B20" s="1278"/>
      <c r="C20" s="1279"/>
      <c r="D20" s="2482"/>
      <c r="E20" s="2482"/>
      <c r="F20" s="2482"/>
    </row>
    <row r="21" spans="1:6" ht="20.65" customHeight="1" x14ac:dyDescent="0.2">
      <c r="A21" s="1277"/>
      <c r="B21" s="1278"/>
      <c r="C21" s="1279"/>
      <c r="D21" s="2482"/>
      <c r="E21" s="2482"/>
      <c r="F21" s="2482"/>
    </row>
    <row r="22" spans="1:6" ht="20.65" customHeight="1" x14ac:dyDescent="0.2">
      <c r="A22" s="1277"/>
      <c r="B22" s="1278"/>
      <c r="C22" s="1279"/>
      <c r="D22" s="2482"/>
      <c r="E22" s="2482"/>
      <c r="F22" s="2482"/>
    </row>
    <row r="23" spans="1:6" ht="20.65" customHeight="1" x14ac:dyDescent="0.2">
      <c r="A23" s="1277"/>
      <c r="B23" s="1278"/>
      <c r="C23" s="1279"/>
      <c r="D23" s="2482"/>
      <c r="E23" s="2482"/>
      <c r="F23" s="2482"/>
    </row>
    <row r="24" spans="1:6" ht="20.65" customHeight="1" x14ac:dyDescent="0.2">
      <c r="A24" s="1277"/>
      <c r="B24" s="1278"/>
      <c r="C24" s="1279"/>
      <c r="D24" s="2482"/>
      <c r="E24" s="2482"/>
      <c r="F24" s="2482"/>
    </row>
    <row r="25" spans="1:6" ht="20.65" customHeight="1" x14ac:dyDescent="0.2">
      <c r="A25" s="1277"/>
      <c r="B25" s="1278"/>
      <c r="C25" s="1279"/>
      <c r="D25" s="2482"/>
      <c r="E25" s="2482"/>
      <c r="F25" s="2482"/>
    </row>
    <row r="26" spans="1:6" ht="20.65" customHeight="1" x14ac:dyDescent="0.2">
      <c r="A26" s="1277"/>
      <c r="B26" s="1278"/>
      <c r="C26" s="1279"/>
      <c r="D26" s="2482"/>
      <c r="E26" s="2482"/>
      <c r="F26" s="2482"/>
    </row>
    <row r="27" spans="1:6" ht="20.65" customHeight="1" x14ac:dyDescent="0.2">
      <c r="A27" s="1277"/>
      <c r="B27" s="1278"/>
      <c r="C27" s="1279"/>
      <c r="D27" s="2482"/>
      <c r="E27" s="2482"/>
      <c r="F27" s="2482"/>
    </row>
    <row r="28" spans="1:6" ht="20.65" customHeight="1" x14ac:dyDescent="0.2">
      <c r="A28" s="1277"/>
      <c r="B28" s="1278"/>
      <c r="C28" s="1279"/>
      <c r="D28" s="2482"/>
      <c r="E28" s="2482"/>
      <c r="F28" s="2482"/>
    </row>
    <row r="29" spans="1:6" ht="20.65" customHeight="1" x14ac:dyDescent="0.2">
      <c r="A29" s="1277"/>
      <c r="B29" s="1278"/>
      <c r="C29" s="1279"/>
      <c r="D29" s="2482"/>
      <c r="E29" s="2482"/>
      <c r="F29" s="2482"/>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86" t="s">
        <v>1732</v>
      </c>
      <c r="B32" s="2486"/>
      <c r="C32" s="2486"/>
      <c r="D32" s="2486"/>
      <c r="E32" s="2486"/>
      <c r="F32" s="2486"/>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87">
        <f>+C33+C34</f>
        <v>0</v>
      </c>
      <c r="F34" s="2488"/>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89" t="s">
        <v>1590</v>
      </c>
      <c r="C49" s="2489"/>
      <c r="D49" s="2489"/>
      <c r="E49" s="1393"/>
    </row>
    <row r="50" spans="1:5" s="1294" customFormat="1" ht="3.75" customHeight="1" x14ac:dyDescent="0.2">
      <c r="A50" s="1293"/>
      <c r="B50" s="1842"/>
      <c r="C50" s="1842"/>
      <c r="D50" s="1842"/>
      <c r="E50" s="1393"/>
    </row>
    <row r="51" spans="1:5" s="1294" customFormat="1" ht="20.25" customHeight="1" x14ac:dyDescent="0.2">
      <c r="A51" s="1295">
        <v>6</v>
      </c>
      <c r="B51" s="2485" t="s">
        <v>1551</v>
      </c>
      <c r="C51" s="2485"/>
      <c r="D51" s="2485"/>
    </row>
    <row r="52" spans="1:5" ht="14.25" customHeight="1" x14ac:dyDescent="0.2">
      <c r="A52" s="1295"/>
      <c r="B52" s="2485"/>
      <c r="C52" s="2485"/>
      <c r="D52" s="2485"/>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5" t="s">
        <v>1168</v>
      </c>
      <c r="B2" s="2095"/>
      <c r="C2" s="2095"/>
      <c r="D2" s="2095"/>
      <c r="E2" s="2095"/>
      <c r="F2" s="2095"/>
      <c r="G2" s="2095"/>
      <c r="H2" s="2095"/>
      <c r="I2" s="2095"/>
      <c r="J2" s="209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09" t="s">
        <v>1633</v>
      </c>
      <c r="B35" s="2110"/>
      <c r="C35" s="2110"/>
      <c r="D35" s="2110"/>
      <c r="E35" s="2111"/>
      <c r="F35" s="2111"/>
      <c r="G35" s="2111"/>
      <c r="H35" s="2111"/>
      <c r="I35" s="211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09" t="s">
        <v>313</v>
      </c>
      <c r="B47" s="2112"/>
      <c r="C47" s="2112"/>
      <c r="D47" s="2112"/>
      <c r="E47" s="2113"/>
      <c r="F47" s="2113"/>
      <c r="G47" s="2113"/>
      <c r="H47" s="2113"/>
      <c r="I47" s="211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2070</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6"/>
      <c r="C57" s="2117"/>
      <c r="D57" s="2117"/>
      <c r="E57" s="2117"/>
      <c r="F57" s="2117"/>
      <c r="G57" s="2117"/>
      <c r="H57" s="2117"/>
      <c r="I57" s="2117"/>
      <c r="J57" s="2118"/>
    </row>
    <row r="58" spans="1:10" s="181" customFormat="1" x14ac:dyDescent="0.2">
      <c r="A58" s="253"/>
      <c r="B58" s="2119"/>
      <c r="C58" s="2120"/>
      <c r="D58" s="2120"/>
      <c r="E58" s="2120"/>
      <c r="F58" s="2120"/>
      <c r="G58" s="2120"/>
      <c r="H58" s="2120"/>
      <c r="I58" s="2120"/>
      <c r="J58" s="2121"/>
    </row>
    <row r="59" spans="1:10" s="181" customFormat="1" x14ac:dyDescent="0.2">
      <c r="A59" s="253"/>
      <c r="B59" s="2119"/>
      <c r="C59" s="2120"/>
      <c r="D59" s="2120"/>
      <c r="E59" s="2120"/>
      <c r="F59" s="2120"/>
      <c r="G59" s="2120"/>
      <c r="H59" s="2120"/>
      <c r="I59" s="2120"/>
      <c r="J59" s="2121"/>
    </row>
    <row r="60" spans="1:10" s="181" customFormat="1" x14ac:dyDescent="0.2">
      <c r="A60" s="253"/>
      <c r="B60" s="2119"/>
      <c r="C60" s="2120"/>
      <c r="D60" s="2120"/>
      <c r="E60" s="2120"/>
      <c r="F60" s="2120"/>
      <c r="G60" s="2120"/>
      <c r="H60" s="2120"/>
      <c r="I60" s="2120"/>
      <c r="J60" s="2121"/>
    </row>
    <row r="61" spans="1:10" s="181" customFormat="1" x14ac:dyDescent="0.2">
      <c r="A61" s="253"/>
      <c r="B61" s="2119"/>
      <c r="C61" s="2120"/>
      <c r="D61" s="2120"/>
      <c r="E61" s="2120"/>
      <c r="F61" s="2120"/>
      <c r="G61" s="2120"/>
      <c r="H61" s="2120"/>
      <c r="I61" s="2120"/>
      <c r="J61" s="2121"/>
    </row>
    <row r="62" spans="1:10" s="181" customFormat="1" x14ac:dyDescent="0.2">
      <c r="A62" s="253"/>
      <c r="B62" s="2119"/>
      <c r="C62" s="2120"/>
      <c r="D62" s="2120"/>
      <c r="E62" s="2120"/>
      <c r="F62" s="2120"/>
      <c r="G62" s="2120"/>
      <c r="H62" s="2120"/>
      <c r="I62" s="2120"/>
      <c r="J62" s="2121"/>
    </row>
    <row r="63" spans="1:10" s="181" customFormat="1" x14ac:dyDescent="0.2">
      <c r="A63" s="253"/>
      <c r="B63" s="2119"/>
      <c r="C63" s="2120"/>
      <c r="D63" s="2120"/>
      <c r="E63" s="2120"/>
      <c r="F63" s="2120"/>
      <c r="G63" s="2120"/>
      <c r="H63" s="2120"/>
      <c r="I63" s="2120"/>
      <c r="J63" s="2121"/>
    </row>
    <row r="64" spans="1:10" s="181" customFormat="1" x14ac:dyDescent="0.2">
      <c r="A64" s="253"/>
      <c r="B64" s="2119"/>
      <c r="C64" s="2120"/>
      <c r="D64" s="2120"/>
      <c r="E64" s="2120"/>
      <c r="F64" s="2120"/>
      <c r="G64" s="2120"/>
      <c r="H64" s="2120"/>
      <c r="I64" s="2120"/>
      <c r="J64" s="2121"/>
    </row>
    <row r="65" spans="1:10" s="181" customFormat="1" x14ac:dyDescent="0.2">
      <c r="A65" s="253"/>
      <c r="B65" s="2119"/>
      <c r="C65" s="2120"/>
      <c r="D65" s="2120"/>
      <c r="E65" s="2120"/>
      <c r="F65" s="2120"/>
      <c r="G65" s="2120"/>
      <c r="H65" s="2120"/>
      <c r="I65" s="2120"/>
      <c r="J65" s="2121"/>
    </row>
    <row r="66" spans="1:10" s="181" customFormat="1" x14ac:dyDescent="0.2">
      <c r="A66" s="253"/>
      <c r="B66" s="2119"/>
      <c r="C66" s="2120"/>
      <c r="D66" s="2120"/>
      <c r="E66" s="2120"/>
      <c r="F66" s="2120"/>
      <c r="G66" s="2120"/>
      <c r="H66" s="2120"/>
      <c r="I66" s="2120"/>
      <c r="J66" s="2121"/>
    </row>
    <row r="67" spans="1:10" s="181" customFormat="1" ht="9" customHeight="1" x14ac:dyDescent="0.2">
      <c r="A67" s="254"/>
      <c r="B67" s="2122"/>
      <c r="C67" s="2123"/>
      <c r="D67" s="2123"/>
      <c r="E67" s="2123"/>
      <c r="F67" s="2123"/>
      <c r="G67" s="2123"/>
      <c r="H67" s="2123"/>
      <c r="I67" s="2123"/>
      <c r="J67" s="212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9" t="s">
        <v>1323</v>
      </c>
      <c r="B70" s="2112"/>
      <c r="C70" s="2112"/>
      <c r="D70" s="2112"/>
      <c r="E70" s="2113"/>
      <c r="F70" s="2113"/>
      <c r="G70" s="2113"/>
      <c r="H70" s="2113"/>
      <c r="I70" s="211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4" t="s">
        <v>1320</v>
      </c>
      <c r="B83" s="2114"/>
      <c r="C83" s="2114"/>
      <c r="D83" s="211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96" t="s">
        <v>2129</v>
      </c>
      <c r="C102" s="2097"/>
      <c r="D102" s="2097"/>
      <c r="E102" s="2097"/>
      <c r="F102" s="2097"/>
      <c r="G102" s="2097"/>
      <c r="H102" s="2097"/>
      <c r="I102" s="2098"/>
    </row>
    <row r="103" spans="1:9" s="181" customFormat="1" ht="11.25" customHeight="1" x14ac:dyDescent="0.2">
      <c r="A103" s="316"/>
      <c r="B103" s="2099"/>
      <c r="C103" s="2100"/>
      <c r="D103" s="2100"/>
      <c r="E103" s="2100"/>
      <c r="F103" s="2100"/>
      <c r="G103" s="2100"/>
      <c r="H103" s="2100"/>
      <c r="I103" s="2101"/>
    </row>
    <row r="104" spans="1:9" s="181" customFormat="1" ht="11.25" customHeight="1" x14ac:dyDescent="0.2">
      <c r="A104" s="316"/>
      <c r="B104" s="2099"/>
      <c r="C104" s="2100"/>
      <c r="D104" s="2100"/>
      <c r="E104" s="2100"/>
      <c r="F104" s="2100"/>
      <c r="G104" s="2100"/>
      <c r="H104" s="2100"/>
      <c r="I104" s="2101"/>
    </row>
    <row r="105" spans="1:9" s="181" customFormat="1" x14ac:dyDescent="0.2">
      <c r="A105" s="316"/>
      <c r="B105" s="2099"/>
      <c r="C105" s="2100"/>
      <c r="D105" s="2100"/>
      <c r="E105" s="2100"/>
      <c r="F105" s="2100"/>
      <c r="G105" s="2100"/>
      <c r="H105" s="2100"/>
      <c r="I105" s="2101"/>
    </row>
    <row r="106" spans="1:9" s="181" customFormat="1" ht="11.25" customHeight="1" x14ac:dyDescent="0.2">
      <c r="A106" s="316"/>
      <c r="B106" s="2099"/>
      <c r="C106" s="2100"/>
      <c r="D106" s="2100"/>
      <c r="E106" s="2100"/>
      <c r="F106" s="2100"/>
      <c r="G106" s="2100"/>
      <c r="H106" s="2100"/>
      <c r="I106" s="2101"/>
    </row>
    <row r="107" spans="1:9" s="181" customFormat="1" ht="11.25" customHeight="1" x14ac:dyDescent="0.2">
      <c r="A107" s="316"/>
      <c r="B107" s="2099"/>
      <c r="C107" s="2100"/>
      <c r="D107" s="2100"/>
      <c r="E107" s="2100"/>
      <c r="F107" s="2100"/>
      <c r="G107" s="2100"/>
      <c r="H107" s="2100"/>
      <c r="I107" s="2101"/>
    </row>
    <row r="108" spans="1:9" s="181" customFormat="1" ht="11.25" customHeight="1" x14ac:dyDescent="0.2">
      <c r="A108" s="316"/>
      <c r="B108" s="2099"/>
      <c r="C108" s="2100"/>
      <c r="D108" s="2100"/>
      <c r="E108" s="2100"/>
      <c r="F108" s="2100"/>
      <c r="G108" s="2100"/>
      <c r="H108" s="2100"/>
      <c r="I108" s="2101"/>
    </row>
    <row r="109" spans="1:9" s="181" customFormat="1" ht="11.25" customHeight="1" x14ac:dyDescent="0.2">
      <c r="A109" s="316"/>
      <c r="B109" s="2099"/>
      <c r="C109" s="2100"/>
      <c r="D109" s="2100"/>
      <c r="E109" s="2100"/>
      <c r="F109" s="2100"/>
      <c r="G109" s="2100"/>
      <c r="H109" s="2100"/>
      <c r="I109" s="2101"/>
    </row>
    <row r="110" spans="1:9" s="181" customFormat="1" ht="11.25" customHeight="1" x14ac:dyDescent="0.2">
      <c r="A110" s="316"/>
      <c r="B110" s="2099"/>
      <c r="C110" s="2100"/>
      <c r="D110" s="2100"/>
      <c r="E110" s="2100"/>
      <c r="F110" s="2100"/>
      <c r="G110" s="2100"/>
      <c r="H110" s="2100"/>
      <c r="I110" s="2101"/>
    </row>
    <row r="111" spans="1:9" s="181" customFormat="1" ht="11.25" customHeight="1" x14ac:dyDescent="0.2">
      <c r="A111" s="316"/>
      <c r="B111" s="2099"/>
      <c r="C111" s="2100"/>
      <c r="D111" s="2100"/>
      <c r="E111" s="2100"/>
      <c r="F111" s="2100"/>
      <c r="G111" s="2100"/>
      <c r="H111" s="2100"/>
      <c r="I111" s="2101"/>
    </row>
    <row r="112" spans="1:9" s="181" customFormat="1" ht="11.25" customHeight="1" x14ac:dyDescent="0.2">
      <c r="A112" s="316"/>
      <c r="B112" s="2102"/>
      <c r="C112" s="2103"/>
      <c r="D112" s="2103"/>
      <c r="E112" s="2103"/>
      <c r="F112" s="2103"/>
      <c r="G112" s="2103"/>
      <c r="H112" s="2103"/>
      <c r="I112" s="210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5" t="s">
        <v>2130</v>
      </c>
      <c r="D114" s="210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6" t="s">
        <v>1330</v>
      </c>
      <c r="D117" s="2107"/>
      <c r="E117" s="2108"/>
      <c r="F117" s="2108"/>
      <c r="G117" s="2108"/>
      <c r="H117" s="2108"/>
      <c r="I117" s="304"/>
    </row>
    <row r="118" spans="1:9" s="181" customFormat="1" ht="24" customHeight="1" x14ac:dyDescent="0.2">
      <c r="A118" s="316"/>
      <c r="B118" s="316"/>
      <c r="C118" s="316"/>
      <c r="D118" s="323" t="s">
        <v>2146</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4" t="str">
        <f>'Single Audit Cover'!A7</f>
        <v>Carthage ESD 317</v>
      </c>
      <c r="C1" s="2495"/>
      <c r="D1" s="2495"/>
      <c r="E1" s="2495"/>
      <c r="F1" s="2495"/>
      <c r="G1" s="2495"/>
      <c r="H1" s="2495"/>
      <c r="I1" s="2495"/>
      <c r="J1" s="1403"/>
    </row>
    <row r="2" spans="2:10" s="317" customFormat="1" ht="12.75" customHeight="1" x14ac:dyDescent="0.2">
      <c r="B2" s="2496">
        <f>'Single Audit Cover'!E7</f>
        <v>26034317004</v>
      </c>
      <c r="C2" s="2497"/>
      <c r="D2" s="2497"/>
      <c r="E2" s="2497"/>
      <c r="F2" s="2497"/>
      <c r="G2" s="2497"/>
      <c r="H2" s="2497"/>
      <c r="I2" s="2497"/>
      <c r="J2" s="1403"/>
    </row>
    <row r="3" spans="2:10" s="317" customFormat="1" ht="12.75" customHeight="1" x14ac:dyDescent="0.2">
      <c r="B3" s="2498" t="s">
        <v>1285</v>
      </c>
      <c r="C3" s="2499"/>
      <c r="D3" s="2499"/>
      <c r="E3" s="2499"/>
      <c r="F3" s="2499"/>
      <c r="G3" s="2499"/>
      <c r="H3" s="2499"/>
      <c r="I3" s="2499"/>
      <c r="J3" s="1404"/>
    </row>
    <row r="4" spans="2:10" s="317" customFormat="1" ht="12.75" customHeight="1" x14ac:dyDescent="0.2">
      <c r="B4" s="2498" t="str">
        <f>'Single Audit Cover'!A4</f>
        <v>Year Ending June 30, 2019</v>
      </c>
      <c r="C4" s="2499"/>
      <c r="D4" s="2499"/>
      <c r="E4" s="2499"/>
      <c r="F4" s="2499"/>
      <c r="G4" s="2499"/>
      <c r="H4" s="2499"/>
      <c r="I4" s="2499"/>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98" t="s">
        <v>1284</v>
      </c>
      <c r="C7" s="2499"/>
      <c r="D7" s="2499"/>
      <c r="E7" s="2499"/>
      <c r="F7" s="2499"/>
      <c r="G7" s="2499"/>
      <c r="H7" s="2499"/>
      <c r="I7" s="2499"/>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500"/>
      <c r="D11" s="2500"/>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501"/>
      <c r="E29" s="2501"/>
      <c r="F29" s="2501"/>
      <c r="G29" s="2501"/>
      <c r="H29" s="2501"/>
      <c r="I29" s="2501"/>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502" t="s">
        <v>1751</v>
      </c>
      <c r="D37" s="2503"/>
      <c r="E37" s="2503"/>
      <c r="F37" s="2504"/>
      <c r="G37" s="2502" t="s">
        <v>1592</v>
      </c>
      <c r="H37" s="2503"/>
      <c r="I37" s="2504"/>
    </row>
    <row r="38" spans="2:9" ht="16.5" customHeight="1" x14ac:dyDescent="0.2">
      <c r="B38" s="1425"/>
      <c r="C38" s="2490"/>
      <c r="D38" s="2491"/>
      <c r="E38" s="2491"/>
      <c r="F38" s="2492"/>
      <c r="G38" s="2505"/>
      <c r="H38" s="2506"/>
      <c r="I38" s="2507"/>
    </row>
    <row r="39" spans="2:9" ht="16.5" customHeight="1" x14ac:dyDescent="0.2">
      <c r="B39" s="1425"/>
      <c r="C39" s="2490"/>
      <c r="D39" s="2491"/>
      <c r="E39" s="2491"/>
      <c r="F39" s="2492"/>
      <c r="G39" s="2493"/>
      <c r="H39" s="2493"/>
      <c r="I39" s="2493"/>
    </row>
    <row r="40" spans="2:9" ht="16.5" customHeight="1" x14ac:dyDescent="0.2">
      <c r="B40" s="1425"/>
      <c r="C40" s="2490"/>
      <c r="D40" s="2491"/>
      <c r="E40" s="2491"/>
      <c r="F40" s="2492"/>
      <c r="G40" s="2493"/>
      <c r="H40" s="2493"/>
      <c r="I40" s="2493"/>
    </row>
    <row r="41" spans="2:9" ht="16.5" customHeight="1" x14ac:dyDescent="0.2">
      <c r="B41" s="1425"/>
      <c r="C41" s="2490"/>
      <c r="D41" s="2491"/>
      <c r="E41" s="2491"/>
      <c r="F41" s="2492"/>
      <c r="G41" s="2493"/>
      <c r="H41" s="2493"/>
      <c r="I41" s="2493"/>
    </row>
    <row r="42" spans="2:9" ht="16.5" customHeight="1" x14ac:dyDescent="0.2">
      <c r="B42" s="1425"/>
      <c r="C42" s="2490"/>
      <c r="D42" s="2491"/>
      <c r="E42" s="2491"/>
      <c r="F42" s="2492"/>
      <c r="G42" s="2493"/>
      <c r="H42" s="2493"/>
      <c r="I42" s="2493"/>
    </row>
    <row r="43" spans="2:9" ht="16.5" customHeight="1" x14ac:dyDescent="0.2">
      <c r="B43" s="1425"/>
      <c r="C43" s="2508" t="s">
        <v>1593</v>
      </c>
      <c r="D43" s="2509"/>
      <c r="E43" s="2509"/>
      <c r="F43" s="2510"/>
      <c r="G43" s="2511">
        <f>SUM(G38:I42)</f>
        <v>0</v>
      </c>
      <c r="H43" s="2511"/>
      <c r="I43" s="2511"/>
    </row>
    <row r="44" spans="2:9" ht="12.75" customHeight="1" x14ac:dyDescent="0.2"/>
    <row r="45" spans="2:9" ht="12.75" customHeight="1" x14ac:dyDescent="0.2">
      <c r="B45" s="1416" t="s">
        <v>1841</v>
      </c>
      <c r="D45" s="2512">
        <v>0</v>
      </c>
      <c r="E45" s="2513"/>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514"/>
      <c r="F49" s="2514"/>
      <c r="G49" s="2514"/>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961" customWidth="1"/>
    <col min="8" max="8" width="10.5703125" style="316" customWidth="1"/>
    <col min="9" max="9" width="3.42578125" style="1961"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516" t="s">
        <v>2075</v>
      </c>
      <c r="C1" s="2516"/>
      <c r="D1" s="2516"/>
      <c r="E1" s="2516"/>
      <c r="F1" s="2516"/>
      <c r="G1" s="2516"/>
      <c r="H1" s="2516"/>
      <c r="I1" s="2516"/>
      <c r="J1" s="2516"/>
      <c r="K1" s="2516"/>
      <c r="L1" s="1957"/>
      <c r="M1" s="1957"/>
    </row>
    <row r="2" spans="1:13" ht="12" customHeight="1" x14ac:dyDescent="0.2">
      <c r="B2" s="2517" t="s">
        <v>2073</v>
      </c>
      <c r="C2" s="2517"/>
      <c r="D2" s="2517"/>
      <c r="E2" s="2517"/>
      <c r="F2" s="2517"/>
      <c r="G2" s="2517"/>
      <c r="H2" s="2517"/>
      <c r="I2" s="2517"/>
      <c r="J2" s="2517"/>
      <c r="K2" s="2517"/>
      <c r="L2" s="1958"/>
      <c r="M2" s="1959"/>
    </row>
    <row r="3" spans="1:13" ht="10.35" customHeight="1" x14ac:dyDescent="0.2">
      <c r="B3" s="2518" t="s">
        <v>1285</v>
      </c>
      <c r="C3" s="2518"/>
      <c r="D3" s="2518"/>
      <c r="E3" s="2518"/>
      <c r="F3" s="2518"/>
      <c r="G3" s="2518"/>
      <c r="H3" s="2518"/>
      <c r="I3" s="2518"/>
      <c r="J3" s="2518"/>
      <c r="K3" s="2518"/>
      <c r="L3" s="1935"/>
      <c r="M3" s="1935"/>
    </row>
    <row r="4" spans="1:13" ht="14.25" customHeight="1" x14ac:dyDescent="0.2">
      <c r="B4" s="2518" t="str">
        <f>'Single Audit Cover'!A4</f>
        <v>Year Ending June 30, 2019</v>
      </c>
      <c r="C4" s="2518"/>
      <c r="D4" s="2518"/>
      <c r="E4" s="2518"/>
      <c r="F4" s="2518"/>
      <c r="G4" s="2518"/>
      <c r="H4" s="2518"/>
      <c r="I4" s="2518"/>
      <c r="J4" s="2518"/>
      <c r="K4" s="2518"/>
      <c r="L4" s="1935"/>
      <c r="M4" s="1935"/>
    </row>
    <row r="5" spans="1:13" ht="7.5" customHeight="1" x14ac:dyDescent="0.2">
      <c r="B5" s="1960" t="s">
        <v>1169</v>
      </c>
      <c r="C5" s="1960"/>
    </row>
    <row r="6" spans="1:13" ht="7.5" customHeight="1" x14ac:dyDescent="0.2">
      <c r="B6" s="1962"/>
      <c r="C6" s="1962"/>
      <c r="D6" s="1963"/>
      <c r="E6" s="1963"/>
      <c r="F6" s="1963"/>
      <c r="G6" s="1964"/>
      <c r="H6" s="1963"/>
      <c r="I6" s="1964"/>
      <c r="J6" s="1963"/>
      <c r="K6" s="1963"/>
    </row>
    <row r="7" spans="1:13" ht="12.75" customHeight="1" x14ac:dyDescent="0.2">
      <c r="A7" s="1209"/>
      <c r="B7" s="2518" t="s">
        <v>1296</v>
      </c>
      <c r="C7" s="2518"/>
      <c r="D7" s="2497"/>
      <c r="E7" s="2497"/>
      <c r="F7" s="2497"/>
      <c r="G7" s="2497"/>
      <c r="H7" s="2497"/>
      <c r="I7" s="2497"/>
      <c r="J7" s="2497"/>
      <c r="K7" s="2497"/>
      <c r="L7" s="1965"/>
    </row>
    <row r="8" spans="1:13" ht="7.5" customHeight="1" x14ac:dyDescent="0.2"/>
    <row r="9" spans="1:13" ht="9.6" customHeight="1" x14ac:dyDescent="0.2">
      <c r="B9" s="1963"/>
      <c r="C9" s="1963"/>
      <c r="D9" s="1963"/>
      <c r="E9" s="1963"/>
      <c r="F9" s="1963"/>
      <c r="G9" s="1964"/>
      <c r="H9" s="1963"/>
      <c r="I9" s="1964"/>
      <c r="J9" s="1963"/>
      <c r="K9" s="1963"/>
    </row>
    <row r="10" spans="1:13" ht="16.5" customHeight="1" x14ac:dyDescent="0.2">
      <c r="B10" s="1213" t="s">
        <v>1742</v>
      </c>
      <c r="C10" s="1966" t="s">
        <v>1991</v>
      </c>
      <c r="D10" s="1380">
        <v>1</v>
      </c>
      <c r="F10" s="1213" t="s">
        <v>1295</v>
      </c>
      <c r="G10" s="1382"/>
      <c r="H10" s="1967" t="s">
        <v>1294</v>
      </c>
      <c r="I10" s="1382" t="s">
        <v>2070</v>
      </c>
      <c r="J10" s="1968" t="s">
        <v>1293</v>
      </c>
    </row>
    <row r="11" spans="1:13" ht="13.5" customHeight="1" x14ac:dyDescent="0.2">
      <c r="I11" s="1969" t="s">
        <v>1292</v>
      </c>
      <c r="K11" s="1386">
        <v>2008</v>
      </c>
    </row>
    <row r="12" spans="1:13" ht="13.5" customHeight="1" x14ac:dyDescent="0.2">
      <c r="B12" s="1960"/>
      <c r="C12" s="1960"/>
    </row>
    <row r="13" spans="1:13" s="1209" customFormat="1" ht="13.5" customHeight="1" x14ac:dyDescent="0.2">
      <c r="B13" s="1970" t="s">
        <v>1291</v>
      </c>
      <c r="C13" s="1970"/>
      <c r="D13" s="1971"/>
      <c r="E13" s="1971"/>
      <c r="F13" s="1971"/>
      <c r="G13" s="1972"/>
      <c r="H13" s="1971"/>
      <c r="I13" s="1972"/>
      <c r="J13" s="1971"/>
      <c r="K13" s="1971"/>
    </row>
    <row r="14" spans="1:13" ht="66.75" customHeight="1" x14ac:dyDescent="0.2">
      <c r="B14" s="2515" t="s">
        <v>2128</v>
      </c>
      <c r="C14" s="2515"/>
      <c r="D14" s="2515"/>
      <c r="E14" s="2515"/>
      <c r="F14" s="2515"/>
      <c r="G14" s="2515"/>
      <c r="H14" s="2515"/>
      <c r="I14" s="2515"/>
      <c r="J14" s="2515"/>
      <c r="K14" s="2515"/>
    </row>
    <row r="15" spans="1:13" ht="4.5" customHeight="1" x14ac:dyDescent="0.2">
      <c r="B15" s="1083"/>
      <c r="C15" s="1083"/>
    </row>
    <row r="16" spans="1:13" s="1209" customFormat="1" ht="13.5" customHeight="1" x14ac:dyDescent="0.2">
      <c r="B16" s="1970" t="s">
        <v>1290</v>
      </c>
      <c r="C16" s="1970"/>
      <c r="D16" s="1971"/>
      <c r="E16" s="1971"/>
      <c r="F16" s="1971"/>
      <c r="G16" s="1972"/>
      <c r="H16" s="1971"/>
      <c r="I16" s="1972"/>
      <c r="J16" s="1971"/>
      <c r="K16" s="1971"/>
    </row>
    <row r="17" spans="2:11" ht="66" customHeight="1" x14ac:dyDescent="0.2">
      <c r="B17" s="2515" t="s">
        <v>2117</v>
      </c>
      <c r="C17" s="2515"/>
      <c r="D17" s="2515"/>
      <c r="E17" s="2515"/>
      <c r="F17" s="2515"/>
      <c r="G17" s="2515"/>
      <c r="H17" s="2515"/>
      <c r="I17" s="2515"/>
      <c r="J17" s="2515"/>
      <c r="K17" s="2515"/>
    </row>
    <row r="18" spans="2:11" ht="4.5" customHeight="1" x14ac:dyDescent="0.2">
      <c r="B18" s="1083"/>
      <c r="C18" s="1083"/>
    </row>
    <row r="19" spans="2:11" s="1209" customFormat="1" ht="13.5" customHeight="1" x14ac:dyDescent="0.2">
      <c r="B19" s="1970" t="s">
        <v>1743</v>
      </c>
      <c r="C19" s="1970"/>
      <c r="D19" s="1971"/>
      <c r="E19" s="1971"/>
      <c r="F19" s="1971"/>
      <c r="G19" s="1972"/>
      <c r="H19" s="1971"/>
      <c r="I19" s="1972"/>
      <c r="J19" s="1971"/>
      <c r="K19" s="1971"/>
    </row>
    <row r="20" spans="2:11" ht="31.5" customHeight="1" x14ac:dyDescent="0.2">
      <c r="B20" s="2519" t="s">
        <v>2118</v>
      </c>
      <c r="C20" s="2519"/>
      <c r="D20" s="2515"/>
      <c r="E20" s="2515"/>
      <c r="F20" s="2515"/>
      <c r="G20" s="2515"/>
      <c r="H20" s="2515"/>
      <c r="I20" s="2515"/>
      <c r="J20" s="2515"/>
      <c r="K20" s="2515"/>
    </row>
    <row r="21" spans="2:11" ht="4.5" customHeight="1" x14ac:dyDescent="0.2">
      <c r="B21" s="1973"/>
      <c r="C21" s="1973"/>
    </row>
    <row r="22" spans="2:11" ht="13.5" customHeight="1" x14ac:dyDescent="0.2">
      <c r="B22" s="1970" t="s">
        <v>1289</v>
      </c>
      <c r="C22" s="1970"/>
      <c r="D22" s="1963"/>
      <c r="E22" s="1963"/>
      <c r="F22" s="1963"/>
      <c r="G22" s="1964"/>
      <c r="H22" s="1963"/>
      <c r="I22" s="1964"/>
      <c r="J22" s="1963"/>
      <c r="K22" s="1963"/>
    </row>
    <row r="23" spans="2:11" ht="45.75" customHeight="1" x14ac:dyDescent="0.2">
      <c r="B23" s="2515" t="s">
        <v>2127</v>
      </c>
      <c r="C23" s="2515"/>
      <c r="D23" s="2515"/>
      <c r="E23" s="2515"/>
      <c r="F23" s="2515"/>
      <c r="G23" s="2515"/>
      <c r="H23" s="2515"/>
      <c r="I23" s="2515"/>
      <c r="J23" s="2515"/>
      <c r="K23" s="2515"/>
    </row>
    <row r="24" spans="2:11" ht="4.5" customHeight="1" x14ac:dyDescent="0.2">
      <c r="B24" s="1083"/>
      <c r="C24" s="1083"/>
    </row>
    <row r="25" spans="2:11" ht="13.5" customHeight="1" x14ac:dyDescent="0.2">
      <c r="B25" s="1970" t="s">
        <v>1288</v>
      </c>
      <c r="C25" s="1970"/>
      <c r="D25" s="1963"/>
      <c r="E25" s="1963"/>
      <c r="F25" s="1963"/>
      <c r="G25" s="1964"/>
      <c r="H25" s="1963"/>
      <c r="I25" s="1964"/>
      <c r="J25" s="1963"/>
      <c r="K25" s="1963"/>
    </row>
    <row r="26" spans="2:11" ht="41.25" customHeight="1" x14ac:dyDescent="0.2">
      <c r="B26" s="2515" t="s">
        <v>2119</v>
      </c>
      <c r="C26" s="2515"/>
      <c r="D26" s="2515"/>
      <c r="E26" s="2515"/>
      <c r="F26" s="2515"/>
      <c r="G26" s="2515"/>
      <c r="H26" s="2515"/>
      <c r="I26" s="2515"/>
      <c r="J26" s="2515"/>
      <c r="K26" s="2515"/>
    </row>
    <row r="27" spans="2:11" ht="4.5" customHeight="1" x14ac:dyDescent="0.2">
      <c r="B27" s="1083"/>
      <c r="C27" s="1083"/>
    </row>
    <row r="28" spans="2:11" ht="13.5" customHeight="1" x14ac:dyDescent="0.2">
      <c r="B28" s="1974" t="s">
        <v>1287</v>
      </c>
      <c r="C28" s="1974"/>
      <c r="D28" s="1963"/>
      <c r="E28" s="1963"/>
      <c r="F28" s="1963"/>
      <c r="G28" s="1964"/>
      <c r="H28" s="1963"/>
      <c r="I28" s="1964"/>
      <c r="J28" s="1963"/>
      <c r="K28" s="1963"/>
    </row>
    <row r="29" spans="2:11" ht="45.75" customHeight="1" x14ac:dyDescent="0.2">
      <c r="B29" s="2515" t="s">
        <v>2107</v>
      </c>
      <c r="C29" s="2515"/>
      <c r="D29" s="2515"/>
      <c r="E29" s="2515"/>
      <c r="F29" s="2515"/>
      <c r="G29" s="2515"/>
      <c r="H29" s="2515"/>
      <c r="I29" s="2515"/>
      <c r="J29" s="2515"/>
      <c r="K29" s="2515"/>
    </row>
    <row r="30" spans="2:11" ht="4.3499999999999996" customHeight="1" x14ac:dyDescent="0.2">
      <c r="B30" s="1083"/>
      <c r="C30" s="1083"/>
    </row>
    <row r="31" spans="2:11" ht="13.5" customHeight="1" x14ac:dyDescent="0.2">
      <c r="B31" s="1975" t="s">
        <v>1744</v>
      </c>
      <c r="C31" s="1975"/>
      <c r="D31" s="1962"/>
      <c r="E31" s="1963"/>
      <c r="F31" s="1963"/>
      <c r="G31" s="1964"/>
      <c r="H31" s="1963"/>
      <c r="I31" s="1964"/>
      <c r="J31" s="1963"/>
      <c r="K31" s="1963"/>
    </row>
    <row r="32" spans="2:11" ht="32.25" customHeight="1" x14ac:dyDescent="0.2">
      <c r="B32" s="2515" t="s">
        <v>2120</v>
      </c>
      <c r="C32" s="2515"/>
      <c r="D32" s="2515"/>
      <c r="E32" s="2515"/>
      <c r="F32" s="2515"/>
      <c r="G32" s="2515"/>
      <c r="H32" s="2515"/>
      <c r="I32" s="2515"/>
      <c r="J32" s="2515"/>
      <c r="K32" s="2515"/>
    </row>
    <row r="33" spans="1:13" ht="4.5" customHeight="1" x14ac:dyDescent="0.2">
      <c r="B33" s="1083"/>
      <c r="C33" s="1083"/>
    </row>
    <row r="34" spans="1:13" x14ac:dyDescent="0.2">
      <c r="A34" s="1976"/>
      <c r="B34" s="1976"/>
      <c r="C34" s="1976"/>
      <c r="D34" s="1976"/>
      <c r="E34" s="1976"/>
      <c r="F34" s="1976"/>
      <c r="G34" s="1977"/>
      <c r="H34" s="1976"/>
      <c r="I34" s="1977"/>
      <c r="J34" s="1976"/>
      <c r="K34" s="1976"/>
    </row>
    <row r="35" spans="1:13" ht="11.85" customHeight="1" x14ac:dyDescent="0.2">
      <c r="B35" s="1978" t="s">
        <v>1745</v>
      </c>
      <c r="C35" s="1978"/>
    </row>
    <row r="36" spans="1:13" ht="9.6" customHeight="1" x14ac:dyDescent="0.2">
      <c r="B36" s="1216" t="s">
        <v>1842</v>
      </c>
      <c r="C36" s="1216"/>
    </row>
    <row r="37" spans="1:13" ht="9.6" customHeight="1" x14ac:dyDescent="0.2">
      <c r="B37" s="1216" t="s">
        <v>1843</v>
      </c>
      <c r="C37" s="1216"/>
    </row>
    <row r="38" spans="1:13" ht="11.85" customHeight="1" x14ac:dyDescent="0.2">
      <c r="B38" s="1978" t="s">
        <v>1746</v>
      </c>
      <c r="C38" s="1978"/>
    </row>
    <row r="39" spans="1:13" ht="9.6" customHeight="1" x14ac:dyDescent="0.2">
      <c r="B39" s="1216" t="s">
        <v>1286</v>
      </c>
      <c r="C39" s="1216"/>
      <c r="M39" s="1979"/>
    </row>
    <row r="40" spans="1:13" ht="12.75" customHeight="1" x14ac:dyDescent="0.2">
      <c r="B40" s="1978" t="s">
        <v>1747</v>
      </c>
      <c r="C40" s="1978"/>
      <c r="M40" s="1979"/>
    </row>
    <row r="41" spans="1:13" ht="9.6" customHeight="1" x14ac:dyDescent="0.2">
      <c r="B41" s="1216"/>
      <c r="C41" s="1216"/>
      <c r="M41" s="197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961" customWidth="1"/>
    <col min="8" max="8" width="10.5703125" style="316" customWidth="1"/>
    <col min="9" max="9" width="3.42578125" style="1961"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516" t="s">
        <v>2075</v>
      </c>
      <c r="C1" s="2516"/>
      <c r="D1" s="2516"/>
      <c r="E1" s="2516"/>
      <c r="F1" s="2516"/>
      <c r="G1" s="2516"/>
      <c r="H1" s="2516"/>
      <c r="I1" s="2516"/>
      <c r="J1" s="2516"/>
      <c r="K1" s="2516"/>
      <c r="L1" s="1957"/>
      <c r="M1" s="1957"/>
    </row>
    <row r="2" spans="1:13" ht="12" customHeight="1" x14ac:dyDescent="0.2">
      <c r="B2" s="2517" t="s">
        <v>2073</v>
      </c>
      <c r="C2" s="2517"/>
      <c r="D2" s="2517"/>
      <c r="E2" s="2517"/>
      <c r="F2" s="2517"/>
      <c r="G2" s="2517"/>
      <c r="H2" s="2517"/>
      <c r="I2" s="2517"/>
      <c r="J2" s="2517"/>
      <c r="K2" s="2517"/>
      <c r="L2" s="1958"/>
      <c r="M2" s="1959"/>
    </row>
    <row r="3" spans="1:13" ht="10.35" customHeight="1" x14ac:dyDescent="0.2">
      <c r="B3" s="2518" t="s">
        <v>1285</v>
      </c>
      <c r="C3" s="2518"/>
      <c r="D3" s="2518"/>
      <c r="E3" s="2518"/>
      <c r="F3" s="2518"/>
      <c r="G3" s="2518"/>
      <c r="H3" s="2518"/>
      <c r="I3" s="2518"/>
      <c r="J3" s="2518"/>
      <c r="K3" s="2518"/>
      <c r="L3" s="1935"/>
      <c r="M3" s="1935"/>
    </row>
    <row r="4" spans="1:13" ht="14.25" customHeight="1" x14ac:dyDescent="0.2">
      <c r="B4" s="2518" t="str">
        <f>'Single Audit Cover'!A4</f>
        <v>Year Ending June 30, 2019</v>
      </c>
      <c r="C4" s="2518"/>
      <c r="D4" s="2518"/>
      <c r="E4" s="2518"/>
      <c r="F4" s="2518"/>
      <c r="G4" s="2518"/>
      <c r="H4" s="2518"/>
      <c r="I4" s="2518"/>
      <c r="J4" s="2518"/>
      <c r="K4" s="2518"/>
      <c r="L4" s="1935"/>
      <c r="M4" s="1935"/>
    </row>
    <row r="5" spans="1:13" ht="7.5" customHeight="1" x14ac:dyDescent="0.2">
      <c r="B5" s="1960" t="s">
        <v>1169</v>
      </c>
      <c r="C5" s="1960"/>
    </row>
    <row r="6" spans="1:13" ht="7.5" customHeight="1" x14ac:dyDescent="0.2">
      <c r="B6" s="1962"/>
      <c r="C6" s="1962"/>
      <c r="D6" s="1963"/>
      <c r="E6" s="1963"/>
      <c r="F6" s="1963"/>
      <c r="G6" s="1964"/>
      <c r="H6" s="1963"/>
      <c r="I6" s="1964"/>
      <c r="J6" s="1963"/>
      <c r="K6" s="1963"/>
    </row>
    <row r="7" spans="1:13" ht="12.75" customHeight="1" x14ac:dyDescent="0.2">
      <c r="A7" s="1209"/>
      <c r="B7" s="2518" t="s">
        <v>1296</v>
      </c>
      <c r="C7" s="2518"/>
      <c r="D7" s="2497"/>
      <c r="E7" s="2497"/>
      <c r="F7" s="2497"/>
      <c r="G7" s="2497"/>
      <c r="H7" s="2497"/>
      <c r="I7" s="2497"/>
      <c r="J7" s="2497"/>
      <c r="K7" s="2497"/>
      <c r="L7" s="1965"/>
    </row>
    <row r="8" spans="1:13" ht="7.5" customHeight="1" x14ac:dyDescent="0.2"/>
    <row r="9" spans="1:13" ht="9.6" customHeight="1" x14ac:dyDescent="0.2">
      <c r="B9" s="1963"/>
      <c r="C9" s="1963"/>
      <c r="D9" s="1963"/>
      <c r="E9" s="1963"/>
      <c r="F9" s="1963"/>
      <c r="G9" s="1964"/>
      <c r="H9" s="1963"/>
      <c r="I9" s="1964"/>
      <c r="J9" s="1963"/>
      <c r="K9" s="1963"/>
    </row>
    <row r="10" spans="1:13" ht="16.5" customHeight="1" x14ac:dyDescent="0.2">
      <c r="B10" s="1213" t="s">
        <v>1742</v>
      </c>
      <c r="C10" s="1966" t="s">
        <v>1991</v>
      </c>
      <c r="D10" s="1380">
        <v>2</v>
      </c>
      <c r="F10" s="1213" t="s">
        <v>1295</v>
      </c>
      <c r="G10" s="1382"/>
      <c r="H10" s="1967" t="s">
        <v>1294</v>
      </c>
      <c r="I10" s="1382" t="s">
        <v>2070</v>
      </c>
      <c r="J10" s="1968" t="s">
        <v>1293</v>
      </c>
    </row>
    <row r="11" spans="1:13" ht="13.5" customHeight="1" x14ac:dyDescent="0.2">
      <c r="I11" s="1969" t="s">
        <v>1292</v>
      </c>
      <c r="K11" s="1386">
        <v>2008</v>
      </c>
    </row>
    <row r="12" spans="1:13" ht="13.5" customHeight="1" x14ac:dyDescent="0.2">
      <c r="B12" s="1960"/>
      <c r="C12" s="1960"/>
    </row>
    <row r="13" spans="1:13" s="1209" customFormat="1" ht="13.5" customHeight="1" x14ac:dyDescent="0.2">
      <c r="B13" s="1970" t="s">
        <v>1291</v>
      </c>
      <c r="C13" s="1970"/>
      <c r="D13" s="1971"/>
      <c r="E13" s="1971"/>
      <c r="F13" s="1971"/>
      <c r="G13" s="1972"/>
      <c r="H13" s="1971"/>
      <c r="I13" s="1972"/>
      <c r="J13" s="1971"/>
      <c r="K13" s="1971"/>
    </row>
    <row r="14" spans="1:13" ht="45.2" customHeight="1" x14ac:dyDescent="0.2">
      <c r="B14" s="2515" t="s">
        <v>2116</v>
      </c>
      <c r="C14" s="2515"/>
      <c r="D14" s="2515"/>
      <c r="E14" s="2515"/>
      <c r="F14" s="2515"/>
      <c r="G14" s="2515"/>
      <c r="H14" s="2515"/>
      <c r="I14" s="2515"/>
      <c r="J14" s="2515"/>
      <c r="K14" s="2515"/>
    </row>
    <row r="15" spans="1:13" ht="4.5" customHeight="1" x14ac:dyDescent="0.2">
      <c r="B15" s="1083"/>
      <c r="C15" s="1083"/>
    </row>
    <row r="16" spans="1:13" s="1209" customFormat="1" ht="13.5" customHeight="1" x14ac:dyDescent="0.2">
      <c r="B16" s="1970" t="s">
        <v>1290</v>
      </c>
      <c r="C16" s="1970"/>
      <c r="D16" s="1971"/>
      <c r="E16" s="1971"/>
      <c r="F16" s="1971"/>
      <c r="G16" s="1972"/>
      <c r="H16" s="1971"/>
      <c r="I16" s="1972"/>
      <c r="J16" s="1971"/>
      <c r="K16" s="1971"/>
    </row>
    <row r="17" spans="2:11" ht="84" customHeight="1" x14ac:dyDescent="0.2">
      <c r="B17" s="2515" t="s">
        <v>2141</v>
      </c>
      <c r="C17" s="2515"/>
      <c r="D17" s="2515"/>
      <c r="E17" s="2515"/>
      <c r="F17" s="2515"/>
      <c r="G17" s="2515"/>
      <c r="H17" s="2515"/>
      <c r="I17" s="2515"/>
      <c r="J17" s="2515"/>
      <c r="K17" s="2515"/>
    </row>
    <row r="18" spans="2:11" ht="4.5" customHeight="1" x14ac:dyDescent="0.2">
      <c r="B18" s="1083"/>
      <c r="C18" s="1083"/>
    </row>
    <row r="19" spans="2:11" s="1209" customFormat="1" ht="13.5" customHeight="1" x14ac:dyDescent="0.2">
      <c r="B19" s="1970" t="s">
        <v>1743</v>
      </c>
      <c r="C19" s="1970"/>
      <c r="D19" s="1971"/>
      <c r="E19" s="1971"/>
      <c r="F19" s="1971"/>
      <c r="G19" s="1972"/>
      <c r="H19" s="1971"/>
      <c r="I19" s="1972"/>
      <c r="J19" s="1971"/>
      <c r="K19" s="1971"/>
    </row>
    <row r="20" spans="2:11" ht="45.75" customHeight="1" x14ac:dyDescent="0.2">
      <c r="B20" s="2519" t="s">
        <v>2108</v>
      </c>
      <c r="C20" s="2519"/>
      <c r="D20" s="2515"/>
      <c r="E20" s="2515"/>
      <c r="F20" s="2515"/>
      <c r="G20" s="2515"/>
      <c r="H20" s="2515"/>
      <c r="I20" s="2515"/>
      <c r="J20" s="2515"/>
      <c r="K20" s="2515"/>
    </row>
    <row r="21" spans="2:11" ht="4.5" customHeight="1" x14ac:dyDescent="0.2">
      <c r="B21" s="1973"/>
      <c r="C21" s="1973"/>
    </row>
    <row r="22" spans="2:11" ht="13.5" customHeight="1" x14ac:dyDescent="0.2">
      <c r="B22" s="1970" t="s">
        <v>1289</v>
      </c>
      <c r="C22" s="1970"/>
      <c r="D22" s="1963"/>
      <c r="E22" s="1963"/>
      <c r="F22" s="1963"/>
      <c r="G22" s="1964"/>
      <c r="H22" s="1963"/>
      <c r="I22" s="1964"/>
      <c r="J22" s="1963"/>
      <c r="K22" s="1963"/>
    </row>
    <row r="23" spans="2:11" ht="45.2" customHeight="1" x14ac:dyDescent="0.2">
      <c r="B23" s="2515" t="s">
        <v>2142</v>
      </c>
      <c r="C23" s="2515"/>
      <c r="D23" s="2515"/>
      <c r="E23" s="2515"/>
      <c r="F23" s="2515"/>
      <c r="G23" s="2515"/>
      <c r="H23" s="2515"/>
      <c r="I23" s="2515"/>
      <c r="J23" s="2515"/>
      <c r="K23" s="2515"/>
    </row>
    <row r="24" spans="2:11" ht="4.5" customHeight="1" x14ac:dyDescent="0.2">
      <c r="B24" s="1083"/>
      <c r="C24" s="1083"/>
    </row>
    <row r="25" spans="2:11" ht="13.5" customHeight="1" x14ac:dyDescent="0.2">
      <c r="B25" s="1970" t="s">
        <v>1288</v>
      </c>
      <c r="C25" s="1970"/>
      <c r="D25" s="1963"/>
      <c r="E25" s="1963"/>
      <c r="F25" s="1963"/>
      <c r="G25" s="1964"/>
      <c r="H25" s="1963"/>
      <c r="I25" s="1964"/>
      <c r="J25" s="1963"/>
      <c r="K25" s="1963"/>
    </row>
    <row r="26" spans="2:11" ht="45.75" customHeight="1" x14ac:dyDescent="0.2">
      <c r="B26" s="2515" t="s">
        <v>2143</v>
      </c>
      <c r="C26" s="2515"/>
      <c r="D26" s="2515"/>
      <c r="E26" s="2515"/>
      <c r="F26" s="2515"/>
      <c r="G26" s="2515"/>
      <c r="H26" s="2515"/>
      <c r="I26" s="2515"/>
      <c r="J26" s="2515"/>
      <c r="K26" s="2515"/>
    </row>
    <row r="27" spans="2:11" ht="4.5" customHeight="1" x14ac:dyDescent="0.2">
      <c r="B27" s="1083"/>
      <c r="C27" s="1083"/>
    </row>
    <row r="28" spans="2:11" ht="13.5" customHeight="1" x14ac:dyDescent="0.2">
      <c r="B28" s="1974" t="s">
        <v>1287</v>
      </c>
      <c r="C28" s="1974"/>
      <c r="D28" s="1963"/>
      <c r="E28" s="1963"/>
      <c r="F28" s="1963"/>
      <c r="G28" s="1964"/>
      <c r="H28" s="1963"/>
      <c r="I28" s="1964"/>
      <c r="J28" s="1963"/>
      <c r="K28" s="1963"/>
    </row>
    <row r="29" spans="2:11" ht="45.75" customHeight="1" x14ac:dyDescent="0.2">
      <c r="B29" s="2515" t="s">
        <v>2121</v>
      </c>
      <c r="C29" s="2515"/>
      <c r="D29" s="2515"/>
      <c r="E29" s="2515"/>
      <c r="F29" s="2515"/>
      <c r="G29" s="2515"/>
      <c r="H29" s="2515"/>
      <c r="I29" s="2515"/>
      <c r="J29" s="2515"/>
      <c r="K29" s="2515"/>
    </row>
    <row r="30" spans="2:11" ht="4.5" customHeight="1" x14ac:dyDescent="0.2">
      <c r="B30" s="1083"/>
      <c r="C30" s="1083"/>
    </row>
    <row r="31" spans="2:11" ht="13.5" customHeight="1" x14ac:dyDescent="0.2">
      <c r="B31" s="1975" t="s">
        <v>1744</v>
      </c>
      <c r="C31" s="1975"/>
      <c r="D31" s="1962"/>
      <c r="E31" s="1963"/>
      <c r="F31" s="1963"/>
      <c r="G31" s="1964"/>
      <c r="H31" s="1963"/>
      <c r="I31" s="1964"/>
      <c r="J31" s="1963"/>
      <c r="K31" s="1963"/>
    </row>
    <row r="32" spans="2:11" ht="44.25" customHeight="1" x14ac:dyDescent="0.2">
      <c r="B32" s="2515" t="s">
        <v>2109</v>
      </c>
      <c r="C32" s="2515"/>
      <c r="D32" s="2515"/>
      <c r="E32" s="2515"/>
      <c r="F32" s="2515"/>
      <c r="G32" s="2515"/>
      <c r="H32" s="2515"/>
      <c r="I32" s="2515"/>
      <c r="J32" s="2515"/>
      <c r="K32" s="2515"/>
    </row>
    <row r="33" spans="1:13" ht="4.5" customHeight="1" x14ac:dyDescent="0.2">
      <c r="B33" s="1083"/>
      <c r="C33" s="1083"/>
    </row>
    <row r="34" spans="1:13" x14ac:dyDescent="0.2">
      <c r="A34" s="1976"/>
      <c r="B34" s="1976"/>
      <c r="C34" s="1976"/>
      <c r="D34" s="1976"/>
      <c r="E34" s="1976"/>
      <c r="F34" s="1976"/>
      <c r="G34" s="1977"/>
      <c r="H34" s="1976"/>
      <c r="I34" s="1977"/>
      <c r="J34" s="1976"/>
      <c r="K34" s="1976"/>
    </row>
    <row r="35" spans="1:13" ht="11.85" customHeight="1" x14ac:dyDescent="0.2">
      <c r="B35" s="1978" t="s">
        <v>1745</v>
      </c>
      <c r="C35" s="1978"/>
    </row>
    <row r="36" spans="1:13" ht="9.6" customHeight="1" x14ac:dyDescent="0.2">
      <c r="B36" s="1216" t="s">
        <v>1842</v>
      </c>
      <c r="C36" s="1216"/>
    </row>
    <row r="37" spans="1:13" ht="9.6" customHeight="1" x14ac:dyDescent="0.2">
      <c r="B37" s="1216" t="s">
        <v>1843</v>
      </c>
      <c r="C37" s="1216"/>
    </row>
    <row r="38" spans="1:13" ht="11.85" customHeight="1" x14ac:dyDescent="0.2">
      <c r="B38" s="1978" t="s">
        <v>1746</v>
      </c>
      <c r="C38" s="1978"/>
    </row>
    <row r="39" spans="1:13" ht="9.6" customHeight="1" x14ac:dyDescent="0.2">
      <c r="B39" s="1216" t="s">
        <v>1286</v>
      </c>
      <c r="C39" s="1216"/>
      <c r="M39" s="1979"/>
    </row>
    <row r="40" spans="1:13" ht="12.75" customHeight="1" x14ac:dyDescent="0.2">
      <c r="B40" s="1978" t="s">
        <v>1747</v>
      </c>
      <c r="C40" s="1978"/>
      <c r="M40" s="1979"/>
    </row>
    <row r="41" spans="1:13" ht="9.6" customHeight="1" x14ac:dyDescent="0.2">
      <c r="B41" s="1216"/>
      <c r="C41" s="1216"/>
      <c r="M41" s="197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4" t="str">
        <f>'Single Audit Cover'!A7</f>
        <v>Carthage ESD 317</v>
      </c>
      <c r="C1" s="2494"/>
      <c r="D1" s="2494"/>
      <c r="E1" s="2494"/>
      <c r="F1" s="2494"/>
      <c r="G1" s="2494"/>
      <c r="H1" s="2494"/>
      <c r="I1" s="2494"/>
      <c r="J1" s="2494"/>
      <c r="K1" s="2494"/>
      <c r="L1" s="1368"/>
      <c r="M1" s="1368"/>
    </row>
    <row r="2" spans="1:13" ht="12" customHeight="1" x14ac:dyDescent="0.2">
      <c r="B2" s="2496">
        <f>'Single Audit Cover'!E7</f>
        <v>26034317004</v>
      </c>
      <c r="C2" s="2496"/>
      <c r="D2" s="2496"/>
      <c r="E2" s="2496"/>
      <c r="F2" s="2496"/>
      <c r="G2" s="2496"/>
      <c r="H2" s="2496"/>
      <c r="I2" s="2496"/>
      <c r="J2" s="2496"/>
      <c r="K2" s="2496"/>
      <c r="L2" s="1369"/>
      <c r="M2" s="1370"/>
    </row>
    <row r="3" spans="1:13" ht="10.35" customHeight="1" x14ac:dyDescent="0.2">
      <c r="B3" s="2521" t="s">
        <v>1285</v>
      </c>
      <c r="C3" s="2521"/>
      <c r="D3" s="2521"/>
      <c r="E3" s="2521"/>
      <c r="F3" s="2521"/>
      <c r="G3" s="2521"/>
      <c r="H3" s="2521"/>
      <c r="I3" s="2521"/>
      <c r="J3" s="2521"/>
      <c r="K3" s="2521"/>
      <c r="L3" s="1371"/>
      <c r="M3" s="1371"/>
    </row>
    <row r="4" spans="1:13" ht="14.25" customHeight="1" x14ac:dyDescent="0.2">
      <c r="B4" s="2522" t="str">
        <f>'Single Audit Cover'!A4</f>
        <v>Year Ending June 30, 2019</v>
      </c>
      <c r="C4" s="2522"/>
      <c r="D4" s="2522"/>
      <c r="E4" s="2522"/>
      <c r="F4" s="2522"/>
      <c r="G4" s="2522"/>
      <c r="H4" s="2522"/>
      <c r="I4" s="2522"/>
      <c r="J4" s="2522"/>
      <c r="K4" s="2522"/>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522" t="s">
        <v>1296</v>
      </c>
      <c r="C7" s="2522"/>
      <c r="D7" s="2523"/>
      <c r="E7" s="2523"/>
      <c r="F7" s="2523"/>
      <c r="G7" s="2523"/>
      <c r="H7" s="2523"/>
      <c r="I7" s="2523"/>
      <c r="J7" s="2523"/>
      <c r="K7" s="2523"/>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515"/>
      <c r="C14" s="2515"/>
      <c r="D14" s="2515"/>
      <c r="E14" s="2515"/>
      <c r="F14" s="2515"/>
      <c r="G14" s="2515"/>
      <c r="H14" s="2515"/>
      <c r="I14" s="2515"/>
      <c r="J14" s="2515"/>
      <c r="K14" s="2515"/>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515"/>
      <c r="C17" s="2515"/>
      <c r="D17" s="2515"/>
      <c r="E17" s="2515"/>
      <c r="F17" s="2515"/>
      <c r="G17" s="2515"/>
      <c r="H17" s="2515"/>
      <c r="I17" s="2515"/>
      <c r="J17" s="2515"/>
      <c r="K17" s="2515"/>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519"/>
      <c r="C20" s="2519"/>
      <c r="D20" s="2515"/>
      <c r="E20" s="2515"/>
      <c r="F20" s="2515"/>
      <c r="G20" s="2515"/>
      <c r="H20" s="2515"/>
      <c r="I20" s="2515"/>
      <c r="J20" s="2515"/>
      <c r="K20" s="2515"/>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515"/>
      <c r="C23" s="2515"/>
      <c r="D23" s="2515"/>
      <c r="E23" s="2515"/>
      <c r="F23" s="2515"/>
      <c r="G23" s="2515"/>
      <c r="H23" s="2515"/>
      <c r="I23" s="2515"/>
      <c r="J23" s="2515"/>
      <c r="K23" s="2515"/>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515"/>
      <c r="C26" s="2515"/>
      <c r="D26" s="2515"/>
      <c r="E26" s="2515"/>
      <c r="F26" s="2515"/>
      <c r="G26" s="2515"/>
      <c r="H26" s="2515"/>
      <c r="I26" s="2515"/>
      <c r="J26" s="2515"/>
      <c r="K26" s="2515"/>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520"/>
      <c r="C29" s="2520"/>
      <c r="D29" s="2515"/>
      <c r="E29" s="2515"/>
      <c r="F29" s="2515"/>
      <c r="G29" s="2515"/>
      <c r="H29" s="2515"/>
      <c r="I29" s="2515"/>
      <c r="J29" s="2515"/>
      <c r="K29" s="2515"/>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520"/>
      <c r="C32" s="2520"/>
      <c r="D32" s="2515"/>
      <c r="E32" s="2515"/>
      <c r="F32" s="2515"/>
      <c r="G32" s="2515"/>
      <c r="H32" s="2515"/>
      <c r="I32" s="2515"/>
      <c r="J32" s="2515"/>
      <c r="K32" s="2515"/>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4" t="str">
        <f>'Single Audit Cover'!A7</f>
        <v>Carthage ESD 317</v>
      </c>
      <c r="C1" s="2524"/>
      <c r="D1" s="2524"/>
      <c r="E1" s="2524"/>
      <c r="F1" s="2524"/>
      <c r="G1" s="2524"/>
      <c r="H1" s="2524"/>
      <c r="I1" s="2524"/>
      <c r="J1" s="2524"/>
      <c r="K1" s="2524"/>
      <c r="L1" s="1446"/>
    </row>
    <row r="2" spans="1:12" ht="12.75" customHeight="1" x14ac:dyDescent="0.2">
      <c r="B2" s="2525">
        <f>'Single Audit Cover'!E7</f>
        <v>26034317004</v>
      </c>
      <c r="C2" s="2525"/>
      <c r="D2" s="2525"/>
      <c r="E2" s="2525"/>
      <c r="F2" s="2525"/>
      <c r="G2" s="2525"/>
      <c r="H2" s="2525"/>
      <c r="I2" s="2525"/>
      <c r="J2" s="2525"/>
      <c r="K2" s="2525"/>
      <c r="L2" s="1447"/>
    </row>
    <row r="3" spans="1:12" ht="12.75" customHeight="1" x14ac:dyDescent="0.2">
      <c r="B3" s="2521" t="s">
        <v>1285</v>
      </c>
      <c r="C3" s="2521"/>
      <c r="D3" s="2521"/>
      <c r="E3" s="2521"/>
      <c r="F3" s="2521"/>
      <c r="G3" s="2521"/>
      <c r="H3" s="2521"/>
      <c r="I3" s="2521"/>
      <c r="J3" s="2521"/>
      <c r="K3" s="2521"/>
      <c r="L3" s="1371"/>
    </row>
    <row r="4" spans="1:12" ht="12.75" customHeight="1" x14ac:dyDescent="0.2">
      <c r="B4" s="2521" t="str">
        <f>'Single Audit Cover'!A4</f>
        <v>Year Ending June 30, 2019</v>
      </c>
      <c r="C4" s="2521"/>
      <c r="D4" s="2521"/>
      <c r="E4" s="2521"/>
      <c r="F4" s="2521"/>
      <c r="G4" s="2521"/>
      <c r="H4" s="2521"/>
      <c r="I4" s="2521"/>
      <c r="J4" s="2521"/>
      <c r="K4" s="2521"/>
      <c r="L4" s="1371"/>
    </row>
    <row r="5" spans="1:12" ht="5.25" customHeight="1" x14ac:dyDescent="0.2">
      <c r="B5" s="1254" t="s">
        <v>1169</v>
      </c>
      <c r="C5" s="1254"/>
      <c r="L5" s="322"/>
    </row>
    <row r="6" spans="1:12" ht="30.75" customHeight="1" x14ac:dyDescent="0.2">
      <c r="A6" s="322"/>
      <c r="B6" s="2526" t="s">
        <v>1308</v>
      </c>
      <c r="C6" s="2526"/>
      <c r="D6" s="2526"/>
      <c r="E6" s="2526"/>
      <c r="F6" s="2526"/>
      <c r="G6" s="2526"/>
      <c r="H6" s="2526"/>
      <c r="I6" s="2526"/>
      <c r="J6" s="2526"/>
      <c r="K6" s="2526"/>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501"/>
      <c r="G12" s="2501"/>
      <c r="H12" s="2501"/>
      <c r="I12" s="2501"/>
      <c r="J12" s="2501"/>
      <c r="K12" s="2501"/>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527"/>
      <c r="E14" s="2527"/>
      <c r="F14" s="2527"/>
      <c r="H14" s="1456" t="s">
        <v>1303</v>
      </c>
      <c r="I14" s="2528"/>
      <c r="J14" s="2528"/>
      <c r="K14" s="2528"/>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528"/>
      <c r="E16" s="2528"/>
      <c r="F16" s="2528"/>
      <c r="G16" s="2528"/>
      <c r="H16" s="2528"/>
      <c r="I16" s="2528"/>
      <c r="J16" s="2528"/>
      <c r="K16" s="2528"/>
      <c r="L16" s="322"/>
    </row>
    <row r="17" spans="2:12" ht="13.5" customHeight="1" x14ac:dyDescent="0.2">
      <c r="B17" s="1381" t="s">
        <v>1301</v>
      </c>
      <c r="C17" s="1381"/>
      <c r="D17" s="2529"/>
      <c r="E17" s="2529"/>
      <c r="F17" s="2529"/>
      <c r="G17" s="2529"/>
      <c r="H17" s="2529"/>
      <c r="I17" s="2529"/>
      <c r="J17" s="2529"/>
      <c r="K17" s="2529"/>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515"/>
      <c r="C20" s="2515"/>
      <c r="D20" s="2515"/>
      <c r="E20" s="2515"/>
      <c r="F20" s="2515"/>
      <c r="G20" s="2515"/>
      <c r="H20" s="2515"/>
      <c r="I20" s="2515"/>
      <c r="J20" s="2515"/>
      <c r="K20" s="2515"/>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515"/>
      <c r="C23" s="2515"/>
      <c r="D23" s="2515"/>
      <c r="E23" s="2515"/>
      <c r="F23" s="2515"/>
      <c r="G23" s="2515"/>
      <c r="H23" s="2515"/>
      <c r="I23" s="2515"/>
      <c r="J23" s="2515"/>
      <c r="K23" s="2515"/>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515"/>
      <c r="C26" s="2515"/>
      <c r="D26" s="2515"/>
      <c r="E26" s="2515"/>
      <c r="F26" s="2515"/>
      <c r="G26" s="2515"/>
      <c r="H26" s="2515"/>
      <c r="I26" s="2515"/>
      <c r="J26" s="2515"/>
      <c r="K26" s="2515"/>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515"/>
      <c r="C29" s="2515"/>
      <c r="D29" s="2515"/>
      <c r="E29" s="2515"/>
      <c r="F29" s="2515"/>
      <c r="G29" s="2515"/>
      <c r="H29" s="2515"/>
      <c r="I29" s="2515"/>
      <c r="J29" s="2515"/>
      <c r="K29" s="2515"/>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515"/>
      <c r="C32" s="2515"/>
      <c r="D32" s="2515"/>
      <c r="E32" s="2515"/>
      <c r="F32" s="2515"/>
      <c r="G32" s="2515"/>
      <c r="H32" s="2515"/>
      <c r="I32" s="2515"/>
      <c r="J32" s="2515"/>
      <c r="K32" s="2515"/>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515"/>
      <c r="C35" s="2515"/>
      <c r="D35" s="2515"/>
      <c r="E35" s="2515"/>
      <c r="F35" s="2515"/>
      <c r="G35" s="2515"/>
      <c r="H35" s="2515"/>
      <c r="I35" s="2515"/>
      <c r="J35" s="2515"/>
      <c r="K35" s="2515"/>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515"/>
      <c r="C38" s="2515"/>
      <c r="D38" s="2515"/>
      <c r="E38" s="2515"/>
      <c r="F38" s="2515"/>
      <c r="G38" s="2515"/>
      <c r="H38" s="2515"/>
      <c r="I38" s="2515"/>
      <c r="J38" s="2515"/>
      <c r="K38" s="2515"/>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515"/>
      <c r="C41" s="2515"/>
      <c r="D41" s="2515"/>
      <c r="E41" s="2515"/>
      <c r="F41" s="2515"/>
      <c r="G41" s="2515"/>
      <c r="H41" s="2515"/>
      <c r="I41" s="2515"/>
      <c r="J41" s="2515"/>
      <c r="K41" s="2515"/>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94" t="str">
        <f>'Single Audit Cover'!A7</f>
        <v>Carthage ESD 317</v>
      </c>
      <c r="C1" s="2494"/>
      <c r="D1" s="2494"/>
      <c r="E1" s="1466"/>
    </row>
    <row r="2" spans="2:5" s="1276" customFormat="1" ht="12.75" customHeight="1" x14ac:dyDescent="0.2">
      <c r="B2" s="2496">
        <f>'Single Audit Cover'!E7</f>
        <v>26034317004</v>
      </c>
      <c r="C2" s="2496"/>
      <c r="D2" s="2496"/>
      <c r="E2" s="1467"/>
    </row>
    <row r="3" spans="2:5" ht="12.75" customHeight="1" x14ac:dyDescent="0.2">
      <c r="B3" s="2521" t="s">
        <v>1766</v>
      </c>
      <c r="C3" s="2521"/>
      <c r="D3" s="2521"/>
      <c r="E3" s="1268"/>
    </row>
    <row r="4" spans="2:5" s="1276" customFormat="1" ht="12.75" customHeight="1" x14ac:dyDescent="0.2">
      <c r="B4" s="2530" t="str">
        <f>'Single Audit Cover'!A4</f>
        <v>Year Ending June 30, 2019</v>
      </c>
      <c r="C4" s="2530"/>
      <c r="D4" s="2530"/>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2093</v>
      </c>
      <c r="C7" s="324" t="s">
        <v>2144</v>
      </c>
      <c r="D7" s="324" t="s">
        <v>2094</v>
      </c>
      <c r="E7" s="324"/>
    </row>
    <row r="8" spans="2:5" ht="13.5" customHeight="1" x14ac:dyDescent="0.2">
      <c r="B8" s="1471" t="s">
        <v>2095</v>
      </c>
      <c r="C8" s="324" t="s">
        <v>2145</v>
      </c>
      <c r="D8" s="324" t="s">
        <v>2096</v>
      </c>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L70"/>
  <sheetViews>
    <sheetView showGridLines="0" zoomScale="110" zoomScaleNormal="110" zoomScaleSheetLayoutView="100" workbookViewId="0"/>
  </sheetViews>
  <sheetFormatPr defaultColWidth="9.140625" defaultRowHeight="12.75" x14ac:dyDescent="0.2"/>
  <cols>
    <col min="1" max="1" width="1.5703125" style="1937" customWidth="1"/>
    <col min="2" max="2" width="11.28515625" style="1937" customWidth="1"/>
    <col min="3" max="3" width="6.42578125" style="1937" customWidth="1"/>
    <col min="4" max="4" width="5.42578125" style="1937" customWidth="1"/>
    <col min="5" max="5" width="74.7109375" style="1937" customWidth="1"/>
    <col min="6" max="6" width="1.5703125" style="1937" customWidth="1"/>
    <col min="7" max="8" width="2.42578125" style="1937" customWidth="1"/>
    <col min="9" max="9" width="9.28515625" style="1937" customWidth="1"/>
    <col min="10" max="10" width="14.42578125" style="1937" customWidth="1"/>
    <col min="11" max="11" width="7.28515625" style="1937" customWidth="1"/>
    <col min="12" max="12" width="3.140625" style="1937" customWidth="1"/>
    <col min="13" max="16384" width="9.140625" style="1937"/>
  </cols>
  <sheetData>
    <row r="1" spans="2:12" ht="13.5" customHeight="1" x14ac:dyDescent="0.2">
      <c r="B1" s="2532" t="str">
        <f>'Single Audit Cover'!A7</f>
        <v>Carthage ESD 317</v>
      </c>
      <c r="C1" s="2532"/>
      <c r="D1" s="2532"/>
      <c r="E1" s="2532"/>
      <c r="F1" s="1936"/>
      <c r="G1" s="1936"/>
      <c r="H1" s="1936"/>
      <c r="I1" s="1936"/>
      <c r="J1" s="1936"/>
      <c r="K1" s="1936"/>
      <c r="L1" s="1936"/>
    </row>
    <row r="2" spans="2:12" ht="13.5" customHeight="1" x14ac:dyDescent="0.2">
      <c r="B2" s="2533">
        <f>'Single Audit Cover'!E7</f>
        <v>26034317004</v>
      </c>
      <c r="C2" s="2533"/>
      <c r="D2" s="2533"/>
      <c r="E2" s="2533"/>
      <c r="F2" s="1938"/>
      <c r="G2" s="1938"/>
      <c r="H2" s="1938"/>
      <c r="I2" s="1938"/>
      <c r="J2" s="1938"/>
      <c r="K2" s="1938"/>
      <c r="L2" s="1938"/>
    </row>
    <row r="3" spans="2:12" ht="13.5" customHeight="1" x14ac:dyDescent="0.2">
      <c r="B3" s="2534" t="s">
        <v>2098</v>
      </c>
      <c r="C3" s="2534"/>
      <c r="D3" s="2534"/>
      <c r="E3" s="2534"/>
      <c r="F3" s="1939"/>
      <c r="G3" s="1939"/>
      <c r="H3" s="1939"/>
      <c r="I3" s="1939"/>
      <c r="J3" s="1939"/>
      <c r="K3" s="1939"/>
      <c r="L3" s="1939"/>
    </row>
    <row r="4" spans="2:12" ht="13.5" customHeight="1" x14ac:dyDescent="0.2">
      <c r="B4" s="2535" t="str">
        <f>'Single Audit Cover'!A4</f>
        <v>Year Ending June 30, 2019</v>
      </c>
      <c r="C4" s="2535"/>
      <c r="D4" s="2535"/>
      <c r="E4" s="2535"/>
      <c r="F4" s="1940"/>
      <c r="G4" s="1940"/>
      <c r="H4" s="1940"/>
      <c r="I4" s="1940"/>
      <c r="J4" s="1940"/>
      <c r="K4" s="1940"/>
      <c r="L4" s="1940"/>
    </row>
    <row r="5" spans="2:12" ht="29.85" customHeight="1" x14ac:dyDescent="0.2"/>
    <row r="6" spans="2:12" ht="13.5" customHeight="1" x14ac:dyDescent="0.2">
      <c r="B6" s="1941" t="s">
        <v>2099</v>
      </c>
      <c r="C6" s="1941"/>
      <c r="D6" s="1942"/>
      <c r="E6" s="1943"/>
      <c r="F6" s="1943"/>
      <c r="G6" s="1944"/>
      <c r="H6" s="1944"/>
      <c r="I6" s="1944"/>
    </row>
    <row r="7" spans="2:12" ht="13.5" customHeight="1" x14ac:dyDescent="0.2">
      <c r="B7" s="1937" t="s">
        <v>1169</v>
      </c>
    </row>
    <row r="8" spans="2:12" ht="13.5" customHeight="1" x14ac:dyDescent="0.2">
      <c r="B8" s="1945" t="s">
        <v>2100</v>
      </c>
      <c r="C8" s="1946" t="s">
        <v>1991</v>
      </c>
      <c r="D8" s="1947">
        <v>1</v>
      </c>
    </row>
    <row r="9" spans="2:12" ht="13.5" customHeight="1" x14ac:dyDescent="0.2">
      <c r="B9" s="1948"/>
      <c r="C9" s="1948"/>
      <c r="D9" s="1948"/>
    </row>
    <row r="10" spans="2:12" ht="13.5" customHeight="1" x14ac:dyDescent="0.2">
      <c r="B10" s="1945" t="s">
        <v>2101</v>
      </c>
      <c r="C10" s="1945"/>
    </row>
    <row r="11" spans="2:12" ht="66.75" customHeight="1" x14ac:dyDescent="0.2">
      <c r="B11" s="2531" t="str">
        <f>'Finding 2019-001'!B17:K17</f>
        <v>A limited number of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v>
      </c>
      <c r="C11" s="2531"/>
      <c r="D11" s="2531"/>
      <c r="E11" s="2531"/>
    </row>
    <row r="12" spans="2:12" ht="13.5" customHeight="1" x14ac:dyDescent="0.2"/>
    <row r="13" spans="2:12" ht="13.5" customHeight="1" x14ac:dyDescent="0.2">
      <c r="B13" s="1945" t="s">
        <v>2102</v>
      </c>
      <c r="C13" s="1945"/>
    </row>
    <row r="14" spans="2:12" ht="76.5" customHeight="1" x14ac:dyDescent="0.2">
      <c r="B14" s="2531" t="s">
        <v>2122</v>
      </c>
      <c r="C14" s="2531"/>
      <c r="D14" s="2531"/>
      <c r="E14" s="2531"/>
    </row>
    <row r="15" spans="2:12" ht="13.5" customHeight="1" x14ac:dyDescent="0.2"/>
    <row r="16" spans="2:12" ht="13.5" customHeight="1" x14ac:dyDescent="0.2">
      <c r="B16" s="1945" t="s">
        <v>2103</v>
      </c>
      <c r="C16" s="1945"/>
      <c r="E16" s="1980" t="s">
        <v>2123</v>
      </c>
    </row>
    <row r="17" spans="2:5" ht="13.5" customHeight="1" x14ac:dyDescent="0.2"/>
    <row r="18" spans="2:5" ht="13.5" customHeight="1" x14ac:dyDescent="0.2">
      <c r="B18" s="1945" t="s">
        <v>2104</v>
      </c>
      <c r="C18" s="1945"/>
      <c r="E18" s="1949" t="s">
        <v>2110</v>
      </c>
    </row>
    <row r="19" spans="2:5" ht="13.5" customHeight="1" x14ac:dyDescent="0.2"/>
    <row r="20" spans="2:5" ht="13.5" customHeight="1" x14ac:dyDescent="0.2">
      <c r="B20" s="1945" t="s">
        <v>2105</v>
      </c>
      <c r="C20" s="1945"/>
      <c r="E20" s="1949" t="s">
        <v>2124</v>
      </c>
    </row>
    <row r="21" spans="2:5" ht="13.5" customHeight="1" x14ac:dyDescent="0.2">
      <c r="E21" s="1949" t="s">
        <v>2125</v>
      </c>
    </row>
    <row r="22" spans="2:5" ht="13.5" customHeight="1" x14ac:dyDescent="0.2">
      <c r="E22" s="1949"/>
    </row>
    <row r="23" spans="2:5" ht="13.5" customHeight="1" x14ac:dyDescent="0.2"/>
    <row r="24" spans="2:5" ht="13.5" customHeight="1" x14ac:dyDescent="0.2"/>
    <row r="25" spans="2:5" ht="13.5" customHeight="1" x14ac:dyDescent="0.2">
      <c r="B25" s="1950"/>
      <c r="C25" s="1950"/>
      <c r="D25" s="1950"/>
    </row>
    <row r="26" spans="2:5" ht="13.5" customHeight="1" x14ac:dyDescent="0.2">
      <c r="B26" s="1950"/>
      <c r="C26" s="1950"/>
      <c r="D26" s="1950"/>
    </row>
    <row r="27" spans="2:5" ht="13.5" customHeight="1" x14ac:dyDescent="0.2">
      <c r="B27" s="1950"/>
      <c r="C27" s="1950"/>
      <c r="D27" s="1950"/>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1"/>
      <c r="C35" s="1951"/>
      <c r="D35" s="1951"/>
    </row>
    <row r="36" spans="2:5" ht="13.5" customHeight="1" x14ac:dyDescent="0.2"/>
    <row r="37" spans="2:5" ht="13.5" customHeight="1" x14ac:dyDescent="0.2">
      <c r="B37" s="1951"/>
      <c r="C37" s="1951"/>
      <c r="D37" s="1951"/>
    </row>
    <row r="38" spans="2:5" ht="13.5" customHeight="1" x14ac:dyDescent="0.2">
      <c r="B38" s="1951"/>
      <c r="C38" s="1951"/>
      <c r="D38" s="1951"/>
    </row>
    <row r="39" spans="2:5" ht="13.5" customHeight="1" x14ac:dyDescent="0.2">
      <c r="B39" s="1951"/>
      <c r="C39" s="1951"/>
      <c r="D39" s="1951"/>
    </row>
    <row r="40" spans="2:5" ht="13.5" customHeight="1" x14ac:dyDescent="0.2">
      <c r="B40" s="1951"/>
      <c r="C40" s="1951"/>
      <c r="D40" s="1951"/>
    </row>
    <row r="41" spans="2:5" ht="13.5" customHeight="1" x14ac:dyDescent="0.2">
      <c r="B41" s="1952"/>
      <c r="C41" s="1952"/>
      <c r="D41" s="1952"/>
      <c r="E41" s="1952"/>
    </row>
    <row r="42" spans="2:5" ht="12.2" customHeight="1" x14ac:dyDescent="0.2">
      <c r="B42" s="1953" t="s">
        <v>2106</v>
      </c>
      <c r="C42" s="1953"/>
      <c r="D42" s="1953"/>
    </row>
    <row r="43" spans="2:5" ht="12.2" customHeight="1" x14ac:dyDescent="0.2">
      <c r="B43" s="1954"/>
      <c r="C43" s="1954"/>
      <c r="D43" s="1954"/>
    </row>
    <row r="44" spans="2:5" ht="12.75" customHeight="1" x14ac:dyDescent="0.2">
      <c r="B44" s="1945"/>
      <c r="C44" s="1945"/>
      <c r="D44" s="1945"/>
    </row>
    <row r="45" spans="2:5" ht="12.75" customHeight="1" x14ac:dyDescent="0.2">
      <c r="B45" s="1945"/>
      <c r="C45" s="1945"/>
      <c r="D45" s="1945"/>
    </row>
    <row r="46" spans="2:5" x14ac:dyDescent="0.2">
      <c r="B46" s="1945"/>
      <c r="C46" s="1945"/>
      <c r="D46" s="1945"/>
    </row>
    <row r="47" spans="2:5" x14ac:dyDescent="0.2">
      <c r="B47" s="1945"/>
      <c r="C47" s="1945"/>
      <c r="D47" s="1945"/>
    </row>
    <row r="51" spans="2:4" x14ac:dyDescent="0.2">
      <c r="B51" s="1955"/>
      <c r="C51" s="1955"/>
      <c r="D51" s="1955"/>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6"/>
      <c r="C64" s="1956"/>
      <c r="D64" s="1956"/>
    </row>
    <row r="65" spans="2:4" x14ac:dyDescent="0.2">
      <c r="B65" s="1945"/>
      <c r="C65" s="1945"/>
      <c r="D65" s="1945"/>
    </row>
    <row r="66" spans="2:4" x14ac:dyDescent="0.2">
      <c r="B66" s="1945"/>
      <c r="C66" s="1945"/>
      <c r="D66" s="1945"/>
    </row>
    <row r="67" spans="2:4" x14ac:dyDescent="0.2">
      <c r="B67" s="1956"/>
      <c r="C67" s="1956"/>
      <c r="D67" s="1956"/>
    </row>
    <row r="68" spans="2:4" x14ac:dyDescent="0.2">
      <c r="B68" s="1956"/>
      <c r="C68" s="1956"/>
      <c r="D68" s="1956"/>
    </row>
    <row r="69" spans="2:4" x14ac:dyDescent="0.2">
      <c r="B69" s="1956"/>
      <c r="C69" s="1956"/>
      <c r="D69" s="1956"/>
    </row>
    <row r="70" spans="2:4" x14ac:dyDescent="0.2">
      <c r="B70" s="1945"/>
      <c r="C70" s="1945"/>
      <c r="D70" s="1945"/>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L70"/>
  <sheetViews>
    <sheetView showGridLines="0" zoomScale="110" zoomScaleNormal="110" zoomScaleSheetLayoutView="100" workbookViewId="0"/>
  </sheetViews>
  <sheetFormatPr defaultColWidth="9.140625" defaultRowHeight="12.75" x14ac:dyDescent="0.2"/>
  <cols>
    <col min="1" max="1" width="1.5703125" style="1937" customWidth="1"/>
    <col min="2" max="2" width="11.28515625" style="1937" customWidth="1"/>
    <col min="3" max="3" width="6.42578125" style="1937" customWidth="1"/>
    <col min="4" max="4" width="5.42578125" style="1937" customWidth="1"/>
    <col min="5" max="5" width="74.7109375" style="1937" customWidth="1"/>
    <col min="6" max="6" width="1.5703125" style="1937" customWidth="1"/>
    <col min="7" max="8" width="2.42578125" style="1937" customWidth="1"/>
    <col min="9" max="9" width="9.28515625" style="1937" customWidth="1"/>
    <col min="10" max="10" width="14.42578125" style="1937" customWidth="1"/>
    <col min="11" max="11" width="7.28515625" style="1937" customWidth="1"/>
    <col min="12" max="12" width="3.140625" style="1937" customWidth="1"/>
    <col min="13" max="16384" width="9.140625" style="1937"/>
  </cols>
  <sheetData>
    <row r="1" spans="2:12" ht="13.5" customHeight="1" x14ac:dyDescent="0.2">
      <c r="B1" s="2532" t="str">
        <f>'Single Audit Cover'!A7</f>
        <v>Carthage ESD 317</v>
      </c>
      <c r="C1" s="2532"/>
      <c r="D1" s="2532"/>
      <c r="E1" s="2532"/>
      <c r="F1" s="1936"/>
      <c r="G1" s="1936"/>
      <c r="H1" s="1936"/>
      <c r="I1" s="1936"/>
      <c r="J1" s="1936"/>
      <c r="K1" s="1936"/>
      <c r="L1" s="1936"/>
    </row>
    <row r="2" spans="2:12" ht="13.5" customHeight="1" x14ac:dyDescent="0.2">
      <c r="B2" s="2533">
        <f>'Single Audit Cover'!E7</f>
        <v>26034317004</v>
      </c>
      <c r="C2" s="2533"/>
      <c r="D2" s="2533"/>
      <c r="E2" s="2533"/>
      <c r="F2" s="1938"/>
      <c r="G2" s="1938"/>
      <c r="H2" s="1938"/>
      <c r="I2" s="1938"/>
      <c r="J2" s="1938"/>
      <c r="K2" s="1938"/>
      <c r="L2" s="1938"/>
    </row>
    <row r="3" spans="2:12" ht="13.5" customHeight="1" x14ac:dyDescent="0.2">
      <c r="B3" s="2534" t="s">
        <v>2098</v>
      </c>
      <c r="C3" s="2534"/>
      <c r="D3" s="2534"/>
      <c r="E3" s="2534"/>
      <c r="F3" s="1939"/>
      <c r="G3" s="1939"/>
      <c r="H3" s="1939"/>
      <c r="I3" s="1939"/>
      <c r="J3" s="1939"/>
      <c r="K3" s="1939"/>
      <c r="L3" s="1939"/>
    </row>
    <row r="4" spans="2:12" ht="13.5" customHeight="1" x14ac:dyDescent="0.2">
      <c r="B4" s="2535" t="str">
        <f>'Single Audit Cover'!A4</f>
        <v>Year Ending June 30, 2019</v>
      </c>
      <c r="C4" s="2535"/>
      <c r="D4" s="2535"/>
      <c r="E4" s="2535"/>
      <c r="F4" s="1940"/>
      <c r="G4" s="1940"/>
      <c r="H4" s="1940"/>
      <c r="I4" s="1940"/>
      <c r="J4" s="1940"/>
      <c r="K4" s="1940"/>
      <c r="L4" s="1940"/>
    </row>
    <row r="5" spans="2:12" ht="29.85" customHeight="1" x14ac:dyDescent="0.2"/>
    <row r="6" spans="2:12" ht="13.5" customHeight="1" x14ac:dyDescent="0.2">
      <c r="B6" s="1941" t="s">
        <v>2099</v>
      </c>
      <c r="C6" s="1941"/>
      <c r="D6" s="1942"/>
      <c r="E6" s="1943"/>
      <c r="F6" s="1943"/>
      <c r="G6" s="1944"/>
      <c r="H6" s="1944"/>
      <c r="I6" s="1944"/>
    </row>
    <row r="7" spans="2:12" ht="13.5" customHeight="1" x14ac:dyDescent="0.2">
      <c r="B7" s="1937" t="s">
        <v>1169</v>
      </c>
    </row>
    <row r="8" spans="2:12" ht="13.5" customHeight="1" x14ac:dyDescent="0.2">
      <c r="B8" s="1945" t="s">
        <v>2100</v>
      </c>
      <c r="C8" s="1946" t="s">
        <v>1991</v>
      </c>
      <c r="D8" s="1947">
        <v>2</v>
      </c>
    </row>
    <row r="9" spans="2:12" ht="13.5" customHeight="1" x14ac:dyDescent="0.2">
      <c r="B9" s="1948"/>
      <c r="C9" s="1948"/>
      <c r="D9" s="1948"/>
    </row>
    <row r="10" spans="2:12" ht="13.5" customHeight="1" x14ac:dyDescent="0.2">
      <c r="B10" s="1945" t="s">
        <v>2101</v>
      </c>
      <c r="C10" s="1945"/>
    </row>
    <row r="11" spans="2:12" ht="81.75" customHeight="1" x14ac:dyDescent="0.2">
      <c r="B11" s="2531" t="str">
        <f>'Finding 2019-002'!B17:K17</f>
        <v>The District prepares interim financial reports using software specifically designed for school district financial reporting. These interim reports are reviewed and approved by the District's Board of Education. For year end reporting purposes, the District relies on the auditor to prepare drafts of full disclosure financial statements (including footnotes) in a format acceptable by ISBE. The District currently lacks sufficient expertise to prepare year-end, full disclosure financial statements without significant assistance from the auditor. The District does not lack the ability to review and approve all journal entries and the drafted financial statements.</v>
      </c>
      <c r="C11" s="2531"/>
      <c r="D11" s="2531"/>
      <c r="E11" s="2531"/>
    </row>
    <row r="12" spans="2:12" ht="13.5" customHeight="1" x14ac:dyDescent="0.2"/>
    <row r="13" spans="2:12" ht="13.5" customHeight="1" x14ac:dyDescent="0.2">
      <c r="B13" s="1945" t="s">
        <v>2102</v>
      </c>
      <c r="C13" s="1945"/>
    </row>
    <row r="14" spans="2:12" ht="76.5" customHeight="1" x14ac:dyDescent="0.2">
      <c r="B14" s="2531" t="s">
        <v>2126</v>
      </c>
      <c r="C14" s="2531"/>
      <c r="D14" s="2531"/>
      <c r="E14" s="2531"/>
    </row>
    <row r="15" spans="2:12" ht="13.5" customHeight="1" x14ac:dyDescent="0.2"/>
    <row r="16" spans="2:12" ht="13.5" customHeight="1" x14ac:dyDescent="0.2">
      <c r="B16" s="1945" t="s">
        <v>2103</v>
      </c>
      <c r="C16" s="1945"/>
      <c r="E16" s="1980" t="s">
        <v>2123</v>
      </c>
    </row>
    <row r="17" spans="2:5" ht="13.5" customHeight="1" x14ac:dyDescent="0.2"/>
    <row r="18" spans="2:5" ht="13.5" customHeight="1" x14ac:dyDescent="0.2">
      <c r="B18" s="1945" t="s">
        <v>2104</v>
      </c>
      <c r="C18" s="1945"/>
      <c r="E18" s="1949" t="s">
        <v>2110</v>
      </c>
    </row>
    <row r="19" spans="2:5" ht="13.5" customHeight="1" x14ac:dyDescent="0.2"/>
    <row r="20" spans="2:5" ht="13.5" customHeight="1" x14ac:dyDescent="0.2">
      <c r="B20" s="1945" t="s">
        <v>2105</v>
      </c>
      <c r="C20" s="1945"/>
      <c r="E20" s="1949" t="s">
        <v>2111</v>
      </c>
    </row>
    <row r="21" spans="2:5" ht="13.5" customHeight="1" x14ac:dyDescent="0.2">
      <c r="E21" s="1949" t="s">
        <v>2112</v>
      </c>
    </row>
    <row r="22" spans="2:5" ht="13.5" customHeight="1" x14ac:dyDescent="0.2">
      <c r="E22" s="1949" t="s">
        <v>2113</v>
      </c>
    </row>
    <row r="23" spans="2:5" ht="13.5" customHeight="1" x14ac:dyDescent="0.2">
      <c r="E23" s="1937" t="s">
        <v>2114</v>
      </c>
    </row>
    <row r="24" spans="2:5" ht="13.5" customHeight="1" x14ac:dyDescent="0.2">
      <c r="E24" s="1937" t="s">
        <v>2115</v>
      </c>
    </row>
    <row r="25" spans="2:5" ht="13.5" customHeight="1" x14ac:dyDescent="0.2">
      <c r="B25" s="1950"/>
      <c r="C25" s="1950"/>
      <c r="D25" s="1950"/>
    </row>
    <row r="26" spans="2:5" ht="13.5" customHeight="1" x14ac:dyDescent="0.2">
      <c r="B26" s="1950"/>
      <c r="C26" s="1950"/>
      <c r="D26" s="1950"/>
    </row>
    <row r="27" spans="2:5" ht="13.5" customHeight="1" x14ac:dyDescent="0.2">
      <c r="B27" s="1950"/>
      <c r="C27" s="1950"/>
      <c r="D27" s="1950"/>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1"/>
      <c r="C35" s="1951"/>
      <c r="D35" s="1951"/>
    </row>
    <row r="36" spans="2:5" ht="13.5" customHeight="1" x14ac:dyDescent="0.2"/>
    <row r="37" spans="2:5" ht="13.5" customHeight="1" x14ac:dyDescent="0.2">
      <c r="B37" s="1951"/>
      <c r="C37" s="1951"/>
      <c r="D37" s="1951"/>
    </row>
    <row r="38" spans="2:5" ht="13.5" customHeight="1" x14ac:dyDescent="0.2">
      <c r="B38" s="1951"/>
      <c r="C38" s="1951"/>
      <c r="D38" s="1951"/>
    </row>
    <row r="39" spans="2:5" ht="13.5" customHeight="1" x14ac:dyDescent="0.2">
      <c r="B39" s="1951"/>
      <c r="C39" s="1951"/>
      <c r="D39" s="1951"/>
    </row>
    <row r="40" spans="2:5" ht="13.5" customHeight="1" x14ac:dyDescent="0.2">
      <c r="B40" s="1951"/>
      <c r="C40" s="1951"/>
      <c r="D40" s="1951"/>
    </row>
    <row r="41" spans="2:5" ht="13.5" customHeight="1" x14ac:dyDescent="0.2">
      <c r="B41" s="1952"/>
      <c r="C41" s="1952"/>
      <c r="D41" s="1952"/>
      <c r="E41" s="1952"/>
    </row>
    <row r="42" spans="2:5" ht="12.2" customHeight="1" x14ac:dyDescent="0.2">
      <c r="B42" s="1953" t="s">
        <v>2106</v>
      </c>
      <c r="C42" s="1953"/>
      <c r="D42" s="1953"/>
    </row>
    <row r="43" spans="2:5" ht="12.2" customHeight="1" x14ac:dyDescent="0.2">
      <c r="B43" s="1954"/>
      <c r="C43" s="1954"/>
      <c r="D43" s="1954"/>
    </row>
    <row r="44" spans="2:5" ht="12.75" customHeight="1" x14ac:dyDescent="0.2">
      <c r="B44" s="1945"/>
      <c r="C44" s="1945"/>
      <c r="D44" s="1945"/>
    </row>
    <row r="45" spans="2:5" ht="12.75" customHeight="1" x14ac:dyDescent="0.2">
      <c r="B45" s="1945"/>
      <c r="C45" s="1945"/>
      <c r="D45" s="1945"/>
    </row>
    <row r="46" spans="2:5" x14ac:dyDescent="0.2">
      <c r="B46" s="1945"/>
      <c r="C46" s="1945"/>
      <c r="D46" s="1945"/>
    </row>
    <row r="47" spans="2:5" x14ac:dyDescent="0.2">
      <c r="B47" s="1945"/>
      <c r="C47" s="1945"/>
      <c r="D47" s="1945"/>
    </row>
    <row r="51" spans="2:4" x14ac:dyDescent="0.2">
      <c r="B51" s="1955"/>
      <c r="C51" s="1955"/>
      <c r="D51" s="1955"/>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6"/>
      <c r="C64" s="1956"/>
      <c r="D64" s="1956"/>
    </row>
    <row r="65" spans="2:4" x14ac:dyDescent="0.2">
      <c r="B65" s="1945"/>
      <c r="C65" s="1945"/>
      <c r="D65" s="1945"/>
    </row>
    <row r="66" spans="2:4" x14ac:dyDescent="0.2">
      <c r="B66" s="1945"/>
      <c r="C66" s="1945"/>
      <c r="D66" s="1945"/>
    </row>
    <row r="67" spans="2:4" x14ac:dyDescent="0.2">
      <c r="B67" s="1956"/>
      <c r="C67" s="1956"/>
      <c r="D67" s="1956"/>
    </row>
    <row r="68" spans="2:4" x14ac:dyDescent="0.2">
      <c r="B68" s="1956"/>
      <c r="C68" s="1956"/>
      <c r="D68" s="1956"/>
    </row>
    <row r="69" spans="2:4" x14ac:dyDescent="0.2">
      <c r="B69" s="1956"/>
      <c r="C69" s="1956"/>
      <c r="D69" s="1956"/>
    </row>
    <row r="70" spans="2:4" x14ac:dyDescent="0.2">
      <c r="B70" s="1945"/>
      <c r="C70" s="1945"/>
      <c r="D70" s="1945"/>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5" t="s">
        <v>386</v>
      </c>
      <c r="B1" s="2125"/>
      <c r="C1" s="2125"/>
      <c r="D1" s="2125"/>
      <c r="E1" s="2125"/>
      <c r="F1" s="2125"/>
      <c r="G1" s="2125"/>
      <c r="H1" s="2125"/>
      <c r="I1" s="2125"/>
      <c r="J1" s="2125"/>
      <c r="K1" s="2125"/>
      <c r="L1" s="2125"/>
      <c r="M1" s="212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83689299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1.47E-2</v>
      </c>
      <c r="E10" s="356" t="s">
        <v>1005</v>
      </c>
      <c r="F10" s="355">
        <v>4.0000000000000001E-3</v>
      </c>
      <c r="G10" s="356" t="s">
        <v>1005</v>
      </c>
      <c r="H10" s="355">
        <v>1.1999999999999999E-3</v>
      </c>
      <c r="I10" s="356" t="s">
        <v>1006</v>
      </c>
      <c r="J10" s="1729">
        <f>ROUND(D10+F10+H10,5)</f>
        <v>1.9900000000000001E-2</v>
      </c>
      <c r="K10" s="222"/>
      <c r="L10" s="355">
        <v>5.0000000000000001E-4</v>
      </c>
      <c r="M10" s="222"/>
    </row>
    <row r="11" spans="1:14" ht="7.5" customHeight="1" x14ac:dyDescent="0.2">
      <c r="B11" s="222"/>
      <c r="C11" s="222"/>
      <c r="D11" s="2135" t="str">
        <f>IF(SUM(J10)&lt;=0.0999999,"","Enter the Tax Rates by moving the decimal two places to the left.")</f>
        <v/>
      </c>
      <c r="E11" s="2136"/>
      <c r="F11" s="2136"/>
      <c r="G11" s="2136"/>
      <c r="H11" s="2136"/>
      <c r="I11" s="2136"/>
      <c r="J11" s="213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3721494</v>
      </c>
      <c r="E16" s="356"/>
      <c r="F16" s="1730">
        <f>SUM('Acct Summary 7-8'!C17,'Acct Summary 7-8'!D17,'Acct Summary 7-8'!F17)</f>
        <v>3303413</v>
      </c>
      <c r="G16" s="356"/>
      <c r="H16" s="1730">
        <f>SUM(D16-F16)</f>
        <v>418081</v>
      </c>
      <c r="I16" s="222"/>
      <c r="J16" s="1730">
        <f>SUM('Acct Summary 7-8'!C81,'Acct Summary 7-8'!D81,'Acct Summary 7-8'!F81,'Acct Summary 7-8'!I81)</f>
        <v>4972319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2084</v>
      </c>
      <c r="C31" s="367" t="s">
        <v>586</v>
      </c>
      <c r="D31" s="237" t="s">
        <v>1072</v>
      </c>
      <c r="E31" s="222"/>
      <c r="F31" s="222"/>
      <c r="G31" s="363"/>
      <c r="H31" s="1732">
        <f>IF(B31="X",(J7*0.069),IF(B32="X",(J7*0.138),"Enter x in a.or b."))</f>
        <v>5774561.6310000001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26"/>
      <c r="C54" s="2127"/>
      <c r="D54" s="2127"/>
      <c r="E54" s="2127"/>
      <c r="F54" s="2127"/>
      <c r="G54" s="2127"/>
      <c r="H54" s="2127"/>
      <c r="I54" s="2127"/>
      <c r="J54" s="2127"/>
      <c r="K54" s="2127"/>
      <c r="L54" s="2128"/>
      <c r="M54" s="380"/>
    </row>
    <row r="55" spans="1:13" ht="12.75" customHeight="1" x14ac:dyDescent="0.2">
      <c r="B55" s="2129"/>
      <c r="C55" s="2130"/>
      <c r="D55" s="2130"/>
      <c r="E55" s="2130"/>
      <c r="F55" s="2130"/>
      <c r="G55" s="2130"/>
      <c r="H55" s="2130"/>
      <c r="I55" s="2130"/>
      <c r="J55" s="2130"/>
      <c r="K55" s="2130"/>
      <c r="L55" s="2131"/>
      <c r="M55" s="380"/>
    </row>
    <row r="56" spans="1:13" ht="12.75" customHeight="1" x14ac:dyDescent="0.2">
      <c r="B56" s="2129"/>
      <c r="C56" s="2130"/>
      <c r="D56" s="2130"/>
      <c r="E56" s="2130"/>
      <c r="F56" s="2130"/>
      <c r="G56" s="2130"/>
      <c r="H56" s="2130"/>
      <c r="I56" s="2130"/>
      <c r="J56" s="2130"/>
      <c r="K56" s="2130"/>
      <c r="L56" s="2131"/>
      <c r="M56" s="222"/>
    </row>
    <row r="57" spans="1:13" ht="12.75" customHeight="1" x14ac:dyDescent="0.2">
      <c r="B57" s="2129"/>
      <c r="C57" s="2130"/>
      <c r="D57" s="2130"/>
      <c r="E57" s="2130"/>
      <c r="F57" s="2130"/>
      <c r="G57" s="2130"/>
      <c r="H57" s="2130"/>
      <c r="I57" s="2130"/>
      <c r="J57" s="2130"/>
      <c r="K57" s="2130"/>
      <c r="L57" s="2131"/>
      <c r="M57" s="222"/>
    </row>
    <row r="58" spans="1:13" x14ac:dyDescent="0.2">
      <c r="B58" s="2132"/>
      <c r="C58" s="2133"/>
      <c r="D58" s="2133"/>
      <c r="E58" s="2133"/>
      <c r="F58" s="2133"/>
      <c r="G58" s="2133"/>
      <c r="H58" s="2133"/>
      <c r="I58" s="2133"/>
      <c r="J58" s="2133"/>
      <c r="K58" s="2133"/>
      <c r="L58" s="213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7"/>
      <c r="D61" s="213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0"/>
      <c r="B1" s="2141"/>
      <c r="C1" s="2141"/>
      <c r="D1" s="384"/>
      <c r="E1" s="384"/>
      <c r="F1" s="384"/>
      <c r="G1" s="384"/>
      <c r="H1" s="384"/>
      <c r="I1" s="384"/>
      <c r="J1" s="384"/>
      <c r="K1" s="384"/>
      <c r="L1" s="384"/>
      <c r="M1" s="384"/>
      <c r="N1" s="384"/>
      <c r="O1" s="2140"/>
      <c r="P1" s="2141"/>
      <c r="Q1" s="2141"/>
    </row>
    <row r="2" spans="1:18" ht="15" x14ac:dyDescent="0.2">
      <c r="A2" s="2144" t="s">
        <v>556</v>
      </c>
      <c r="B2" s="2144"/>
      <c r="C2" s="2144"/>
      <c r="D2" s="2144"/>
      <c r="E2" s="2144"/>
      <c r="F2" s="2144"/>
      <c r="G2" s="2144"/>
      <c r="H2" s="2144"/>
      <c r="I2" s="2144"/>
      <c r="J2" s="2144"/>
      <c r="K2" s="2144"/>
      <c r="L2" s="2144"/>
      <c r="M2" s="2144"/>
      <c r="N2" s="2144"/>
      <c r="O2" s="2144"/>
      <c r="P2" s="2144"/>
      <c r="Q2" s="2144"/>
      <c r="R2" s="2144"/>
    </row>
    <row r="3" spans="1:18" ht="12.75" x14ac:dyDescent="0.2">
      <c r="A3" s="2145" t="s">
        <v>1413</v>
      </c>
      <c r="B3" s="2145"/>
      <c r="C3" s="2145"/>
      <c r="D3" s="2145"/>
      <c r="E3" s="2145"/>
      <c r="F3" s="2145"/>
      <c r="G3" s="2145"/>
      <c r="H3" s="2145"/>
      <c r="I3" s="2145"/>
      <c r="J3" s="2145"/>
      <c r="K3" s="2145"/>
      <c r="L3" s="2145"/>
      <c r="M3" s="2145"/>
      <c r="N3" s="2145"/>
      <c r="O3" s="2145"/>
      <c r="P3" s="2145"/>
      <c r="Q3" s="2145"/>
      <c r="R3" s="2145"/>
    </row>
    <row r="4" spans="1:18" x14ac:dyDescent="0.2">
      <c r="A4" s="2146" t="s">
        <v>1554</v>
      </c>
      <c r="B4" s="2146"/>
      <c r="C4" s="2146"/>
      <c r="D4" s="2146"/>
      <c r="E4" s="2146"/>
      <c r="F4" s="2146"/>
      <c r="G4" s="2146"/>
      <c r="H4" s="2146"/>
      <c r="I4" s="2146"/>
      <c r="J4" s="2146"/>
      <c r="K4" s="2146"/>
      <c r="L4" s="2146"/>
      <c r="M4" s="2146"/>
      <c r="N4" s="2146"/>
      <c r="O4" s="2146"/>
      <c r="P4" s="2146"/>
      <c r="Q4" s="2146"/>
      <c r="R4" s="214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Carthage ESD 317</v>
      </c>
      <c r="E7" s="391"/>
      <c r="G7" s="252"/>
      <c r="H7" s="387"/>
      <c r="I7" s="387"/>
      <c r="J7" s="387"/>
      <c r="K7" s="387"/>
      <c r="L7" s="329"/>
      <c r="M7" s="329"/>
      <c r="N7" s="329"/>
      <c r="O7" s="329"/>
      <c r="P7" s="329"/>
    </row>
    <row r="8" spans="1:18" ht="12.75" x14ac:dyDescent="0.2">
      <c r="A8" s="329"/>
      <c r="B8" s="329"/>
      <c r="C8" s="389" t="s">
        <v>1125</v>
      </c>
      <c r="D8" s="392">
        <f>COVER!A13</f>
        <v>26034317004</v>
      </c>
      <c r="E8" s="393"/>
      <c r="G8" s="329"/>
      <c r="H8" s="329"/>
      <c r="I8" s="329"/>
      <c r="J8" s="329"/>
      <c r="K8" s="329"/>
      <c r="L8" s="329"/>
      <c r="M8" s="329"/>
      <c r="N8" s="329"/>
      <c r="O8" s="329"/>
      <c r="P8" s="329"/>
    </row>
    <row r="9" spans="1:18" ht="12.75" x14ac:dyDescent="0.2">
      <c r="A9" s="329"/>
      <c r="B9" s="329"/>
      <c r="C9" s="389" t="s">
        <v>713</v>
      </c>
      <c r="D9" s="394" t="str">
        <f>COVER!A15</f>
        <v>Hancock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4972319</v>
      </c>
      <c r="I12" s="404"/>
      <c r="J12" s="404"/>
      <c r="K12" s="405">
        <f>TRUNC((H12/H13*100000),5)/100000</f>
        <v>1.3361082941</v>
      </c>
      <c r="L12" s="406"/>
      <c r="M12" s="360" t="s">
        <v>1144</v>
      </c>
      <c r="N12" s="360"/>
      <c r="O12" s="407">
        <v>0.35</v>
      </c>
      <c r="P12" s="218"/>
      <c r="Q12" s="218"/>
    </row>
    <row r="13" spans="1:18" s="408" customFormat="1" ht="12.75" x14ac:dyDescent="0.2">
      <c r="A13" s="218"/>
      <c r="B13" s="401"/>
      <c r="C13" s="2142" t="s">
        <v>1324</v>
      </c>
      <c r="D13" s="2143"/>
      <c r="E13" s="218"/>
      <c r="F13" s="409" t="s">
        <v>793</v>
      </c>
      <c r="G13" s="402"/>
      <c r="H13" s="403">
        <f>SUM('Acct Summary 7-8'!C8+'Acct Summary 7-8'!D8+'Acct Summary 7-8'!F8+'Acct Summary 7-8'!I8)+H14</f>
        <v>3721494</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3303413</v>
      </c>
      <c r="I17" s="404"/>
      <c r="J17" s="416"/>
      <c r="K17" s="405">
        <f>TRUNC((H17/H18*100000),5)/100000</f>
        <v>0.88765775250000001</v>
      </c>
      <c r="L17" s="406"/>
      <c r="M17" s="417" t="s">
        <v>1171</v>
      </c>
      <c r="O17" s="418" t="str">
        <f>IF(AND(O16="2", J20 &gt; 2),"1",IF(AND(O16 = "1", J20 &gt; 2),"2",IF(AND(O16="1", J20 &gt;1),"1","0")))</f>
        <v>0</v>
      </c>
      <c r="P17" s="218"/>
    </row>
    <row r="18" spans="1:18" s="408" customFormat="1" ht="11.25" x14ac:dyDescent="0.2">
      <c r="A18" s="218"/>
      <c r="B18" s="401"/>
      <c r="C18" s="2142" t="s">
        <v>1317</v>
      </c>
      <c r="D18" s="2143"/>
      <c r="E18" s="218"/>
      <c r="F18" s="419" t="s">
        <v>794</v>
      </c>
      <c r="G18" s="402"/>
      <c r="H18" s="403">
        <f>SUM('Acct Summary 7-8'!C8+'Acct Summary 7-8'!D8+'Acct Summary 7-8'!F8+'Acct Summary 7-8'!I8)+H19</f>
        <v>3721494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39" t="s">
        <v>1412</v>
      </c>
      <c r="D24" s="2139"/>
      <c r="E24" s="218"/>
      <c r="F24" s="218" t="s">
        <v>445</v>
      </c>
      <c r="G24" s="402"/>
      <c r="H24" s="403">
        <f>SUM('Assets-Liab 5-6'!C4+'Assets-Liab 5-6'!D4+'Assets-Liab 5-6'!F4+'Assets-Liab 5-6'!I4+'Assets-Liab 5-6'!C5+'Assets-Liab 5-6'!D5+'Assets-Liab 5-6'!F5+'Assets-Liab 5-6'!I5)</f>
        <v>4972319</v>
      </c>
      <c r="I24" s="422"/>
      <c r="J24" s="422"/>
      <c r="K24" s="423">
        <f>TRUNC(((H24/H25*100000)/100000),2)</f>
        <v>541.87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9176.1472200000007</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1415604.4925899999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5774561.6310000001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E25" sqref="AE25"/>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4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4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49" t="s">
        <v>973</v>
      </c>
      <c r="B3" s="2150"/>
      <c r="C3" s="1556"/>
      <c r="D3" s="1557"/>
      <c r="E3" s="1557"/>
      <c r="F3" s="1557"/>
      <c r="G3" s="1557"/>
      <c r="H3" s="1557"/>
      <c r="I3" s="1557"/>
      <c r="J3" s="1557"/>
      <c r="K3" s="1557"/>
      <c r="L3" s="1557"/>
      <c r="M3" s="1558"/>
      <c r="N3" s="1559"/>
    </row>
    <row r="4" spans="1:14" ht="13.5" customHeight="1" x14ac:dyDescent="0.2">
      <c r="A4" s="463" t="s">
        <v>1651</v>
      </c>
      <c r="B4" s="464"/>
      <c r="C4" s="465">
        <v>539189</v>
      </c>
      <c r="D4" s="465">
        <v>1353626</v>
      </c>
      <c r="E4" s="465">
        <v>5522</v>
      </c>
      <c r="F4" s="465">
        <v>285277</v>
      </c>
      <c r="G4" s="465">
        <v>112219</v>
      </c>
      <c r="H4" s="465">
        <v>0</v>
      </c>
      <c r="I4" s="465">
        <v>61812</v>
      </c>
      <c r="J4" s="465">
        <v>391457</v>
      </c>
      <c r="K4" s="465">
        <v>29443</v>
      </c>
      <c r="L4" s="465">
        <v>45395</v>
      </c>
      <c r="M4" s="468"/>
      <c r="N4" s="469"/>
    </row>
    <row r="5" spans="1:14" x14ac:dyDescent="0.2">
      <c r="A5" s="463" t="s">
        <v>992</v>
      </c>
      <c r="B5" s="470">
        <v>120</v>
      </c>
      <c r="C5" s="465">
        <v>582939</v>
      </c>
      <c r="D5" s="465">
        <v>760242</v>
      </c>
      <c r="E5" s="465">
        <v>0</v>
      </c>
      <c r="F5" s="465">
        <v>484300</v>
      </c>
      <c r="G5" s="465">
        <v>102154</v>
      </c>
      <c r="H5" s="465">
        <v>0</v>
      </c>
      <c r="I5" s="465">
        <v>904934</v>
      </c>
      <c r="J5" s="465">
        <v>200000</v>
      </c>
      <c r="K5" s="465">
        <v>249941</v>
      </c>
      <c r="L5" s="465">
        <v>15490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1122128</v>
      </c>
      <c r="D13" s="1734">
        <f t="shared" ref="D13:L13" si="0">SUM(D4:D12)</f>
        <v>2113868</v>
      </c>
      <c r="E13" s="1734">
        <f t="shared" si="0"/>
        <v>5522</v>
      </c>
      <c r="F13" s="1734">
        <f t="shared" si="0"/>
        <v>769577</v>
      </c>
      <c r="G13" s="1734">
        <f t="shared" si="0"/>
        <v>214373</v>
      </c>
      <c r="H13" s="1734">
        <f t="shared" si="0"/>
        <v>0</v>
      </c>
      <c r="I13" s="1734">
        <f t="shared" si="0"/>
        <v>966746</v>
      </c>
      <c r="J13" s="1734">
        <f t="shared" si="0"/>
        <v>591457</v>
      </c>
      <c r="K13" s="1734">
        <f t="shared" si="0"/>
        <v>279384</v>
      </c>
      <c r="L13" s="1734">
        <f t="shared" si="0"/>
        <v>60885</v>
      </c>
      <c r="M13" s="468"/>
      <c r="N13" s="469"/>
    </row>
    <row r="14" spans="1:14" ht="18" customHeight="1" thickTop="1" x14ac:dyDescent="0.2">
      <c r="A14" s="2151" t="s">
        <v>147</v>
      </c>
      <c r="B14" s="2152"/>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31500</v>
      </c>
      <c r="N16" s="482"/>
    </row>
    <row r="17" spans="1:14" s="483" customFormat="1" ht="12.75" customHeight="1" x14ac:dyDescent="0.2">
      <c r="A17" s="480" t="s">
        <v>1403</v>
      </c>
      <c r="B17" s="481">
        <v>230</v>
      </c>
      <c r="C17" s="475"/>
      <c r="D17" s="475"/>
      <c r="E17" s="475"/>
      <c r="F17" s="475"/>
      <c r="G17" s="475"/>
      <c r="H17" s="475"/>
      <c r="I17" s="475"/>
      <c r="J17" s="475"/>
      <c r="K17" s="475"/>
      <c r="L17" s="475"/>
      <c r="M17" s="465">
        <v>6200050</v>
      </c>
      <c r="N17" s="482"/>
    </row>
    <row r="18" spans="1:14" s="483" customFormat="1" ht="12.75" customHeight="1" x14ac:dyDescent="0.2">
      <c r="A18" s="480" t="s">
        <v>1404</v>
      </c>
      <c r="B18" s="481">
        <v>240</v>
      </c>
      <c r="C18" s="475"/>
      <c r="D18" s="475"/>
      <c r="E18" s="475"/>
      <c r="F18" s="475"/>
      <c r="G18" s="475"/>
      <c r="H18" s="475"/>
      <c r="I18" s="475"/>
      <c r="J18" s="475"/>
      <c r="K18" s="475"/>
      <c r="L18" s="475"/>
      <c r="M18" s="465">
        <v>107377</v>
      </c>
      <c r="N18" s="482"/>
    </row>
    <row r="19" spans="1:14" s="483" customFormat="1" ht="12.75" customHeight="1" x14ac:dyDescent="0.2">
      <c r="A19" s="480" t="s">
        <v>1405</v>
      </c>
      <c r="B19" s="481">
        <v>250</v>
      </c>
      <c r="C19" s="475"/>
      <c r="D19" s="475"/>
      <c r="E19" s="475"/>
      <c r="F19" s="475"/>
      <c r="G19" s="475"/>
      <c r="H19" s="475"/>
      <c r="I19" s="475"/>
      <c r="J19" s="475"/>
      <c r="K19" s="475"/>
      <c r="L19" s="475"/>
      <c r="M19" s="465">
        <v>354492</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5522</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-5522</v>
      </c>
    </row>
    <row r="23" spans="1:14" ht="13.5" customHeight="1" thickBot="1" x14ac:dyDescent="0.25">
      <c r="A23" s="1733" t="s">
        <v>643</v>
      </c>
      <c r="B23" s="1738"/>
      <c r="C23" s="468"/>
      <c r="D23" s="468"/>
      <c r="E23" s="468"/>
      <c r="F23" s="468"/>
      <c r="G23" s="468"/>
      <c r="H23" s="468"/>
      <c r="I23" s="468"/>
      <c r="J23" s="468"/>
      <c r="K23" s="468"/>
      <c r="L23" s="468"/>
      <c r="M23" s="1685">
        <f>SUM(M15:M22)</f>
        <v>6693419</v>
      </c>
      <c r="N23" s="1685">
        <f>SUM(N21:N22)</f>
        <v>0</v>
      </c>
    </row>
    <row r="24" spans="1:14" ht="18" customHeight="1" thickTop="1" x14ac:dyDescent="0.2">
      <c r="A24" s="2153" t="s">
        <v>598</v>
      </c>
      <c r="B24" s="2154"/>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42430</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42430</v>
      </c>
      <c r="M34" s="468"/>
      <c r="N34" s="478"/>
    </row>
    <row r="35" spans="1:14" ht="18" customHeight="1" thickTop="1" x14ac:dyDescent="0.2">
      <c r="A35" s="2155" t="s">
        <v>529</v>
      </c>
      <c r="B35" s="2156"/>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0</v>
      </c>
    </row>
    <row r="37" spans="1:14" ht="13.5" thickBot="1" x14ac:dyDescent="0.25">
      <c r="A37" s="1733" t="s">
        <v>653</v>
      </c>
      <c r="B37" s="1738"/>
      <c r="C37" s="475"/>
      <c r="D37" s="475"/>
      <c r="E37" s="475"/>
      <c r="F37" s="475"/>
      <c r="G37" s="475"/>
      <c r="H37" s="475"/>
      <c r="I37" s="475"/>
      <c r="J37" s="475"/>
      <c r="K37" s="475"/>
      <c r="L37" s="478"/>
      <c r="M37" s="468"/>
      <c r="N37" s="1685">
        <f>SUM(N36:N36)</f>
        <v>0</v>
      </c>
    </row>
    <row r="38" spans="1:14" s="329" customFormat="1" ht="13.5" customHeight="1" thickTop="1" x14ac:dyDescent="0.2">
      <c r="A38" s="493" t="s">
        <v>420</v>
      </c>
      <c r="B38" s="481">
        <v>714</v>
      </c>
      <c r="C38" s="465">
        <v>43634</v>
      </c>
      <c r="D38" s="465">
        <v>0</v>
      </c>
      <c r="E38" s="465">
        <v>0</v>
      </c>
      <c r="F38" s="465">
        <v>0</v>
      </c>
      <c r="G38" s="465">
        <v>70570</v>
      </c>
      <c r="H38" s="465">
        <v>0</v>
      </c>
      <c r="I38" s="465">
        <v>0</v>
      </c>
      <c r="J38" s="465">
        <v>0</v>
      </c>
      <c r="K38" s="465">
        <v>0</v>
      </c>
      <c r="L38" s="465">
        <v>18455</v>
      </c>
      <c r="M38" s="494"/>
      <c r="N38" s="494"/>
    </row>
    <row r="39" spans="1:14" s="329" customFormat="1" ht="13.5" customHeight="1" x14ac:dyDescent="0.2">
      <c r="A39" s="493" t="s">
        <v>342</v>
      </c>
      <c r="B39" s="481">
        <v>730</v>
      </c>
      <c r="C39" s="465">
        <v>1078494</v>
      </c>
      <c r="D39" s="465">
        <v>2113868</v>
      </c>
      <c r="E39" s="465">
        <v>5522</v>
      </c>
      <c r="F39" s="465">
        <v>769577</v>
      </c>
      <c r="G39" s="465">
        <v>143803</v>
      </c>
      <c r="H39" s="465">
        <v>0</v>
      </c>
      <c r="I39" s="465">
        <v>966746</v>
      </c>
      <c r="J39" s="465">
        <v>591457</v>
      </c>
      <c r="K39" s="465">
        <v>279384</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6693419</v>
      </c>
      <c r="N40" s="494"/>
    </row>
    <row r="41" spans="1:14" ht="13.5" customHeight="1" thickBot="1" x14ac:dyDescent="0.25">
      <c r="A41" s="1733" t="s">
        <v>655</v>
      </c>
      <c r="B41" s="1703"/>
      <c r="C41" s="1685">
        <f>(SUM(C34,C37,C38,C39))</f>
        <v>1122128</v>
      </c>
      <c r="D41" s="1685">
        <f t="shared" ref="D41:L41" si="2">SUM(D34,D37,D38:D39)</f>
        <v>2113868</v>
      </c>
      <c r="E41" s="1685">
        <f t="shared" si="2"/>
        <v>5522</v>
      </c>
      <c r="F41" s="1685">
        <f t="shared" si="2"/>
        <v>769577</v>
      </c>
      <c r="G41" s="1685">
        <f t="shared" si="2"/>
        <v>214373</v>
      </c>
      <c r="H41" s="1685">
        <f t="shared" si="2"/>
        <v>0</v>
      </c>
      <c r="I41" s="1685">
        <f t="shared" si="2"/>
        <v>966746</v>
      </c>
      <c r="J41" s="1685">
        <f t="shared" si="2"/>
        <v>591457</v>
      </c>
      <c r="K41" s="1685">
        <f t="shared" si="2"/>
        <v>279384</v>
      </c>
      <c r="L41" s="1685">
        <f t="shared" si="2"/>
        <v>60885</v>
      </c>
      <c r="M41" s="1685">
        <f>SUM(M40)</f>
        <v>6693419</v>
      </c>
      <c r="N41" s="1685">
        <f>SUM(N37)</f>
        <v>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E25" sqref="AE25"/>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65"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66"/>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77" t="s">
        <v>1175</v>
      </c>
      <c r="B3" s="2178"/>
      <c r="C3" s="1570"/>
      <c r="D3" s="1571"/>
      <c r="E3" s="1571"/>
      <c r="F3" s="1571"/>
      <c r="G3" s="1571"/>
      <c r="H3" s="1571"/>
      <c r="I3" s="1571"/>
      <c r="J3" s="1571"/>
      <c r="K3" s="1572"/>
      <c r="L3" s="503"/>
    </row>
    <row r="4" spans="1:13" ht="15.75" customHeight="1" x14ac:dyDescent="0.2">
      <c r="A4" s="1925" t="s">
        <v>1499</v>
      </c>
      <c r="B4" s="1926">
        <v>1000</v>
      </c>
      <c r="C4" s="1739">
        <f>'Revenues 9-14'!C109</f>
        <v>1465060</v>
      </c>
      <c r="D4" s="1739">
        <f>'Revenues 9-14'!D109</f>
        <v>525295</v>
      </c>
      <c r="E4" s="1739">
        <f>'Revenues 9-14'!E109</f>
        <v>130799</v>
      </c>
      <c r="F4" s="1739">
        <f>'Revenues 9-14'!F109</f>
        <v>151055</v>
      </c>
      <c r="G4" s="1739">
        <f>'Revenues 9-14'!G109</f>
        <v>163312</v>
      </c>
      <c r="H4" s="1739">
        <f>'Revenues 9-14'!H109</f>
        <v>0</v>
      </c>
      <c r="I4" s="1739">
        <f>'Revenues 9-14'!I109</f>
        <v>61812</v>
      </c>
      <c r="J4" s="1739">
        <f>'Revenues 9-14'!J109</f>
        <v>259714</v>
      </c>
      <c r="K4" s="1739">
        <f>'Revenues 9-14'!K109</f>
        <v>46639</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1227934</v>
      </c>
      <c r="D6" s="1740">
        <f>'Revenues 9-14'!D170</f>
        <v>0</v>
      </c>
      <c r="E6" s="1740">
        <f>'Revenues 9-14'!E170</f>
        <v>0</v>
      </c>
      <c r="F6" s="1740">
        <f>'Revenues 9-14'!F170</f>
        <v>92581</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197757</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2890751</v>
      </c>
      <c r="D8" s="1685">
        <f t="shared" ref="D8:K8" si="0">SUM(D4:D7)</f>
        <v>525295</v>
      </c>
      <c r="E8" s="1685">
        <f t="shared" si="0"/>
        <v>130799</v>
      </c>
      <c r="F8" s="1685">
        <f t="shared" si="0"/>
        <v>243636</v>
      </c>
      <c r="G8" s="1685">
        <f t="shared" si="0"/>
        <v>163312</v>
      </c>
      <c r="H8" s="1685">
        <f t="shared" si="0"/>
        <v>0</v>
      </c>
      <c r="I8" s="1685">
        <f t="shared" si="0"/>
        <v>61812</v>
      </c>
      <c r="J8" s="1685">
        <f t="shared" si="0"/>
        <v>259714</v>
      </c>
      <c r="K8" s="1685">
        <f t="shared" si="0"/>
        <v>46639</v>
      </c>
      <c r="L8" s="347"/>
    </row>
    <row r="9" spans="1:13" ht="15.75" thickTop="1" x14ac:dyDescent="0.2">
      <c r="A9" s="511" t="s">
        <v>1653</v>
      </c>
      <c r="B9" s="512">
        <v>3998</v>
      </c>
      <c r="C9" s="465">
        <v>1099589</v>
      </c>
      <c r="D9" s="513"/>
      <c r="E9" s="479"/>
      <c r="F9" s="479"/>
      <c r="G9" s="514"/>
      <c r="H9" s="479"/>
      <c r="I9" s="506" t="s">
        <v>1169</v>
      </c>
      <c r="J9" s="476"/>
      <c r="K9" s="479"/>
      <c r="L9" s="347"/>
    </row>
    <row r="10" spans="1:13" s="516" customFormat="1" ht="13.5" thickBot="1" x14ac:dyDescent="0.25">
      <c r="A10" s="1733" t="s">
        <v>1173</v>
      </c>
      <c r="B10" s="1706"/>
      <c r="C10" s="1685">
        <f>SUM(C8:C9)</f>
        <v>3990340</v>
      </c>
      <c r="D10" s="1685">
        <f t="shared" ref="D10:K10" si="1">SUM(D8:D9)</f>
        <v>525295</v>
      </c>
      <c r="E10" s="1685">
        <f t="shared" si="1"/>
        <v>130799</v>
      </c>
      <c r="F10" s="1685">
        <f t="shared" si="1"/>
        <v>243636</v>
      </c>
      <c r="G10" s="1685">
        <f t="shared" si="1"/>
        <v>163312</v>
      </c>
      <c r="H10" s="1685">
        <f t="shared" si="1"/>
        <v>0</v>
      </c>
      <c r="I10" s="1685">
        <f t="shared" si="1"/>
        <v>61812</v>
      </c>
      <c r="J10" s="1685">
        <f t="shared" si="1"/>
        <v>259714</v>
      </c>
      <c r="K10" s="1685">
        <f t="shared" si="1"/>
        <v>46639</v>
      </c>
      <c r="L10" s="515"/>
    </row>
    <row r="11" spans="1:13" s="516" customFormat="1" ht="16.7" customHeight="1" thickTop="1" x14ac:dyDescent="0.2">
      <c r="A11" s="2151" t="s">
        <v>1176</v>
      </c>
      <c r="B11" s="2152"/>
      <c r="C11" s="1567"/>
      <c r="D11" s="1568"/>
      <c r="E11" s="1568"/>
      <c r="F11" s="1568"/>
      <c r="G11" s="1568"/>
      <c r="H11" s="1568"/>
      <c r="I11" s="1568"/>
      <c r="J11" s="1568"/>
      <c r="K11" s="1569"/>
      <c r="L11" s="515"/>
    </row>
    <row r="12" spans="1:13" ht="15.75" customHeight="1" x14ac:dyDescent="0.2">
      <c r="A12" s="1573" t="s">
        <v>456</v>
      </c>
      <c r="B12" s="1575">
        <v>1000</v>
      </c>
      <c r="C12" s="1739">
        <f>'Expenditures 15-22'!K33</f>
        <v>1818671</v>
      </c>
      <c r="D12" s="517" t="s">
        <v>1169</v>
      </c>
      <c r="E12" s="468" t="s">
        <v>1169</v>
      </c>
      <c r="F12" s="468" t="s">
        <v>1169</v>
      </c>
      <c r="G12" s="1739">
        <f>'Expenditures 15-22'!K229</f>
        <v>40444</v>
      </c>
      <c r="H12" s="518"/>
      <c r="I12" s="468" t="s">
        <v>1169</v>
      </c>
      <c r="J12" s="468" t="s">
        <v>1169</v>
      </c>
      <c r="K12" s="518" t="s">
        <v>1169</v>
      </c>
      <c r="L12" s="347"/>
    </row>
    <row r="13" spans="1:13" ht="15.75" customHeight="1" x14ac:dyDescent="0.2">
      <c r="A13" s="1573" t="s">
        <v>457</v>
      </c>
      <c r="B13" s="1575">
        <v>2000</v>
      </c>
      <c r="C13" s="1740">
        <f>'Expenditures 15-22'!K74</f>
        <v>785996</v>
      </c>
      <c r="D13" s="1740">
        <f>'Expenditures 15-22'!K129</f>
        <v>295619</v>
      </c>
      <c r="E13" s="469" t="s">
        <v>1169</v>
      </c>
      <c r="F13" s="1740">
        <f>'Expenditures 15-22'!K184</f>
        <v>222696</v>
      </c>
      <c r="G13" s="1740">
        <f>'Expenditures 15-22'!K279</f>
        <v>90898</v>
      </c>
      <c r="H13" s="1740">
        <f>'Expenditures 15-22'!K303</f>
        <v>0</v>
      </c>
      <c r="I13" s="468" t="s">
        <v>1169</v>
      </c>
      <c r="J13" s="1740">
        <f>'Expenditures 15-22'!K330</f>
        <v>160028</v>
      </c>
      <c r="K13" s="1744">
        <f>'Expenditures 15-22'!K352</f>
        <v>107100</v>
      </c>
      <c r="L13" s="347"/>
    </row>
    <row r="14" spans="1:13" ht="15.75" customHeight="1" x14ac:dyDescent="0.2">
      <c r="A14" s="1573" t="s">
        <v>449</v>
      </c>
      <c r="B14" s="1575">
        <v>3000</v>
      </c>
      <c r="C14" s="1740">
        <f>'Expenditures 15-22'!K75</f>
        <v>0</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180431</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128781</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2785098</v>
      </c>
      <c r="D17" s="1685">
        <f t="shared" si="2"/>
        <v>295619</v>
      </c>
      <c r="E17" s="1685">
        <f t="shared" si="2"/>
        <v>128781</v>
      </c>
      <c r="F17" s="1685">
        <f t="shared" si="2"/>
        <v>222696</v>
      </c>
      <c r="G17" s="1685">
        <f t="shared" si="2"/>
        <v>131342</v>
      </c>
      <c r="H17" s="1685">
        <f t="shared" si="2"/>
        <v>0</v>
      </c>
      <c r="I17" s="468"/>
      <c r="J17" s="1685">
        <f>SUM(J12:J16)</f>
        <v>160028</v>
      </c>
      <c r="K17" s="1685">
        <f>SUM(K12:K16)</f>
        <v>107100</v>
      </c>
      <c r="L17" s="347"/>
    </row>
    <row r="18" spans="1:12" ht="15" customHeight="1" thickTop="1" x14ac:dyDescent="0.2">
      <c r="A18" s="1741" t="s">
        <v>1654</v>
      </c>
      <c r="B18" s="1742">
        <v>4180</v>
      </c>
      <c r="C18" s="1739">
        <f t="shared" ref="C18:H18" si="3">C9</f>
        <v>1099589</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3884687</v>
      </c>
      <c r="D19" s="1685">
        <f t="shared" si="4"/>
        <v>295619</v>
      </c>
      <c r="E19" s="1685">
        <f t="shared" si="4"/>
        <v>128781</v>
      </c>
      <c r="F19" s="1685">
        <f t="shared" si="4"/>
        <v>222696</v>
      </c>
      <c r="G19" s="1685">
        <f t="shared" si="4"/>
        <v>131342</v>
      </c>
      <c r="H19" s="1685">
        <f t="shared" si="4"/>
        <v>0</v>
      </c>
      <c r="I19" s="468"/>
      <c r="J19" s="1685">
        <f>SUM(J17:J18)</f>
        <v>160028</v>
      </c>
      <c r="K19" s="1685">
        <f>SUM(K17:K18)</f>
        <v>107100</v>
      </c>
      <c r="L19" s="347"/>
    </row>
    <row r="20" spans="1:12" ht="16.5" thickTop="1" thickBot="1" x14ac:dyDescent="0.25">
      <c r="A20" s="2167" t="s">
        <v>1655</v>
      </c>
      <c r="B20" s="2168"/>
      <c r="C20" s="1743">
        <f>C8-C17</f>
        <v>105653</v>
      </c>
      <c r="D20" s="1743">
        <f t="shared" ref="D20:K20" si="5">D8-D17</f>
        <v>229676</v>
      </c>
      <c r="E20" s="1743">
        <f t="shared" si="5"/>
        <v>2018</v>
      </c>
      <c r="F20" s="1743">
        <f t="shared" si="5"/>
        <v>20940</v>
      </c>
      <c r="G20" s="1743">
        <f t="shared" si="5"/>
        <v>31970</v>
      </c>
      <c r="H20" s="1743">
        <f t="shared" si="5"/>
        <v>0</v>
      </c>
      <c r="I20" s="1743">
        <f t="shared" si="5"/>
        <v>61812</v>
      </c>
      <c r="J20" s="1743">
        <f t="shared" si="5"/>
        <v>99686</v>
      </c>
      <c r="K20" s="1743">
        <f t="shared" si="5"/>
        <v>-60461</v>
      </c>
      <c r="L20" s="347"/>
    </row>
    <row r="21" spans="1:12" ht="16.7" customHeight="1" thickTop="1" x14ac:dyDescent="0.2">
      <c r="A21" s="2179" t="s">
        <v>595</v>
      </c>
      <c r="B21" s="2180"/>
      <c r="C21" s="1567"/>
      <c r="D21" s="1568"/>
      <c r="E21" s="1568"/>
      <c r="F21" s="1568"/>
      <c r="G21" s="1568"/>
      <c r="H21" s="1568"/>
      <c r="I21" s="1568"/>
      <c r="J21" s="1568"/>
      <c r="K21" s="1569"/>
      <c r="L21" s="521"/>
    </row>
    <row r="22" spans="1:12" ht="15.75" customHeight="1" collapsed="1" x14ac:dyDescent="0.2">
      <c r="A22" s="2175" t="s">
        <v>596</v>
      </c>
      <c r="B22" s="2176"/>
      <c r="C22" s="475"/>
      <c r="D22" s="475"/>
      <c r="E22" s="475"/>
      <c r="F22" s="475"/>
      <c r="G22" s="475"/>
      <c r="H22" s="475"/>
      <c r="I22" s="475"/>
      <c r="J22" s="475"/>
      <c r="K22" s="475"/>
      <c r="L22" s="347"/>
    </row>
    <row r="23" spans="1:12" s="483" customFormat="1" ht="15.75" customHeight="1" x14ac:dyDescent="0.2">
      <c r="A23" s="2171" t="s">
        <v>293</v>
      </c>
      <c r="B23" s="2172"/>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73" t="s">
        <v>981</v>
      </c>
      <c r="B32" s="2174"/>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81" t="s">
        <v>374</v>
      </c>
      <c r="B44" s="2182"/>
      <c r="C44" s="1700">
        <f>SUM(C24:C43)</f>
        <v>0</v>
      </c>
      <c r="D44" s="1700">
        <f t="shared" ref="D44:K44" si="6">SUM(D24:D43)</f>
        <v>0</v>
      </c>
      <c r="E44" s="1700">
        <f t="shared" si="6"/>
        <v>0</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175" t="s">
        <v>108</v>
      </c>
      <c r="B45" s="2176"/>
      <c r="C45" s="525"/>
      <c r="D45" s="525"/>
      <c r="E45" s="525"/>
      <c r="F45" s="525"/>
      <c r="G45" s="525"/>
      <c r="H45" s="525"/>
      <c r="I45" s="525"/>
      <c r="J45" s="525"/>
      <c r="K45" s="525"/>
      <c r="L45" s="347"/>
    </row>
    <row r="46" spans="1:12" s="483" customFormat="1" ht="15.75" customHeight="1" x14ac:dyDescent="0.2">
      <c r="A46" s="2183" t="s">
        <v>109</v>
      </c>
      <c r="B46" s="2184"/>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57" t="s">
        <v>440</v>
      </c>
      <c r="B76" s="2158"/>
      <c r="C76" s="1700">
        <f t="shared" ref="C76:K76" si="7">SUM(C47:C75)</f>
        <v>0</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159" t="s">
        <v>1177</v>
      </c>
      <c r="B77" s="2160"/>
      <c r="C77" s="1700">
        <f t="shared" ref="C77:K77" si="8">C44-C76</f>
        <v>0</v>
      </c>
      <c r="D77" s="1700">
        <f t="shared" si="8"/>
        <v>0</v>
      </c>
      <c r="E77" s="1700">
        <f t="shared" si="8"/>
        <v>0</v>
      </c>
      <c r="F77" s="1700">
        <f t="shared" si="8"/>
        <v>0</v>
      </c>
      <c r="G77" s="1700">
        <f t="shared" si="8"/>
        <v>0</v>
      </c>
      <c r="H77" s="1700">
        <f t="shared" si="8"/>
        <v>0</v>
      </c>
      <c r="I77" s="1700">
        <f t="shared" si="8"/>
        <v>0</v>
      </c>
      <c r="J77" s="1700">
        <f t="shared" si="8"/>
        <v>0</v>
      </c>
      <c r="K77" s="1700">
        <f t="shared" si="8"/>
        <v>0</v>
      </c>
      <c r="L77" s="347"/>
    </row>
    <row r="78" spans="1:12" ht="21.75" customHeight="1" thickTop="1" thickBot="1" x14ac:dyDescent="0.25">
      <c r="A78" s="2163" t="s">
        <v>597</v>
      </c>
      <c r="B78" s="2164"/>
      <c r="C78" s="1699">
        <f t="shared" ref="C78:K78" si="9">C20+C77</f>
        <v>105653</v>
      </c>
      <c r="D78" s="1699">
        <f t="shared" si="9"/>
        <v>229676</v>
      </c>
      <c r="E78" s="1699">
        <f t="shared" si="9"/>
        <v>2018</v>
      </c>
      <c r="F78" s="1699">
        <f t="shared" si="9"/>
        <v>20940</v>
      </c>
      <c r="G78" s="1699">
        <f t="shared" si="9"/>
        <v>31970</v>
      </c>
      <c r="H78" s="1699">
        <f t="shared" si="9"/>
        <v>0</v>
      </c>
      <c r="I78" s="1699">
        <f t="shared" si="9"/>
        <v>61812</v>
      </c>
      <c r="J78" s="1699">
        <f t="shared" si="9"/>
        <v>99686</v>
      </c>
      <c r="K78" s="1699">
        <f t="shared" si="9"/>
        <v>-60461</v>
      </c>
      <c r="L78" s="530"/>
    </row>
    <row r="79" spans="1:12" ht="13.5" thickTop="1" x14ac:dyDescent="0.2">
      <c r="A79" s="1491" t="s">
        <v>1949</v>
      </c>
      <c r="B79" s="531"/>
      <c r="C79" s="476">
        <v>1016475</v>
      </c>
      <c r="D79" s="476">
        <v>1884192</v>
      </c>
      <c r="E79" s="476">
        <v>3504</v>
      </c>
      <c r="F79" s="476">
        <v>748637</v>
      </c>
      <c r="G79" s="476">
        <v>182403</v>
      </c>
      <c r="H79" s="476">
        <v>0</v>
      </c>
      <c r="I79" s="476">
        <v>904934</v>
      </c>
      <c r="J79" s="476">
        <v>491771</v>
      </c>
      <c r="K79" s="476">
        <v>339845</v>
      </c>
      <c r="L79" s="347"/>
    </row>
    <row r="80" spans="1:12" x14ac:dyDescent="0.2">
      <c r="A80" s="2169" t="s">
        <v>1795</v>
      </c>
      <c r="B80" s="2170"/>
      <c r="C80" s="467">
        <v>0</v>
      </c>
      <c r="D80" s="467">
        <v>0</v>
      </c>
      <c r="E80" s="467">
        <v>0</v>
      </c>
      <c r="F80" s="467">
        <v>0</v>
      </c>
      <c r="G80" s="467">
        <v>0</v>
      </c>
      <c r="H80" s="467">
        <v>0</v>
      </c>
      <c r="I80" s="467">
        <v>0</v>
      </c>
      <c r="J80" s="467">
        <v>0</v>
      </c>
      <c r="K80" s="467">
        <v>0</v>
      </c>
      <c r="L80" s="347"/>
    </row>
    <row r="81" spans="1:12" ht="13.5" thickBot="1" x14ac:dyDescent="0.25">
      <c r="A81" s="2161" t="s">
        <v>1950</v>
      </c>
      <c r="B81" s="2162"/>
      <c r="C81" s="1685">
        <f>(SUM(C78:C80))</f>
        <v>1122128</v>
      </c>
      <c r="D81" s="1685">
        <f>SUM(D78:D80)</f>
        <v>2113868</v>
      </c>
      <c r="E81" s="1685">
        <f t="shared" ref="E81:K81" si="10">SUM(E78:E80)</f>
        <v>5522</v>
      </c>
      <c r="F81" s="1685">
        <f t="shared" si="10"/>
        <v>769577</v>
      </c>
      <c r="G81" s="1685">
        <f t="shared" si="10"/>
        <v>214373</v>
      </c>
      <c r="H81" s="1685">
        <f t="shared" si="10"/>
        <v>0</v>
      </c>
      <c r="I81" s="1685">
        <f t="shared" si="10"/>
        <v>966746</v>
      </c>
      <c r="J81" s="1685">
        <f t="shared" si="10"/>
        <v>591457</v>
      </c>
      <c r="K81" s="1685">
        <f t="shared" si="10"/>
        <v>279384</v>
      </c>
      <c r="L81" s="347"/>
    </row>
    <row r="82" spans="1:12" ht="0.75" customHeight="1" thickTop="1" thickBot="1" x14ac:dyDescent="0.25">
      <c r="A82" s="533" t="s">
        <v>343</v>
      </c>
      <c r="B82" s="534"/>
      <c r="C82" s="535">
        <f>(C81-C79)</f>
        <v>105653</v>
      </c>
      <c r="D82" s="535">
        <f t="shared" ref="D82:K82" si="11">(D81-D79)</f>
        <v>229676</v>
      </c>
      <c r="E82" s="535">
        <f t="shared" si="11"/>
        <v>2018</v>
      </c>
      <c r="F82" s="535">
        <f t="shared" si="11"/>
        <v>20940</v>
      </c>
      <c r="G82" s="535">
        <f t="shared" si="11"/>
        <v>31970</v>
      </c>
      <c r="H82" s="535">
        <f t="shared" si="11"/>
        <v>0</v>
      </c>
      <c r="I82" s="535">
        <f t="shared" si="11"/>
        <v>61812</v>
      </c>
      <c r="J82" s="535">
        <f t="shared" si="11"/>
        <v>99686</v>
      </c>
      <c r="K82" s="535">
        <f t="shared" si="11"/>
        <v>-60461</v>
      </c>
    </row>
    <row r="83" spans="1:12" ht="14.25" hidden="1" thickTop="1" thickBot="1" x14ac:dyDescent="0.25">
      <c r="A83" s="536" t="s">
        <v>344</v>
      </c>
      <c r="B83" s="464"/>
      <c r="C83" s="537">
        <f>C82/C81</f>
        <v>9.4154142842884231E-2</v>
      </c>
      <c r="D83" s="537">
        <f t="shared" ref="D83:K83" si="12">D82/D81</f>
        <v>0.10865200665320635</v>
      </c>
      <c r="E83" s="537">
        <f t="shared" si="12"/>
        <v>0.36544730170228179</v>
      </c>
      <c r="F83" s="537">
        <f t="shared" si="12"/>
        <v>2.720975289022411E-2</v>
      </c>
      <c r="G83" s="537">
        <f t="shared" si="12"/>
        <v>0.14913258665970061</v>
      </c>
      <c r="H83" s="537" t="e">
        <f t="shared" si="12"/>
        <v>#DIV/0!</v>
      </c>
      <c r="I83" s="537">
        <f t="shared" si="12"/>
        <v>6.3938200933854397E-2</v>
      </c>
      <c r="J83" s="537">
        <f t="shared" si="12"/>
        <v>0.16854310626131738</v>
      </c>
      <c r="K83" s="537">
        <f t="shared" si="12"/>
        <v>-0.21640824098731495</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E25" sqref="AE25"/>
      <selection pane="bottomLeft" activeCell="C6" sqref="C5:C6"/>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65" t="s">
        <v>1802</v>
      </c>
      <c r="B1" s="452"/>
      <c r="C1" s="453" t="s">
        <v>425</v>
      </c>
      <c r="D1" s="453" t="s">
        <v>426</v>
      </c>
      <c r="E1" s="453" t="s">
        <v>427</v>
      </c>
      <c r="F1" s="453" t="s">
        <v>428</v>
      </c>
      <c r="G1" s="453" t="s">
        <v>429</v>
      </c>
      <c r="H1" s="453" t="s">
        <v>430</v>
      </c>
      <c r="I1" s="453" t="s">
        <v>431</v>
      </c>
      <c r="J1" s="453" t="s">
        <v>432</v>
      </c>
      <c r="K1" s="453" t="s">
        <v>756</v>
      </c>
    </row>
    <row r="2" spans="1:12" ht="36" x14ac:dyDescent="0.2">
      <c r="A2" s="2166"/>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1185107</v>
      </c>
      <c r="D5" s="479">
        <v>322478</v>
      </c>
      <c r="E5" s="466">
        <v>130599</v>
      </c>
      <c r="F5" s="545">
        <v>96744</v>
      </c>
      <c r="G5" s="466">
        <v>77356</v>
      </c>
      <c r="H5" s="466">
        <v>0</v>
      </c>
      <c r="I5" s="466">
        <v>40310</v>
      </c>
      <c r="J5" s="467">
        <v>249514</v>
      </c>
      <c r="K5" s="466">
        <v>40310</v>
      </c>
    </row>
    <row r="6" spans="1:12" ht="15" x14ac:dyDescent="0.2">
      <c r="A6" s="463" t="s">
        <v>1662</v>
      </c>
      <c r="B6" s="470">
        <v>1130</v>
      </c>
      <c r="C6" s="466">
        <v>14971</v>
      </c>
      <c r="D6" s="466">
        <v>0</v>
      </c>
      <c r="E6" s="474"/>
      <c r="F6" s="474"/>
      <c r="G6" s="468"/>
      <c r="H6" s="468"/>
      <c r="I6" s="468"/>
      <c r="J6" s="468"/>
      <c r="K6" s="468"/>
    </row>
    <row r="7" spans="1:12" x14ac:dyDescent="0.2">
      <c r="A7" s="463" t="s">
        <v>110</v>
      </c>
      <c r="B7" s="546">
        <v>1140</v>
      </c>
      <c r="C7" s="466">
        <v>16124</v>
      </c>
      <c r="D7" s="466">
        <v>0</v>
      </c>
      <c r="E7" s="468"/>
      <c r="F7" s="467">
        <v>0</v>
      </c>
      <c r="G7" s="467">
        <v>0</v>
      </c>
      <c r="H7" s="467">
        <v>0</v>
      </c>
      <c r="I7" s="468"/>
      <c r="J7" s="468"/>
      <c r="K7" s="468"/>
    </row>
    <row r="8" spans="1:12" x14ac:dyDescent="0.2">
      <c r="A8" s="463" t="s">
        <v>413</v>
      </c>
      <c r="B8" s="470">
        <v>1150</v>
      </c>
      <c r="C8" s="474"/>
      <c r="D8" s="474"/>
      <c r="E8" s="475"/>
      <c r="F8" s="475"/>
      <c r="G8" s="479">
        <v>77356</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1216202</v>
      </c>
      <c r="D12" s="1704">
        <f t="shared" si="0"/>
        <v>322478</v>
      </c>
      <c r="E12" s="1704">
        <f t="shared" si="0"/>
        <v>130599</v>
      </c>
      <c r="F12" s="1704">
        <f t="shared" si="0"/>
        <v>96744</v>
      </c>
      <c r="G12" s="1704">
        <f t="shared" si="0"/>
        <v>154712</v>
      </c>
      <c r="H12" s="1704">
        <f t="shared" si="0"/>
        <v>0</v>
      </c>
      <c r="I12" s="1704">
        <f t="shared" si="0"/>
        <v>40310</v>
      </c>
      <c r="J12" s="1704">
        <f t="shared" si="0"/>
        <v>249514</v>
      </c>
      <c r="K12" s="1685">
        <f t="shared" si="0"/>
        <v>40310</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330</v>
      </c>
      <c r="D14" s="466">
        <v>87</v>
      </c>
      <c r="E14" s="466">
        <v>35</v>
      </c>
      <c r="F14" s="466">
        <v>26</v>
      </c>
      <c r="G14" s="466">
        <v>42</v>
      </c>
      <c r="H14" s="466">
        <v>0</v>
      </c>
      <c r="I14" s="466">
        <v>11</v>
      </c>
      <c r="J14" s="467">
        <v>68</v>
      </c>
      <c r="K14" s="466">
        <v>11</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77885</v>
      </c>
      <c r="D16" s="466">
        <v>9000</v>
      </c>
      <c r="E16" s="466">
        <v>0</v>
      </c>
      <c r="F16" s="466">
        <v>0</v>
      </c>
      <c r="G16" s="466">
        <v>5000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78215</v>
      </c>
      <c r="D18" s="1707">
        <f t="shared" ref="D18:K18" si="1">SUM(D14:D17)</f>
        <v>9087</v>
      </c>
      <c r="E18" s="1707">
        <f t="shared" si="1"/>
        <v>35</v>
      </c>
      <c r="F18" s="1707">
        <f t="shared" si="1"/>
        <v>26</v>
      </c>
      <c r="G18" s="1707">
        <f t="shared" si="1"/>
        <v>5042</v>
      </c>
      <c r="H18" s="1707">
        <f t="shared" si="1"/>
        <v>0</v>
      </c>
      <c r="I18" s="1707">
        <f t="shared" si="1"/>
        <v>11</v>
      </c>
      <c r="J18" s="1707">
        <f t="shared" si="1"/>
        <v>68</v>
      </c>
      <c r="K18" s="1708">
        <f t="shared" si="1"/>
        <v>11</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5824</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5824</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19407</v>
      </c>
      <c r="D65" s="466">
        <v>29738</v>
      </c>
      <c r="E65" s="466">
        <v>165</v>
      </c>
      <c r="F65" s="467">
        <v>13660</v>
      </c>
      <c r="G65" s="466">
        <v>3558</v>
      </c>
      <c r="H65" s="466">
        <v>0</v>
      </c>
      <c r="I65" s="466">
        <v>21491</v>
      </c>
      <c r="J65" s="467">
        <v>7843</v>
      </c>
      <c r="K65" s="466">
        <v>6318</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19407</v>
      </c>
      <c r="D67" s="1685">
        <f t="shared" ref="D67:K67" si="2">SUM(D65:D66)</f>
        <v>29738</v>
      </c>
      <c r="E67" s="1685">
        <f t="shared" si="2"/>
        <v>165</v>
      </c>
      <c r="F67" s="1685">
        <f t="shared" si="2"/>
        <v>13660</v>
      </c>
      <c r="G67" s="1685">
        <f t="shared" si="2"/>
        <v>3558</v>
      </c>
      <c r="H67" s="1685">
        <f t="shared" si="2"/>
        <v>0</v>
      </c>
      <c r="I67" s="1685">
        <f t="shared" si="2"/>
        <v>21491</v>
      </c>
      <c r="J67" s="1685">
        <f t="shared" si="2"/>
        <v>7843</v>
      </c>
      <c r="K67" s="1685">
        <f t="shared" si="2"/>
        <v>6318</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55062</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2677</v>
      </c>
      <c r="D73" s="468"/>
      <c r="E73" s="468"/>
      <c r="F73" s="468"/>
      <c r="G73" s="468"/>
      <c r="H73" s="468"/>
      <c r="I73" s="468"/>
      <c r="J73" s="468"/>
      <c r="K73" s="468"/>
    </row>
    <row r="74" spans="1:11" ht="12.75" customHeight="1" x14ac:dyDescent="0.2">
      <c r="A74" s="463" t="s">
        <v>25</v>
      </c>
      <c r="B74" s="470">
        <v>1690</v>
      </c>
      <c r="C74" s="548">
        <v>5010</v>
      </c>
      <c r="D74" s="468"/>
      <c r="E74" s="468"/>
      <c r="F74" s="468"/>
      <c r="G74" s="468"/>
      <c r="H74" s="468"/>
      <c r="I74" s="468"/>
      <c r="J74" s="468"/>
      <c r="K74" s="468"/>
    </row>
    <row r="75" spans="1:11" ht="12.75" customHeight="1" thickBot="1" x14ac:dyDescent="0.25">
      <c r="A75" s="1705" t="s">
        <v>548</v>
      </c>
      <c r="B75" s="1706"/>
      <c r="C75" s="1685">
        <f>SUM(C69:C74)</f>
        <v>62749</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5249</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5249</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14625</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14625</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12000</v>
      </c>
      <c r="E95" s="518"/>
      <c r="F95" s="518"/>
      <c r="G95" s="518"/>
      <c r="H95" s="518"/>
      <c r="I95" s="518"/>
      <c r="J95" s="518"/>
      <c r="K95" s="518"/>
    </row>
    <row r="96" spans="1:11" ht="12.75" customHeight="1" x14ac:dyDescent="0.2">
      <c r="A96" s="463" t="s">
        <v>391</v>
      </c>
      <c r="B96" s="470">
        <v>1920</v>
      </c>
      <c r="C96" s="548">
        <v>399</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60308</v>
      </c>
      <c r="D98" s="466">
        <v>109267</v>
      </c>
      <c r="E98" s="509"/>
      <c r="F98" s="466">
        <v>35745</v>
      </c>
      <c r="G98" s="509"/>
      <c r="H98" s="509"/>
      <c r="I98" s="507"/>
      <c r="J98" s="509"/>
      <c r="K98" s="509"/>
    </row>
    <row r="99" spans="1:12" ht="12.75" customHeight="1" x14ac:dyDescent="0.2">
      <c r="A99" s="463" t="s">
        <v>821</v>
      </c>
      <c r="B99" s="470">
        <v>1950</v>
      </c>
      <c r="C99" s="486">
        <v>0</v>
      </c>
      <c r="D99" s="466">
        <v>0</v>
      </c>
      <c r="E99" s="466">
        <v>0</v>
      </c>
      <c r="F99" s="466">
        <v>0</v>
      </c>
      <c r="G99" s="466">
        <v>0</v>
      </c>
      <c r="H99" s="466">
        <v>0</v>
      </c>
      <c r="I99" s="468"/>
      <c r="J99" s="467">
        <v>2289</v>
      </c>
      <c r="K99" s="466">
        <v>0</v>
      </c>
    </row>
    <row r="100" spans="1:12" ht="12.75" customHeight="1" x14ac:dyDescent="0.2">
      <c r="A100" s="463" t="s">
        <v>245</v>
      </c>
      <c r="B100" s="470">
        <v>1960</v>
      </c>
      <c r="C100" s="486">
        <v>0</v>
      </c>
      <c r="D100" s="486">
        <v>20524</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0</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2082</v>
      </c>
      <c r="D107" s="466">
        <v>22201</v>
      </c>
      <c r="E107" s="466">
        <v>0</v>
      </c>
      <c r="F107" s="466">
        <v>4880</v>
      </c>
      <c r="G107" s="466">
        <v>0</v>
      </c>
      <c r="H107" s="466">
        <v>0</v>
      </c>
      <c r="I107" s="466">
        <v>0</v>
      </c>
      <c r="J107" s="467">
        <v>0</v>
      </c>
      <c r="K107" s="466">
        <v>0</v>
      </c>
    </row>
    <row r="108" spans="1:12" ht="12.75" customHeight="1" thickBot="1" x14ac:dyDescent="0.25">
      <c r="A108" s="1705" t="s">
        <v>487</v>
      </c>
      <c r="B108" s="1709"/>
      <c r="C108" s="1704">
        <f>SUM(C95:C107)</f>
        <v>62789</v>
      </c>
      <c r="D108" s="1704">
        <f t="shared" ref="D108:K108" si="3">SUM(D95:D107)</f>
        <v>163992</v>
      </c>
      <c r="E108" s="1704">
        <f t="shared" si="3"/>
        <v>0</v>
      </c>
      <c r="F108" s="1704">
        <f t="shared" si="3"/>
        <v>40625</v>
      </c>
      <c r="G108" s="1704">
        <f t="shared" si="3"/>
        <v>0</v>
      </c>
      <c r="H108" s="1704">
        <f t="shared" si="3"/>
        <v>0</v>
      </c>
      <c r="I108" s="1704">
        <f t="shared" si="3"/>
        <v>0</v>
      </c>
      <c r="J108" s="1704">
        <f t="shared" si="3"/>
        <v>2289</v>
      </c>
      <c r="K108" s="1685">
        <f t="shared" si="3"/>
        <v>0</v>
      </c>
    </row>
    <row r="109" spans="1:12" ht="14.25" thickTop="1" thickBot="1" x14ac:dyDescent="0.25">
      <c r="A109" s="1710" t="s">
        <v>248</v>
      </c>
      <c r="B109" s="1711" t="s">
        <v>570</v>
      </c>
      <c r="C109" s="1712">
        <f t="shared" ref="C109:K109" si="4">SUM(C12,C18,C40,C63,C67,C75,C82,C93,C108,)</f>
        <v>1465060</v>
      </c>
      <c r="D109" s="1712">
        <f t="shared" si="4"/>
        <v>525295</v>
      </c>
      <c r="E109" s="1712">
        <f t="shared" si="4"/>
        <v>130799</v>
      </c>
      <c r="F109" s="1712">
        <f t="shared" si="4"/>
        <v>151055</v>
      </c>
      <c r="G109" s="1712">
        <f t="shared" si="4"/>
        <v>163312</v>
      </c>
      <c r="H109" s="1712">
        <f t="shared" si="4"/>
        <v>0</v>
      </c>
      <c r="I109" s="1712">
        <f t="shared" si="4"/>
        <v>61812</v>
      </c>
      <c r="J109" s="1712">
        <f t="shared" si="4"/>
        <v>259714</v>
      </c>
      <c r="K109" s="1699">
        <f t="shared" si="4"/>
        <v>46639</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1078495</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1078495</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11157</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11157</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0</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1900</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0</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59792</v>
      </c>
      <c r="G152" s="467">
        <v>0</v>
      </c>
      <c r="H152" s="468"/>
      <c r="I152" s="468"/>
      <c r="J152" s="468"/>
      <c r="K152" s="468"/>
    </row>
    <row r="153" spans="1:11" ht="12.75" customHeight="1" x14ac:dyDescent="0.2">
      <c r="A153" s="463" t="s">
        <v>1057</v>
      </c>
      <c r="B153" s="559">
        <v>3510</v>
      </c>
      <c r="C153" s="548">
        <v>0</v>
      </c>
      <c r="D153" s="466">
        <v>0</v>
      </c>
      <c r="E153" s="558"/>
      <c r="F153" s="466">
        <v>32789</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92581</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136382</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0</v>
      </c>
      <c r="D168" s="577">
        <v>0</v>
      </c>
      <c r="E168" s="577">
        <v>0</v>
      </c>
      <c r="F168" s="577">
        <v>0</v>
      </c>
      <c r="G168" s="578">
        <v>0</v>
      </c>
      <c r="H168" s="579">
        <v>0</v>
      </c>
      <c r="I168" s="578">
        <v>0</v>
      </c>
      <c r="J168" s="578">
        <v>0</v>
      </c>
      <c r="K168" s="579">
        <v>0</v>
      </c>
    </row>
    <row r="169" spans="1:11" ht="12.75" customHeight="1" thickTop="1" thickBot="1" x14ac:dyDescent="0.25">
      <c r="A169" s="2185" t="s">
        <v>398</v>
      </c>
      <c r="B169" s="2186"/>
      <c r="C169" s="1719">
        <f t="shared" ref="C169:K169" si="6">SUM(C132,C141,C145,C146:C150,C155,C156:C167,C168)</f>
        <v>149439</v>
      </c>
      <c r="D169" s="1719">
        <f t="shared" si="6"/>
        <v>0</v>
      </c>
      <c r="E169" s="1719">
        <f t="shared" si="6"/>
        <v>0</v>
      </c>
      <c r="F169" s="1719">
        <f t="shared" si="6"/>
        <v>92581</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1227934</v>
      </c>
      <c r="D170" s="1712">
        <f t="shared" si="7"/>
        <v>0</v>
      </c>
      <c r="E170" s="1712">
        <f t="shared" si="7"/>
        <v>0</v>
      </c>
      <c r="F170" s="1712">
        <f t="shared" si="7"/>
        <v>92581</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87" t="s">
        <v>1492</v>
      </c>
      <c r="B172" s="2188"/>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91" t="s">
        <v>1665</v>
      </c>
      <c r="B175" s="2192"/>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95" t="s">
        <v>1664</v>
      </c>
      <c r="B176" s="2196"/>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93" t="s">
        <v>785</v>
      </c>
      <c r="B181" s="2194"/>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89" t="s">
        <v>1803</v>
      </c>
      <c r="B182" s="2190"/>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86876</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21433</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108309</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72487</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72487</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0</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0</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8273</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0</v>
      </c>
      <c r="D263" s="573">
        <v>0</v>
      </c>
      <c r="E263" s="468"/>
      <c r="F263" s="573">
        <v>0</v>
      </c>
      <c r="G263" s="573">
        <v>0</v>
      </c>
      <c r="H263" s="468"/>
      <c r="I263" s="468"/>
      <c r="J263" s="468"/>
      <c r="K263" s="468"/>
    </row>
    <row r="264" spans="1:11" ht="12.75" customHeight="1" thickTop="1" thickBot="1" x14ac:dyDescent="0.25">
      <c r="A264" s="463" t="s">
        <v>377</v>
      </c>
      <c r="B264" s="470">
        <v>4992</v>
      </c>
      <c r="C264" s="572">
        <v>8688</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197757</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197757</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2890751</v>
      </c>
      <c r="D268" s="1712">
        <f t="shared" si="12"/>
        <v>525295</v>
      </c>
      <c r="E268" s="1712">
        <f t="shared" si="12"/>
        <v>130799</v>
      </c>
      <c r="F268" s="1712">
        <f t="shared" si="12"/>
        <v>243636</v>
      </c>
      <c r="G268" s="1712">
        <f t="shared" si="12"/>
        <v>163312</v>
      </c>
      <c r="H268" s="1712">
        <f t="shared" si="12"/>
        <v>0</v>
      </c>
      <c r="I268" s="1712">
        <f t="shared" si="12"/>
        <v>61812</v>
      </c>
      <c r="J268" s="1712">
        <f t="shared" si="12"/>
        <v>259714</v>
      </c>
      <c r="K268" s="1699">
        <f t="shared" si="12"/>
        <v>46639</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3" right="0.15" top="0.86" bottom="0.25" header="0.28000000000000003" footer="0.1"/>
  <pageSetup scale="72"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E25" sqref="AE25"/>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65"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99"/>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205" t="s">
        <v>297</v>
      </c>
      <c r="B3" s="2206"/>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1022145</v>
      </c>
      <c r="D5" s="466">
        <v>118252</v>
      </c>
      <c r="E5" s="466">
        <v>33868</v>
      </c>
      <c r="F5" s="466">
        <v>76418</v>
      </c>
      <c r="G5" s="466">
        <v>0</v>
      </c>
      <c r="H5" s="466">
        <v>0</v>
      </c>
      <c r="I5" s="467">
        <v>0</v>
      </c>
      <c r="J5" s="467">
        <v>0</v>
      </c>
      <c r="K5" s="1668">
        <f>SUM(C5:J5)</f>
        <v>1250683</v>
      </c>
      <c r="L5" s="471">
        <v>1265740</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71796</v>
      </c>
      <c r="D7" s="467">
        <v>15030</v>
      </c>
      <c r="E7" s="467">
        <v>854</v>
      </c>
      <c r="F7" s="467">
        <v>25329</v>
      </c>
      <c r="G7" s="467">
        <v>0</v>
      </c>
      <c r="H7" s="467">
        <v>0</v>
      </c>
      <c r="I7" s="467">
        <v>0</v>
      </c>
      <c r="J7" s="467">
        <v>0</v>
      </c>
      <c r="K7" s="1668">
        <f t="shared" ref="K7:K32" si="0">SUM(C7:J7)</f>
        <v>113009</v>
      </c>
      <c r="L7" s="471">
        <v>130500</v>
      </c>
    </row>
    <row r="8" spans="1:14" x14ac:dyDescent="0.2">
      <c r="A8" s="1501" t="s">
        <v>164</v>
      </c>
      <c r="B8" s="611">
        <v>1200</v>
      </c>
      <c r="C8" s="466">
        <v>283282</v>
      </c>
      <c r="D8" s="466">
        <v>53195</v>
      </c>
      <c r="E8" s="466">
        <v>16</v>
      </c>
      <c r="F8" s="466">
        <v>883</v>
      </c>
      <c r="G8" s="466">
        <v>0</v>
      </c>
      <c r="H8" s="466">
        <v>0</v>
      </c>
      <c r="I8" s="467">
        <v>0</v>
      </c>
      <c r="J8" s="467">
        <v>0</v>
      </c>
      <c r="K8" s="1668">
        <f t="shared" si="0"/>
        <v>337376</v>
      </c>
      <c r="L8" s="471">
        <v>342066</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38811</v>
      </c>
      <c r="D10" s="466">
        <v>10816</v>
      </c>
      <c r="E10" s="466">
        <v>31251</v>
      </c>
      <c r="F10" s="466">
        <v>0</v>
      </c>
      <c r="G10" s="466">
        <v>0</v>
      </c>
      <c r="H10" s="466">
        <v>0</v>
      </c>
      <c r="I10" s="467">
        <v>0</v>
      </c>
      <c r="J10" s="467">
        <v>0</v>
      </c>
      <c r="K10" s="1668">
        <f t="shared" si="0"/>
        <v>80878</v>
      </c>
      <c r="L10" s="471">
        <v>120015</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0</v>
      </c>
      <c r="D13" s="466">
        <v>0</v>
      </c>
      <c r="E13" s="466">
        <v>0</v>
      </c>
      <c r="F13" s="466">
        <v>0</v>
      </c>
      <c r="G13" s="466">
        <v>0</v>
      </c>
      <c r="H13" s="466">
        <v>0</v>
      </c>
      <c r="I13" s="467">
        <v>0</v>
      </c>
      <c r="J13" s="467">
        <v>0</v>
      </c>
      <c r="K13" s="1668">
        <f t="shared" si="0"/>
        <v>0</v>
      </c>
      <c r="L13" s="471">
        <v>0</v>
      </c>
    </row>
    <row r="14" spans="1:14" x14ac:dyDescent="0.2">
      <c r="A14" s="1501" t="s">
        <v>963</v>
      </c>
      <c r="B14" s="611">
        <v>1500</v>
      </c>
      <c r="C14" s="466">
        <v>16046</v>
      </c>
      <c r="D14" s="466">
        <v>26</v>
      </c>
      <c r="E14" s="466">
        <v>13732</v>
      </c>
      <c r="F14" s="466">
        <v>4066</v>
      </c>
      <c r="G14" s="466">
        <v>0</v>
      </c>
      <c r="H14" s="466">
        <v>2855</v>
      </c>
      <c r="I14" s="467">
        <v>0</v>
      </c>
      <c r="J14" s="467">
        <v>0</v>
      </c>
      <c r="K14" s="1668">
        <f t="shared" si="0"/>
        <v>36725</v>
      </c>
      <c r="L14" s="471">
        <v>42801</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0</v>
      </c>
      <c r="D17" s="467">
        <v>0</v>
      </c>
      <c r="E17" s="467">
        <v>0</v>
      </c>
      <c r="F17" s="467">
        <v>0</v>
      </c>
      <c r="G17" s="467">
        <v>0</v>
      </c>
      <c r="H17" s="467">
        <v>0</v>
      </c>
      <c r="I17" s="467">
        <v>0</v>
      </c>
      <c r="J17" s="467">
        <v>0</v>
      </c>
      <c r="K17" s="1668">
        <f t="shared" si="0"/>
        <v>0</v>
      </c>
      <c r="L17" s="471">
        <v>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0</v>
      </c>
      <c r="I22" s="613"/>
      <c r="J22" s="475"/>
      <c r="K22" s="1668">
        <f t="shared" si="0"/>
        <v>0</v>
      </c>
      <c r="L22" s="471">
        <v>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1432080</v>
      </c>
      <c r="D33" s="1667">
        <f t="shared" ref="D33:L33" si="1">SUM(D5:D32)</f>
        <v>197319</v>
      </c>
      <c r="E33" s="1667">
        <f t="shared" si="1"/>
        <v>79721</v>
      </c>
      <c r="F33" s="1667">
        <f t="shared" si="1"/>
        <v>106696</v>
      </c>
      <c r="G33" s="1667">
        <f t="shared" si="1"/>
        <v>0</v>
      </c>
      <c r="H33" s="1667">
        <f t="shared" si="1"/>
        <v>2855</v>
      </c>
      <c r="I33" s="1667">
        <f t="shared" si="1"/>
        <v>0</v>
      </c>
      <c r="J33" s="1667">
        <f t="shared" si="1"/>
        <v>0</v>
      </c>
      <c r="K33" s="1667">
        <f t="shared" si="1"/>
        <v>1818671</v>
      </c>
      <c r="L33" s="1667">
        <f t="shared" si="1"/>
        <v>1901122</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0</v>
      </c>
      <c r="D36" s="479">
        <v>0</v>
      </c>
      <c r="E36" s="479">
        <v>0</v>
      </c>
      <c r="F36" s="479">
        <v>0</v>
      </c>
      <c r="G36" s="479">
        <v>0</v>
      </c>
      <c r="H36" s="479">
        <v>0</v>
      </c>
      <c r="I36" s="467">
        <v>0</v>
      </c>
      <c r="J36" s="467">
        <v>0</v>
      </c>
      <c r="K36" s="1668">
        <f t="shared" ref="K36:K41" si="2">SUM(C36:J36)</f>
        <v>0</v>
      </c>
      <c r="L36" s="466">
        <v>0</v>
      </c>
    </row>
    <row r="37" spans="1:14" x14ac:dyDescent="0.2">
      <c r="A37" s="1501" t="s">
        <v>1090</v>
      </c>
      <c r="B37" s="611">
        <v>2120</v>
      </c>
      <c r="C37" s="466">
        <v>0</v>
      </c>
      <c r="D37" s="466">
        <v>0</v>
      </c>
      <c r="E37" s="466">
        <v>0</v>
      </c>
      <c r="F37" s="466">
        <v>0</v>
      </c>
      <c r="G37" s="466">
        <v>0</v>
      </c>
      <c r="H37" s="466">
        <v>0</v>
      </c>
      <c r="I37" s="467">
        <v>0</v>
      </c>
      <c r="J37" s="467">
        <v>0</v>
      </c>
      <c r="K37" s="1668">
        <f t="shared" si="2"/>
        <v>0</v>
      </c>
      <c r="L37" s="466">
        <v>0</v>
      </c>
    </row>
    <row r="38" spans="1:14" x14ac:dyDescent="0.2">
      <c r="A38" s="1501" t="s">
        <v>198</v>
      </c>
      <c r="B38" s="611">
        <v>2130</v>
      </c>
      <c r="C38" s="466">
        <v>0</v>
      </c>
      <c r="D38" s="466">
        <v>0</v>
      </c>
      <c r="E38" s="466">
        <v>0</v>
      </c>
      <c r="F38" s="466">
        <v>0</v>
      </c>
      <c r="G38" s="466">
        <v>0</v>
      </c>
      <c r="H38" s="466">
        <v>0</v>
      </c>
      <c r="I38" s="467">
        <v>0</v>
      </c>
      <c r="J38" s="467">
        <v>0</v>
      </c>
      <c r="K38" s="1668">
        <f t="shared" si="2"/>
        <v>0</v>
      </c>
      <c r="L38" s="466">
        <v>0</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0</v>
      </c>
      <c r="D40" s="466">
        <v>0</v>
      </c>
      <c r="E40" s="466">
        <v>0</v>
      </c>
      <c r="F40" s="466">
        <v>225</v>
      </c>
      <c r="G40" s="466">
        <v>0</v>
      </c>
      <c r="H40" s="466">
        <v>0</v>
      </c>
      <c r="I40" s="467">
        <v>0</v>
      </c>
      <c r="J40" s="467">
        <v>0</v>
      </c>
      <c r="K40" s="1668">
        <f t="shared" si="2"/>
        <v>225</v>
      </c>
      <c r="L40" s="466">
        <v>500</v>
      </c>
    </row>
    <row r="41" spans="1:14" x14ac:dyDescent="0.2">
      <c r="A41" s="1501" t="s">
        <v>1669</v>
      </c>
      <c r="B41" s="611">
        <v>2190</v>
      </c>
      <c r="C41" s="466">
        <v>0</v>
      </c>
      <c r="D41" s="466">
        <v>0</v>
      </c>
      <c r="E41" s="466">
        <v>0</v>
      </c>
      <c r="F41" s="466">
        <v>0</v>
      </c>
      <c r="G41" s="466">
        <v>0</v>
      </c>
      <c r="H41" s="466">
        <v>0</v>
      </c>
      <c r="I41" s="467">
        <v>0</v>
      </c>
      <c r="J41" s="467">
        <v>0</v>
      </c>
      <c r="K41" s="1668">
        <f t="shared" si="2"/>
        <v>0</v>
      </c>
      <c r="L41" s="466">
        <v>0</v>
      </c>
    </row>
    <row r="42" spans="1:14" ht="12.75" customHeight="1" thickBot="1" x14ac:dyDescent="0.25">
      <c r="A42" s="1665" t="s">
        <v>560</v>
      </c>
      <c r="B42" s="1666" t="s">
        <v>716</v>
      </c>
      <c r="C42" s="1667">
        <f>SUM(C36:C41)</f>
        <v>0</v>
      </c>
      <c r="D42" s="1667">
        <f t="shared" ref="D42:L42" si="3">SUM(D36:D41)</f>
        <v>0</v>
      </c>
      <c r="E42" s="1667">
        <f t="shared" si="3"/>
        <v>0</v>
      </c>
      <c r="F42" s="1667">
        <f t="shared" si="3"/>
        <v>225</v>
      </c>
      <c r="G42" s="1667">
        <f t="shared" si="3"/>
        <v>0</v>
      </c>
      <c r="H42" s="1667">
        <f t="shared" si="3"/>
        <v>0</v>
      </c>
      <c r="I42" s="1667">
        <f t="shared" si="3"/>
        <v>0</v>
      </c>
      <c r="J42" s="1667">
        <f t="shared" si="3"/>
        <v>0</v>
      </c>
      <c r="K42" s="1667">
        <f t="shared" si="3"/>
        <v>225</v>
      </c>
      <c r="L42" s="1667">
        <f t="shared" si="3"/>
        <v>500</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470</v>
      </c>
      <c r="D44" s="479">
        <v>0</v>
      </c>
      <c r="E44" s="479">
        <v>10075</v>
      </c>
      <c r="F44" s="479">
        <v>0</v>
      </c>
      <c r="G44" s="479">
        <v>0</v>
      </c>
      <c r="H44" s="479">
        <v>0</v>
      </c>
      <c r="I44" s="467">
        <v>0</v>
      </c>
      <c r="J44" s="467">
        <v>0</v>
      </c>
      <c r="K44" s="1669">
        <f>SUM(C44:J44)</f>
        <v>10545</v>
      </c>
      <c r="L44" s="479">
        <v>7874</v>
      </c>
    </row>
    <row r="45" spans="1:14" x14ac:dyDescent="0.2">
      <c r="A45" s="1501" t="s">
        <v>815</v>
      </c>
      <c r="B45" s="611">
        <v>2220</v>
      </c>
      <c r="C45" s="466">
        <v>0</v>
      </c>
      <c r="D45" s="466">
        <v>0</v>
      </c>
      <c r="E45" s="466">
        <v>1693</v>
      </c>
      <c r="F45" s="466">
        <v>0</v>
      </c>
      <c r="G45" s="466">
        <v>0</v>
      </c>
      <c r="H45" s="466">
        <v>0</v>
      </c>
      <c r="I45" s="467">
        <v>0</v>
      </c>
      <c r="J45" s="467">
        <v>0</v>
      </c>
      <c r="K45" s="1669">
        <f>SUM(C45:J45)</f>
        <v>1693</v>
      </c>
      <c r="L45" s="466">
        <v>1700</v>
      </c>
    </row>
    <row r="46" spans="1:14" x14ac:dyDescent="0.2">
      <c r="A46" s="1501" t="s">
        <v>816</v>
      </c>
      <c r="B46" s="611">
        <v>2230</v>
      </c>
      <c r="C46" s="466">
        <v>0</v>
      </c>
      <c r="D46" s="466">
        <v>0</v>
      </c>
      <c r="E46" s="466">
        <v>0</v>
      </c>
      <c r="F46" s="466">
        <v>0</v>
      </c>
      <c r="G46" s="466">
        <v>0</v>
      </c>
      <c r="H46" s="466">
        <v>0</v>
      </c>
      <c r="I46" s="467">
        <v>0</v>
      </c>
      <c r="J46" s="467">
        <v>0</v>
      </c>
      <c r="K46" s="1669">
        <f>SUM(C46:J46)</f>
        <v>0</v>
      </c>
      <c r="L46" s="466">
        <v>0</v>
      </c>
    </row>
    <row r="47" spans="1:14" ht="12.75" customHeight="1" thickBot="1" x14ac:dyDescent="0.25">
      <c r="A47" s="1665" t="s">
        <v>561</v>
      </c>
      <c r="B47" s="1666" t="s">
        <v>32</v>
      </c>
      <c r="C47" s="1667">
        <f>SUM(C44:C46)</f>
        <v>470</v>
      </c>
      <c r="D47" s="1667">
        <f t="shared" ref="D47:K47" si="4">SUM(D44:D46)</f>
        <v>0</v>
      </c>
      <c r="E47" s="1667">
        <f t="shared" si="4"/>
        <v>11768</v>
      </c>
      <c r="F47" s="1667">
        <f t="shared" si="4"/>
        <v>0</v>
      </c>
      <c r="G47" s="1667">
        <f t="shared" si="4"/>
        <v>0</v>
      </c>
      <c r="H47" s="1667">
        <f t="shared" si="4"/>
        <v>0</v>
      </c>
      <c r="I47" s="1667">
        <f t="shared" si="4"/>
        <v>0</v>
      </c>
      <c r="J47" s="1667">
        <f t="shared" si="4"/>
        <v>0</v>
      </c>
      <c r="K47" s="1667">
        <f t="shared" si="4"/>
        <v>12238</v>
      </c>
      <c r="L47" s="1667">
        <f>SUM(L44:L46)</f>
        <v>9574</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0</v>
      </c>
      <c r="D49" s="479">
        <v>0</v>
      </c>
      <c r="E49" s="479">
        <v>30708</v>
      </c>
      <c r="F49" s="479">
        <v>93</v>
      </c>
      <c r="G49" s="479">
        <v>0</v>
      </c>
      <c r="H49" s="479">
        <v>2106</v>
      </c>
      <c r="I49" s="467">
        <v>0</v>
      </c>
      <c r="J49" s="467">
        <v>0</v>
      </c>
      <c r="K49" s="1669">
        <f>SUM(C49:J49)</f>
        <v>32907</v>
      </c>
      <c r="L49" s="479">
        <v>31450</v>
      </c>
    </row>
    <row r="50" spans="1:14" x14ac:dyDescent="0.2">
      <c r="A50" s="1501" t="s">
        <v>818</v>
      </c>
      <c r="B50" s="611">
        <v>2320</v>
      </c>
      <c r="C50" s="467">
        <v>66000</v>
      </c>
      <c r="D50" s="466">
        <v>0</v>
      </c>
      <c r="E50" s="466">
        <v>0</v>
      </c>
      <c r="F50" s="466">
        <v>0</v>
      </c>
      <c r="G50" s="466">
        <v>0</v>
      </c>
      <c r="H50" s="466">
        <v>387</v>
      </c>
      <c r="I50" s="467">
        <v>0</v>
      </c>
      <c r="J50" s="467">
        <v>0</v>
      </c>
      <c r="K50" s="1669">
        <f>SUM(C50:J50)</f>
        <v>66387</v>
      </c>
      <c r="L50" s="466">
        <v>66390</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1000</v>
      </c>
    </row>
    <row r="53" spans="1:14" ht="12.75" customHeight="1" thickBot="1" x14ac:dyDescent="0.25">
      <c r="A53" s="1665" t="s">
        <v>717</v>
      </c>
      <c r="B53" s="1666" t="s">
        <v>33</v>
      </c>
      <c r="C53" s="1667">
        <f>SUM(C49:C52)</f>
        <v>66000</v>
      </c>
      <c r="D53" s="1667">
        <f t="shared" ref="D53:L53" si="5">SUM(D49:D52)</f>
        <v>0</v>
      </c>
      <c r="E53" s="1667">
        <f t="shared" si="5"/>
        <v>30708</v>
      </c>
      <c r="F53" s="1667">
        <f t="shared" si="5"/>
        <v>93</v>
      </c>
      <c r="G53" s="1667">
        <f t="shared" si="5"/>
        <v>0</v>
      </c>
      <c r="H53" s="1667">
        <f t="shared" si="5"/>
        <v>2493</v>
      </c>
      <c r="I53" s="1667">
        <f t="shared" si="5"/>
        <v>0</v>
      </c>
      <c r="J53" s="1667">
        <f t="shared" si="5"/>
        <v>0</v>
      </c>
      <c r="K53" s="1667">
        <f t="shared" si="5"/>
        <v>99294</v>
      </c>
      <c r="L53" s="1667">
        <f t="shared" si="5"/>
        <v>98840</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204259</v>
      </c>
      <c r="D55" s="479">
        <v>9699</v>
      </c>
      <c r="E55" s="479">
        <v>20</v>
      </c>
      <c r="F55" s="479">
        <v>0</v>
      </c>
      <c r="G55" s="479">
        <v>0</v>
      </c>
      <c r="H55" s="479">
        <v>290</v>
      </c>
      <c r="I55" s="467">
        <v>0</v>
      </c>
      <c r="J55" s="467">
        <v>0</v>
      </c>
      <c r="K55" s="1669">
        <f>SUM(C55:J55)</f>
        <v>214268</v>
      </c>
      <c r="L55" s="479">
        <v>208725</v>
      </c>
    </row>
    <row r="56" spans="1:14" ht="12.75" customHeight="1" x14ac:dyDescent="0.2">
      <c r="A56" s="1505" t="s">
        <v>376</v>
      </c>
      <c r="B56" s="625">
        <v>2490</v>
      </c>
      <c r="C56" s="466">
        <v>37774</v>
      </c>
      <c r="D56" s="466">
        <v>7202</v>
      </c>
      <c r="E56" s="466">
        <v>0</v>
      </c>
      <c r="F56" s="466">
        <v>0</v>
      </c>
      <c r="G56" s="466">
        <v>0</v>
      </c>
      <c r="H56" s="466">
        <v>0</v>
      </c>
      <c r="I56" s="467">
        <v>0</v>
      </c>
      <c r="J56" s="467">
        <v>0</v>
      </c>
      <c r="K56" s="1669">
        <f>SUM(C56:J56)</f>
        <v>44976</v>
      </c>
      <c r="L56" s="466">
        <v>45430</v>
      </c>
    </row>
    <row r="57" spans="1:14" s="343" customFormat="1" ht="12.75" customHeight="1" thickBot="1" x14ac:dyDescent="0.25">
      <c r="A57" s="1665" t="s">
        <v>263</v>
      </c>
      <c r="B57" s="1670" t="s">
        <v>34</v>
      </c>
      <c r="C57" s="1671">
        <f>SUM(C55:C56)</f>
        <v>242033</v>
      </c>
      <c r="D57" s="1671">
        <f t="shared" ref="D57:K57" si="6">SUM(D55:D56)</f>
        <v>16901</v>
      </c>
      <c r="E57" s="1671">
        <f t="shared" si="6"/>
        <v>20</v>
      </c>
      <c r="F57" s="1671">
        <f t="shared" si="6"/>
        <v>0</v>
      </c>
      <c r="G57" s="1671">
        <f t="shared" si="6"/>
        <v>0</v>
      </c>
      <c r="H57" s="1671">
        <f t="shared" si="6"/>
        <v>290</v>
      </c>
      <c r="I57" s="1671">
        <f t="shared" si="6"/>
        <v>0</v>
      </c>
      <c r="J57" s="1671">
        <f t="shared" si="6"/>
        <v>0</v>
      </c>
      <c r="K57" s="1671">
        <f t="shared" si="6"/>
        <v>259244</v>
      </c>
      <c r="L57" s="1667">
        <f>SUM(L55:L56)</f>
        <v>254155</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48995</v>
      </c>
      <c r="D60" s="466">
        <v>7680</v>
      </c>
      <c r="E60" s="466">
        <v>0</v>
      </c>
      <c r="F60" s="466">
        <v>0</v>
      </c>
      <c r="G60" s="466">
        <v>0</v>
      </c>
      <c r="H60" s="466">
        <v>0</v>
      </c>
      <c r="I60" s="467">
        <v>0</v>
      </c>
      <c r="J60" s="467">
        <v>0</v>
      </c>
      <c r="K60" s="1669">
        <f t="shared" si="7"/>
        <v>56675</v>
      </c>
      <c r="L60" s="466">
        <v>56680</v>
      </c>
      <c r="M60" s="606"/>
      <c r="N60" s="606"/>
    </row>
    <row r="61" spans="1:14" s="343" customFormat="1" x14ac:dyDescent="0.2">
      <c r="A61" s="1501" t="s">
        <v>197</v>
      </c>
      <c r="B61" s="611">
        <v>2540</v>
      </c>
      <c r="C61" s="466">
        <v>110924</v>
      </c>
      <c r="D61" s="466">
        <v>10457</v>
      </c>
      <c r="E61" s="466">
        <v>0</v>
      </c>
      <c r="F61" s="466">
        <v>14730</v>
      </c>
      <c r="G61" s="466">
        <v>0</v>
      </c>
      <c r="H61" s="466">
        <v>0</v>
      </c>
      <c r="I61" s="467">
        <v>0</v>
      </c>
      <c r="J61" s="467">
        <v>0</v>
      </c>
      <c r="K61" s="1669">
        <f t="shared" si="7"/>
        <v>136111</v>
      </c>
      <c r="L61" s="466">
        <v>128880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86470</v>
      </c>
      <c r="D63" s="466">
        <v>17778</v>
      </c>
      <c r="E63" s="466">
        <v>6466</v>
      </c>
      <c r="F63" s="466">
        <v>109897</v>
      </c>
      <c r="G63" s="466">
        <v>1598</v>
      </c>
      <c r="H63" s="466">
        <v>0</v>
      </c>
      <c r="I63" s="467">
        <v>0</v>
      </c>
      <c r="J63" s="467">
        <v>0</v>
      </c>
      <c r="K63" s="1669">
        <f t="shared" si="7"/>
        <v>222209</v>
      </c>
      <c r="L63" s="466">
        <v>265135</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246389</v>
      </c>
      <c r="D65" s="1667">
        <f t="shared" ref="D65:L65" si="8">SUM(D59:D64)</f>
        <v>35915</v>
      </c>
      <c r="E65" s="1667">
        <f t="shared" si="8"/>
        <v>6466</v>
      </c>
      <c r="F65" s="1667">
        <f t="shared" si="8"/>
        <v>124627</v>
      </c>
      <c r="G65" s="1667">
        <f t="shared" si="8"/>
        <v>1598</v>
      </c>
      <c r="H65" s="1667">
        <f t="shared" si="8"/>
        <v>0</v>
      </c>
      <c r="I65" s="1667">
        <f t="shared" si="8"/>
        <v>0</v>
      </c>
      <c r="J65" s="1667">
        <f t="shared" si="8"/>
        <v>0</v>
      </c>
      <c r="K65" s="1667">
        <f t="shared" si="8"/>
        <v>414995</v>
      </c>
      <c r="L65" s="1667">
        <f t="shared" si="8"/>
        <v>450695</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554892</v>
      </c>
      <c r="D74" s="1674">
        <f t="shared" ref="D74:K74" si="10">SUM(D42,D47,D53,D57,D65,D72,D73)</f>
        <v>52816</v>
      </c>
      <c r="E74" s="1674">
        <f t="shared" si="10"/>
        <v>48962</v>
      </c>
      <c r="F74" s="1674">
        <f t="shared" si="10"/>
        <v>124945</v>
      </c>
      <c r="G74" s="1674">
        <f t="shared" si="10"/>
        <v>1598</v>
      </c>
      <c r="H74" s="1674">
        <f t="shared" si="10"/>
        <v>2783</v>
      </c>
      <c r="I74" s="1674">
        <f t="shared" si="10"/>
        <v>0</v>
      </c>
      <c r="J74" s="1674">
        <f t="shared" si="10"/>
        <v>0</v>
      </c>
      <c r="K74" s="1674">
        <f t="shared" si="10"/>
        <v>785996</v>
      </c>
      <c r="L74" s="1674">
        <f>SUM(L42,L47,L53,L57,L65,L72,L73)</f>
        <v>813764</v>
      </c>
    </row>
    <row r="75" spans="1:14" s="259" customFormat="1" ht="15.75" customHeight="1" thickTop="1" thickBot="1" x14ac:dyDescent="0.25">
      <c r="A75" s="1607" t="s">
        <v>47</v>
      </c>
      <c r="B75" s="1608" t="s">
        <v>575</v>
      </c>
      <c r="C75" s="467">
        <v>0</v>
      </c>
      <c r="D75" s="467">
        <v>0</v>
      </c>
      <c r="E75" s="467">
        <v>0</v>
      </c>
      <c r="F75" s="467">
        <v>0</v>
      </c>
      <c r="G75" s="467">
        <v>0</v>
      </c>
      <c r="H75" s="467">
        <v>0</v>
      </c>
      <c r="I75" s="467">
        <v>0</v>
      </c>
      <c r="J75" s="467">
        <v>0</v>
      </c>
      <c r="K75" s="1667">
        <f>SUM(C75:J75)</f>
        <v>0</v>
      </c>
      <c r="L75" s="573">
        <v>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69254</v>
      </c>
      <c r="F78" s="613"/>
      <c r="G78" s="613"/>
      <c r="H78" s="631">
        <v>0</v>
      </c>
      <c r="I78" s="475"/>
      <c r="J78" s="475"/>
      <c r="K78" s="1668">
        <f t="shared" ref="K78:K83" si="11">SUM(C78:J78)</f>
        <v>69254</v>
      </c>
      <c r="L78" s="479">
        <v>69254</v>
      </c>
    </row>
    <row r="79" spans="1:14" x14ac:dyDescent="0.2">
      <c r="A79" s="1501" t="s">
        <v>304</v>
      </c>
      <c r="B79" s="611">
        <v>4120</v>
      </c>
      <c r="C79" s="613"/>
      <c r="D79" s="613"/>
      <c r="E79" s="466">
        <v>37804</v>
      </c>
      <c r="F79" s="613"/>
      <c r="G79" s="613"/>
      <c r="H79" s="466">
        <v>28267</v>
      </c>
      <c r="I79" s="475"/>
      <c r="J79" s="475"/>
      <c r="K79" s="1668">
        <f t="shared" si="11"/>
        <v>66071</v>
      </c>
      <c r="L79" s="466">
        <v>106455</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107058</v>
      </c>
      <c r="F84" s="613"/>
      <c r="G84" s="613"/>
      <c r="H84" s="1667">
        <f>SUM(H78:H83)</f>
        <v>28267</v>
      </c>
      <c r="I84" s="475"/>
      <c r="J84" s="475"/>
      <c r="K84" s="1667">
        <f>SUM(K78:K83)</f>
        <v>135325</v>
      </c>
      <c r="L84" s="1667">
        <f>SUM(L78:L83)</f>
        <v>175709</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39306</v>
      </c>
      <c r="I86" s="475"/>
      <c r="J86" s="475"/>
      <c r="K86" s="1674">
        <f t="shared" ref="K86:K98" si="12">H86</f>
        <v>39306</v>
      </c>
      <c r="L86" s="527">
        <v>125000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5800</v>
      </c>
      <c r="I90" s="475"/>
      <c r="J90" s="475"/>
      <c r="K90" s="1674">
        <f t="shared" si="12"/>
        <v>5800</v>
      </c>
      <c r="L90" s="527">
        <v>5000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45106</v>
      </c>
      <c r="I92" s="475"/>
      <c r="J92" s="475"/>
      <c r="K92" s="1674">
        <f t="shared" si="12"/>
        <v>45106</v>
      </c>
      <c r="L92" s="1667">
        <f>SUM(L85:L91)</f>
        <v>130000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107058</v>
      </c>
      <c r="F102" s="613"/>
      <c r="G102" s="613"/>
      <c r="H102" s="1674">
        <f>SUM(H84,H92,H100,H101)</f>
        <v>73373</v>
      </c>
      <c r="I102" s="475"/>
      <c r="J102" s="475"/>
      <c r="K102" s="1674">
        <f>SUM(K84,K92,K100,K101)</f>
        <v>180431</v>
      </c>
      <c r="L102" s="1674">
        <f>SUM(L84,L92,L100,L101)</f>
        <v>305709</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1986972</v>
      </c>
      <c r="D114" s="1667">
        <f t="shared" ref="D114:K114" si="13">SUM(D33,D74,D75,D102,D112,D113)</f>
        <v>250135</v>
      </c>
      <c r="E114" s="1667">
        <f t="shared" si="13"/>
        <v>235741</v>
      </c>
      <c r="F114" s="1667">
        <f t="shared" si="13"/>
        <v>231641</v>
      </c>
      <c r="G114" s="1667">
        <f t="shared" si="13"/>
        <v>1598</v>
      </c>
      <c r="H114" s="1667">
        <f>SUM(H33,H74,H75,H102,H112,H113)</f>
        <v>79011</v>
      </c>
      <c r="I114" s="1667">
        <f t="shared" si="13"/>
        <v>0</v>
      </c>
      <c r="J114" s="1667">
        <f t="shared" si="13"/>
        <v>0</v>
      </c>
      <c r="K114" s="1667">
        <f t="shared" si="13"/>
        <v>2785098</v>
      </c>
      <c r="L114" s="1667">
        <f>SUM(L33,L74,L75,L102,L112,L113)</f>
        <v>3020595</v>
      </c>
    </row>
    <row r="115" spans="1:14" ht="13.5" thickTop="1" x14ac:dyDescent="0.2">
      <c r="A115" s="2197" t="s">
        <v>996</v>
      </c>
      <c r="B115" s="2198"/>
      <c r="C115" s="615"/>
      <c r="D115" s="615"/>
      <c r="E115" s="615"/>
      <c r="F115" s="615"/>
      <c r="G115" s="615"/>
      <c r="H115" s="615"/>
      <c r="I115" s="615"/>
      <c r="J115" s="615"/>
      <c r="K115" s="1681">
        <f>'Revenues 9-14'!C268-'Expenditures 15-22'!K114</f>
        <v>105653</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202" t="s">
        <v>296</v>
      </c>
      <c r="B117" s="2203"/>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31088</v>
      </c>
      <c r="D124" s="466">
        <v>5209</v>
      </c>
      <c r="E124" s="466">
        <v>68551</v>
      </c>
      <c r="F124" s="466">
        <v>165107</v>
      </c>
      <c r="G124" s="466">
        <v>25664</v>
      </c>
      <c r="H124" s="466">
        <v>0</v>
      </c>
      <c r="I124" s="467">
        <v>0</v>
      </c>
      <c r="J124" s="467">
        <v>0</v>
      </c>
      <c r="K124" s="1667">
        <f>SUM(C124:J124)</f>
        <v>295619</v>
      </c>
      <c r="L124" s="466">
        <v>322711</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31088</v>
      </c>
      <c r="D127" s="1667">
        <f t="shared" ref="D127:L127" si="14">SUM(D122:D126)</f>
        <v>5209</v>
      </c>
      <c r="E127" s="1667">
        <f t="shared" si="14"/>
        <v>68551</v>
      </c>
      <c r="F127" s="1667">
        <f t="shared" si="14"/>
        <v>165107</v>
      </c>
      <c r="G127" s="1667">
        <f t="shared" si="14"/>
        <v>25664</v>
      </c>
      <c r="H127" s="1667">
        <f t="shared" si="14"/>
        <v>0</v>
      </c>
      <c r="I127" s="1667">
        <f t="shared" si="14"/>
        <v>0</v>
      </c>
      <c r="J127" s="1667">
        <f t="shared" si="14"/>
        <v>0</v>
      </c>
      <c r="K127" s="1667">
        <f t="shared" si="14"/>
        <v>295619</v>
      </c>
      <c r="L127" s="1667">
        <f t="shared" si="14"/>
        <v>322711</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31088</v>
      </c>
      <c r="D129" s="1674">
        <f t="shared" ref="D129:L129" si="15">SUM(D120,D127,D128)</f>
        <v>5209</v>
      </c>
      <c r="E129" s="1674">
        <f t="shared" si="15"/>
        <v>68551</v>
      </c>
      <c r="F129" s="1674">
        <f t="shared" si="15"/>
        <v>165107</v>
      </c>
      <c r="G129" s="1674">
        <f t="shared" si="15"/>
        <v>25664</v>
      </c>
      <c r="H129" s="1674">
        <f t="shared" si="15"/>
        <v>0</v>
      </c>
      <c r="I129" s="1674">
        <f t="shared" si="15"/>
        <v>0</v>
      </c>
      <c r="J129" s="1674">
        <f t="shared" si="15"/>
        <v>0</v>
      </c>
      <c r="K129" s="1674">
        <f t="shared" si="15"/>
        <v>295619</v>
      </c>
      <c r="L129" s="1674">
        <f t="shared" si="15"/>
        <v>322711</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214" t="s">
        <v>620</v>
      </c>
      <c r="B151" s="2194"/>
      <c r="C151" s="1667">
        <f>SUM(C129,C130,C139,C149,C150)</f>
        <v>31088</v>
      </c>
      <c r="D151" s="1667">
        <f t="shared" ref="D151:K151" si="16">SUM(D129,D130,D139,D149,D150)</f>
        <v>5209</v>
      </c>
      <c r="E151" s="1667">
        <f t="shared" si="16"/>
        <v>68551</v>
      </c>
      <c r="F151" s="1667">
        <f t="shared" si="16"/>
        <v>165107</v>
      </c>
      <c r="G151" s="1667">
        <f t="shared" si="16"/>
        <v>25664</v>
      </c>
      <c r="H151" s="1667">
        <f t="shared" si="16"/>
        <v>0</v>
      </c>
      <c r="I151" s="1667">
        <f t="shared" si="16"/>
        <v>0</v>
      </c>
      <c r="J151" s="1667">
        <f t="shared" si="16"/>
        <v>0</v>
      </c>
      <c r="K151" s="1667">
        <f t="shared" si="16"/>
        <v>295619</v>
      </c>
      <c r="L151" s="1667">
        <f>SUM(L129,L130,L139,L149,L150)</f>
        <v>322711</v>
      </c>
    </row>
    <row r="152" spans="1:14" ht="12.75" customHeight="1" thickTop="1" x14ac:dyDescent="0.2">
      <c r="A152" s="2217" t="s">
        <v>1178</v>
      </c>
      <c r="B152" s="2218"/>
      <c r="C152" s="615"/>
      <c r="D152" s="615"/>
      <c r="E152" s="615"/>
      <c r="F152" s="615"/>
      <c r="G152" s="615"/>
      <c r="H152" s="615"/>
      <c r="I152" s="615"/>
      <c r="J152" s="613"/>
      <c r="K152" s="1681">
        <f>'Revenues 9-14'!D268-'Expenditures 15-22'!K151</f>
        <v>229676</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202" t="s">
        <v>621</v>
      </c>
      <c r="B154" s="2204"/>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3281</v>
      </c>
      <c r="I169" s="613"/>
      <c r="J169" s="613"/>
      <c r="K169" s="1668">
        <f>SUM(C169:H169)</f>
        <v>3281</v>
      </c>
      <c r="L169" s="653">
        <v>3282</v>
      </c>
    </row>
    <row r="170" spans="1:14" ht="33.75" customHeight="1" x14ac:dyDescent="0.2">
      <c r="A170" s="666" t="s">
        <v>1670</v>
      </c>
      <c r="B170" s="668" t="s">
        <v>31</v>
      </c>
      <c r="C170" s="613"/>
      <c r="D170" s="613"/>
      <c r="E170" s="613"/>
      <c r="F170" s="613"/>
      <c r="G170" s="613"/>
      <c r="H170" s="566">
        <v>125000</v>
      </c>
      <c r="I170" s="613"/>
      <c r="J170" s="613"/>
      <c r="K170" s="1668">
        <f>SUM(C170:J170)</f>
        <v>125000</v>
      </c>
      <c r="L170" s="566">
        <v>125000</v>
      </c>
    </row>
    <row r="171" spans="1:14" ht="15.75" customHeight="1" x14ac:dyDescent="0.2">
      <c r="A171" s="618" t="s">
        <v>766</v>
      </c>
      <c r="B171" s="669" t="s">
        <v>84</v>
      </c>
      <c r="C171" s="613"/>
      <c r="D171" s="613"/>
      <c r="E171" s="466">
        <v>0</v>
      </c>
      <c r="F171" s="613"/>
      <c r="G171" s="613"/>
      <c r="H171" s="566">
        <v>500</v>
      </c>
      <c r="I171" s="475"/>
      <c r="J171" s="613"/>
      <c r="K171" s="1668">
        <f>SUM(C171:J171)</f>
        <v>500</v>
      </c>
      <c r="L171" s="566">
        <v>500</v>
      </c>
    </row>
    <row r="172" spans="1:14" ht="12.75" customHeight="1" thickBot="1" x14ac:dyDescent="0.25">
      <c r="A172" s="1665" t="s">
        <v>638</v>
      </c>
      <c r="B172" s="1666" t="s">
        <v>492</v>
      </c>
      <c r="C172" s="613"/>
      <c r="D172" s="613"/>
      <c r="E172" s="1674">
        <f>SUM(E168,E169,E170,E171)</f>
        <v>0</v>
      </c>
      <c r="F172" s="613"/>
      <c r="G172" s="613"/>
      <c r="H172" s="1674">
        <f>SUM(H168,H169,H170,H171)</f>
        <v>128781</v>
      </c>
      <c r="I172" s="635"/>
      <c r="J172" s="613"/>
      <c r="K172" s="1674">
        <f>SUM(K168,K169,K170,K171)</f>
        <v>128781</v>
      </c>
      <c r="L172" s="1674">
        <f>SUM(L168,L169,L170,L171)</f>
        <v>128782</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128781</v>
      </c>
      <c r="I174" s="635"/>
      <c r="J174" s="613"/>
      <c r="K174" s="1674">
        <f>SUM(K160,K172,K173)</f>
        <v>128781</v>
      </c>
      <c r="L174" s="1674">
        <f>SUM(L160,L172,L173)</f>
        <v>128782</v>
      </c>
    </row>
    <row r="175" spans="1:14" ht="13.5" thickTop="1" x14ac:dyDescent="0.2">
      <c r="A175" s="2197" t="s">
        <v>996</v>
      </c>
      <c r="B175" s="2198"/>
      <c r="C175" s="613"/>
      <c r="D175" s="613"/>
      <c r="E175" s="613"/>
      <c r="F175" s="613"/>
      <c r="G175" s="613"/>
      <c r="H175" s="615"/>
      <c r="I175" s="613"/>
      <c r="J175" s="613"/>
      <c r="K175" s="1681">
        <f>'Revenues 9-14'!E268-'Expenditures 15-22'!K174</f>
        <v>2018</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99646</v>
      </c>
      <c r="D182" s="466">
        <v>934</v>
      </c>
      <c r="E182" s="466">
        <v>91578</v>
      </c>
      <c r="F182" s="466">
        <v>30538</v>
      </c>
      <c r="G182" s="466">
        <v>0</v>
      </c>
      <c r="H182" s="466">
        <v>0</v>
      </c>
      <c r="I182" s="467">
        <v>0</v>
      </c>
      <c r="J182" s="467">
        <v>0</v>
      </c>
      <c r="K182" s="1668">
        <f>SUM(C182:J182)</f>
        <v>222696</v>
      </c>
      <c r="L182" s="466">
        <v>219835</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99646</v>
      </c>
      <c r="D184" s="1674">
        <f t="shared" ref="D184:J184" si="17">SUM(D180,D182,D183)</f>
        <v>934</v>
      </c>
      <c r="E184" s="1674">
        <f t="shared" si="17"/>
        <v>91578</v>
      </c>
      <c r="F184" s="1674">
        <f t="shared" si="17"/>
        <v>30538</v>
      </c>
      <c r="G184" s="1674">
        <f t="shared" si="17"/>
        <v>0</v>
      </c>
      <c r="H184" s="1674">
        <f t="shared" si="17"/>
        <v>0</v>
      </c>
      <c r="I184" s="1674">
        <f t="shared" si="17"/>
        <v>0</v>
      </c>
      <c r="J184" s="1674">
        <f t="shared" si="17"/>
        <v>0</v>
      </c>
      <c r="K184" s="1674">
        <f>SUM(K180,K182,K183)</f>
        <v>222696</v>
      </c>
      <c r="L184" s="1674">
        <f>SUM(L180, L182:L183)</f>
        <v>219835</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99646</v>
      </c>
      <c r="D210" s="1667">
        <f>SUM(D184,D185)</f>
        <v>934</v>
      </c>
      <c r="E210" s="1667">
        <f>SUM(E184,E185,E196)</f>
        <v>91578</v>
      </c>
      <c r="F210" s="1667">
        <f>SUM(F184,F185)</f>
        <v>30538</v>
      </c>
      <c r="G210" s="1667">
        <f>SUM(G184,G185)</f>
        <v>0</v>
      </c>
      <c r="H210" s="1667">
        <f>SUM(H184,H185,H196,H208,H209)</f>
        <v>0</v>
      </c>
      <c r="I210" s="1667">
        <f>SUM(I184,I185)</f>
        <v>0</v>
      </c>
      <c r="J210" s="1667">
        <f>SUM(J184,J185)</f>
        <v>0</v>
      </c>
      <c r="K210" s="1668">
        <f>SUM(K184,K185,K196,K208,K209)</f>
        <v>222696</v>
      </c>
      <c r="L210" s="1667">
        <f>SUM(L184,L185,L196,L208,L209)</f>
        <v>219835</v>
      </c>
    </row>
    <row r="211" spans="1:14" ht="13.5" thickTop="1" x14ac:dyDescent="0.2">
      <c r="A211" s="2197" t="s">
        <v>996</v>
      </c>
      <c r="B211" s="2198"/>
      <c r="C211" s="615"/>
      <c r="D211" s="615"/>
      <c r="E211" s="615"/>
      <c r="F211" s="615"/>
      <c r="G211" s="615"/>
      <c r="H211" s="615"/>
      <c r="I211" s="613"/>
      <c r="J211" s="613"/>
      <c r="K211" s="1681">
        <f>'Revenues 9-14'!F268-'Expenditures 15-22'!K210</f>
        <v>20940</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219" t="s">
        <v>965</v>
      </c>
      <c r="B213" s="2220"/>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15622</v>
      </c>
      <c r="E215" s="613"/>
      <c r="F215" s="613"/>
      <c r="G215" s="613"/>
      <c r="H215" s="613"/>
      <c r="I215" s="613"/>
      <c r="J215" s="613"/>
      <c r="K215" s="1668">
        <f>D215</f>
        <v>15622</v>
      </c>
      <c r="L215" s="466">
        <v>17860</v>
      </c>
    </row>
    <row r="216" spans="1:14" x14ac:dyDescent="0.2">
      <c r="A216" s="1501" t="s">
        <v>163</v>
      </c>
      <c r="B216" s="611" t="s">
        <v>967</v>
      </c>
      <c r="C216" s="613"/>
      <c r="D216" s="467">
        <v>3705</v>
      </c>
      <c r="E216" s="613"/>
      <c r="F216" s="613"/>
      <c r="G216" s="613"/>
      <c r="H216" s="613"/>
      <c r="I216" s="613"/>
      <c r="J216" s="613"/>
      <c r="K216" s="1668">
        <f t="shared" ref="K216:K228" si="19">D216</f>
        <v>3705</v>
      </c>
      <c r="L216" s="466">
        <v>4465</v>
      </c>
    </row>
    <row r="217" spans="1:14" x14ac:dyDescent="0.2">
      <c r="A217" s="1501" t="s">
        <v>164</v>
      </c>
      <c r="B217" s="611">
        <v>1200</v>
      </c>
      <c r="C217" s="613"/>
      <c r="D217" s="466">
        <v>19981</v>
      </c>
      <c r="E217" s="613"/>
      <c r="F217" s="613"/>
      <c r="G217" s="613"/>
      <c r="H217" s="613"/>
      <c r="I217" s="613"/>
      <c r="J217" s="613"/>
      <c r="K217" s="1668">
        <f t="shared" si="19"/>
        <v>19981</v>
      </c>
      <c r="L217" s="466">
        <v>18100</v>
      </c>
    </row>
    <row r="218" spans="1:14" x14ac:dyDescent="0.2">
      <c r="A218" s="1501" t="s">
        <v>278</v>
      </c>
      <c r="B218" s="611" t="s">
        <v>968</v>
      </c>
      <c r="C218" s="613"/>
      <c r="D218" s="467">
        <v>0</v>
      </c>
      <c r="E218" s="613"/>
      <c r="F218" s="613"/>
      <c r="G218" s="613"/>
      <c r="H218" s="613"/>
      <c r="I218" s="613"/>
      <c r="J218" s="613"/>
      <c r="K218" s="1668">
        <f t="shared" si="19"/>
        <v>0</v>
      </c>
      <c r="L218" s="466">
        <v>1275</v>
      </c>
    </row>
    <row r="219" spans="1:14" x14ac:dyDescent="0.2">
      <c r="A219" s="1501" t="s">
        <v>279</v>
      </c>
      <c r="B219" s="611">
        <v>1250</v>
      </c>
      <c r="C219" s="613"/>
      <c r="D219" s="466">
        <v>898</v>
      </c>
      <c r="E219" s="613"/>
      <c r="F219" s="613"/>
      <c r="G219" s="613"/>
      <c r="H219" s="613"/>
      <c r="I219" s="613"/>
      <c r="J219" s="613"/>
      <c r="K219" s="1668">
        <f t="shared" si="19"/>
        <v>898</v>
      </c>
      <c r="L219" s="466">
        <v>1166</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238</v>
      </c>
      <c r="E223" s="613"/>
      <c r="F223" s="613"/>
      <c r="G223" s="613"/>
      <c r="H223" s="613"/>
      <c r="I223" s="613"/>
      <c r="J223" s="613"/>
      <c r="K223" s="1668">
        <f t="shared" si="19"/>
        <v>238</v>
      </c>
      <c r="L223" s="466">
        <v>0</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0</v>
      </c>
      <c r="E226" s="613"/>
      <c r="F226" s="613"/>
      <c r="G226" s="613"/>
      <c r="H226" s="613"/>
      <c r="I226" s="613"/>
      <c r="J226" s="613"/>
      <c r="K226" s="1668">
        <f t="shared" si="19"/>
        <v>0</v>
      </c>
      <c r="L226" s="466">
        <v>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40444</v>
      </c>
      <c r="E229" s="613"/>
      <c r="F229" s="613"/>
      <c r="G229" s="613"/>
      <c r="H229" s="613"/>
      <c r="I229" s="613"/>
      <c r="J229" s="613"/>
      <c r="K229" s="1667">
        <f>SUM(K215:K228)</f>
        <v>40444</v>
      </c>
      <c r="L229" s="1667">
        <f>SUM(L215:L228)</f>
        <v>42866</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0</v>
      </c>
      <c r="E233" s="613"/>
      <c r="F233" s="613"/>
      <c r="G233" s="613"/>
      <c r="H233" s="613"/>
      <c r="I233" s="613"/>
      <c r="J233" s="613"/>
      <c r="K233" s="1668">
        <f t="shared" si="20"/>
        <v>0</v>
      </c>
      <c r="L233" s="466">
        <v>0</v>
      </c>
    </row>
    <row r="234" spans="1:12" x14ac:dyDescent="0.2">
      <c r="A234" s="1501" t="s">
        <v>198</v>
      </c>
      <c r="B234" s="611">
        <v>2130</v>
      </c>
      <c r="C234" s="613"/>
      <c r="D234" s="466">
        <v>0</v>
      </c>
      <c r="E234" s="613"/>
      <c r="F234" s="613"/>
      <c r="G234" s="613"/>
      <c r="H234" s="613"/>
      <c r="I234" s="613"/>
      <c r="J234" s="613"/>
      <c r="K234" s="1668">
        <f t="shared" si="20"/>
        <v>0</v>
      </c>
      <c r="L234" s="466">
        <v>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0</v>
      </c>
      <c r="E236" s="613"/>
      <c r="F236" s="613"/>
      <c r="G236" s="613"/>
      <c r="H236" s="613"/>
      <c r="I236" s="613"/>
      <c r="J236" s="613"/>
      <c r="K236" s="1668">
        <f t="shared" si="20"/>
        <v>0</v>
      </c>
      <c r="L236" s="466">
        <v>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0</v>
      </c>
      <c r="E238" s="613"/>
      <c r="F238" s="613"/>
      <c r="G238" s="613"/>
      <c r="H238" s="613"/>
      <c r="I238" s="613"/>
      <c r="J238" s="613"/>
      <c r="K238" s="1667">
        <f>SUM(K232:K237)</f>
        <v>0</v>
      </c>
      <c r="L238" s="1667">
        <f>SUM(L232:L237)</f>
        <v>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34</v>
      </c>
      <c r="E240" s="613"/>
      <c r="F240" s="613"/>
      <c r="G240" s="613"/>
      <c r="H240" s="613"/>
      <c r="I240" s="613"/>
      <c r="J240" s="613"/>
      <c r="K240" s="1669">
        <f>D240</f>
        <v>34</v>
      </c>
      <c r="L240" s="479">
        <v>0</v>
      </c>
    </row>
    <row r="241" spans="1:12" x14ac:dyDescent="0.2">
      <c r="A241" s="1501" t="s">
        <v>815</v>
      </c>
      <c r="B241" s="611">
        <v>2220</v>
      </c>
      <c r="C241" s="613"/>
      <c r="D241" s="466">
        <v>0</v>
      </c>
      <c r="E241" s="613"/>
      <c r="F241" s="613"/>
      <c r="G241" s="613"/>
      <c r="H241" s="613"/>
      <c r="I241" s="613"/>
      <c r="J241" s="613"/>
      <c r="K241" s="1669">
        <f>D241</f>
        <v>0</v>
      </c>
      <c r="L241" s="466">
        <v>0</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34</v>
      </c>
      <c r="E243" s="613"/>
      <c r="F243" s="613"/>
      <c r="G243" s="613"/>
      <c r="H243" s="613"/>
      <c r="I243" s="613"/>
      <c r="J243" s="613"/>
      <c r="K243" s="1667">
        <f>SUM(K240:K242)</f>
        <v>34</v>
      </c>
      <c r="L243" s="1667">
        <f>SUM(L240:L242)</f>
        <v>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0</v>
      </c>
      <c r="E245" s="613"/>
      <c r="F245" s="613"/>
      <c r="G245" s="613"/>
      <c r="H245" s="613"/>
      <c r="I245" s="613"/>
      <c r="J245" s="613"/>
      <c r="K245" s="1669">
        <f>D245</f>
        <v>0</v>
      </c>
      <c r="L245" s="479">
        <v>0</v>
      </c>
    </row>
    <row r="246" spans="1:12" x14ac:dyDescent="0.2">
      <c r="A246" s="1501" t="s">
        <v>818</v>
      </c>
      <c r="B246" s="611">
        <v>2320</v>
      </c>
      <c r="C246" s="613"/>
      <c r="D246" s="466">
        <v>5049</v>
      </c>
      <c r="E246" s="613"/>
      <c r="F246" s="613"/>
      <c r="G246" s="613"/>
      <c r="H246" s="613"/>
      <c r="I246" s="613"/>
      <c r="J246" s="613"/>
      <c r="K246" s="1669">
        <f t="shared" ref="K246:K256" si="21">D246</f>
        <v>5049</v>
      </c>
      <c r="L246" s="466">
        <v>5080</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5049</v>
      </c>
      <c r="E257" s="613"/>
      <c r="F257" s="613"/>
      <c r="G257" s="613"/>
      <c r="H257" s="613"/>
      <c r="I257" s="613"/>
      <c r="J257" s="613"/>
      <c r="K257" s="1667">
        <f>SUM(K245:K256)</f>
        <v>5049</v>
      </c>
      <c r="L257" s="1667">
        <f>SUM(L245:L256)</f>
        <v>5080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15235</v>
      </c>
      <c r="E259" s="613"/>
      <c r="F259" s="613"/>
      <c r="G259" s="613"/>
      <c r="H259" s="613"/>
      <c r="I259" s="613"/>
      <c r="J259" s="613"/>
      <c r="K259" s="1669">
        <f>D259</f>
        <v>15235</v>
      </c>
      <c r="L259" s="479">
        <v>14700</v>
      </c>
    </row>
    <row r="260" spans="1:14" s="594" customFormat="1" x14ac:dyDescent="0.2">
      <c r="A260" s="1519" t="s">
        <v>1804</v>
      </c>
      <c r="B260" s="625">
        <v>2490</v>
      </c>
      <c r="C260" s="613"/>
      <c r="D260" s="466">
        <v>6524</v>
      </c>
      <c r="E260" s="613"/>
      <c r="F260" s="613"/>
      <c r="G260" s="613"/>
      <c r="H260" s="613"/>
      <c r="I260" s="613"/>
      <c r="J260" s="613"/>
      <c r="K260" s="1669">
        <f>D260</f>
        <v>6524</v>
      </c>
      <c r="L260" s="466">
        <v>7100</v>
      </c>
      <c r="M260" s="210"/>
      <c r="N260" s="210"/>
    </row>
    <row r="261" spans="1:14" ht="12.75" customHeight="1" thickBot="1" x14ac:dyDescent="0.25">
      <c r="A261" s="1689" t="s">
        <v>263</v>
      </c>
      <c r="B261" s="1694" t="s">
        <v>34</v>
      </c>
      <c r="C261" s="613"/>
      <c r="D261" s="1667">
        <f>SUM(D259:D260)</f>
        <v>21759</v>
      </c>
      <c r="E261" s="613"/>
      <c r="F261" s="613"/>
      <c r="G261" s="613"/>
      <c r="H261" s="613"/>
      <c r="I261" s="613"/>
      <c r="J261" s="613"/>
      <c r="K261" s="1667">
        <f>SUM(K259:K260)</f>
        <v>21759</v>
      </c>
      <c r="L261" s="1667">
        <f>SUM(L259:L260)</f>
        <v>21800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9252</v>
      </c>
      <c r="E264" s="613"/>
      <c r="F264" s="613"/>
      <c r="G264" s="613"/>
      <c r="H264" s="613"/>
      <c r="I264" s="613"/>
      <c r="J264" s="613"/>
      <c r="K264" s="1669">
        <f t="shared" ref="K264:K269" si="22">D264</f>
        <v>9252</v>
      </c>
      <c r="L264" s="466">
        <v>8375</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32790</v>
      </c>
      <c r="E266" s="613"/>
      <c r="F266" s="613"/>
      <c r="G266" s="613"/>
      <c r="H266" s="613"/>
      <c r="I266" s="613"/>
      <c r="J266" s="613"/>
      <c r="K266" s="1669">
        <f t="shared" si="22"/>
        <v>32790</v>
      </c>
      <c r="L266" s="466">
        <v>25072</v>
      </c>
    </row>
    <row r="267" spans="1:14" x14ac:dyDescent="0.2">
      <c r="A267" s="1501" t="s">
        <v>953</v>
      </c>
      <c r="B267" s="611">
        <v>2550</v>
      </c>
      <c r="C267" s="613"/>
      <c r="D267" s="466">
        <v>6794</v>
      </c>
      <c r="E267" s="613"/>
      <c r="F267" s="613"/>
      <c r="G267" s="613"/>
      <c r="H267" s="613"/>
      <c r="I267" s="613"/>
      <c r="J267" s="613"/>
      <c r="K267" s="1669">
        <f t="shared" si="22"/>
        <v>6794</v>
      </c>
      <c r="L267" s="466">
        <v>9460</v>
      </c>
    </row>
    <row r="268" spans="1:14" x14ac:dyDescent="0.2">
      <c r="A268" s="1501" t="s">
        <v>100</v>
      </c>
      <c r="B268" s="611">
        <v>2560</v>
      </c>
      <c r="C268" s="613"/>
      <c r="D268" s="466">
        <v>15220</v>
      </c>
      <c r="E268" s="613"/>
      <c r="F268" s="613"/>
      <c r="G268" s="613"/>
      <c r="H268" s="613"/>
      <c r="I268" s="613"/>
      <c r="J268" s="613"/>
      <c r="K268" s="1669">
        <f t="shared" si="22"/>
        <v>15220</v>
      </c>
      <c r="L268" s="466">
        <v>17341</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64056</v>
      </c>
      <c r="E270" s="613"/>
      <c r="F270" s="613"/>
      <c r="G270" s="613"/>
      <c r="H270" s="613"/>
      <c r="I270" s="613"/>
      <c r="J270" s="613"/>
      <c r="K270" s="1667">
        <f>SUM(K263:K269)</f>
        <v>64056</v>
      </c>
      <c r="L270" s="1667">
        <f>SUM(L263:L269)</f>
        <v>60248</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90898</v>
      </c>
      <c r="E279" s="613"/>
      <c r="F279" s="613"/>
      <c r="G279" s="613"/>
      <c r="H279" s="613"/>
      <c r="I279" s="613"/>
      <c r="J279" s="613"/>
      <c r="K279" s="1674">
        <f>SUM(K238,K243,K257,K261,K270,K277,K278)</f>
        <v>90898</v>
      </c>
      <c r="L279" s="1674">
        <f>SUM(L238,L243,L257,L261,L270,L277,L278)</f>
        <v>87128</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215" t="s">
        <v>505</v>
      </c>
      <c r="B295" s="2216"/>
      <c r="C295" s="613"/>
      <c r="D295" s="1667">
        <f>SUM(D229,D279,D280,D285)</f>
        <v>131342</v>
      </c>
      <c r="E295" s="613"/>
      <c r="F295" s="613"/>
      <c r="G295" s="613"/>
      <c r="H295" s="1667">
        <f>H293</f>
        <v>0</v>
      </c>
      <c r="I295" s="613"/>
      <c r="J295" s="613"/>
      <c r="K295" s="1667">
        <f>SUM(K229,K279,K280,K285,K293,K294)</f>
        <v>131342</v>
      </c>
      <c r="L295" s="1667">
        <f>SUM(L229,L279,L280,L285,L293,L294)</f>
        <v>129994</v>
      </c>
    </row>
    <row r="296" spans="1:14" ht="13.5" thickTop="1" x14ac:dyDescent="0.2">
      <c r="A296" s="2197" t="s">
        <v>996</v>
      </c>
      <c r="B296" s="2198"/>
      <c r="C296" s="613"/>
      <c r="D296" s="615"/>
      <c r="E296" s="613"/>
      <c r="F296" s="613"/>
      <c r="G296" s="613"/>
      <c r="H296" s="684"/>
      <c r="I296" s="613"/>
      <c r="J296" s="613"/>
      <c r="K296" s="1681">
        <f>'Revenues 9-14'!G268-'Expenditures 15-22'!K295</f>
        <v>31970</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207" t="s">
        <v>143</v>
      </c>
      <c r="B298" s="2201"/>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0</v>
      </c>
      <c r="H301" s="466">
        <v>0</v>
      </c>
      <c r="I301" s="467">
        <v>0</v>
      </c>
      <c r="J301" s="467">
        <v>0</v>
      </c>
      <c r="K301" s="1668">
        <f>SUM(C301:J301)</f>
        <v>0</v>
      </c>
      <c r="L301" s="467">
        <v>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212" t="s">
        <v>277</v>
      </c>
      <c r="B312" s="2213"/>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662"/>
      <c r="N312" s="662"/>
    </row>
    <row r="313" spans="1:14" ht="13.5" thickTop="1" x14ac:dyDescent="0.2">
      <c r="A313" s="2208" t="s">
        <v>996</v>
      </c>
      <c r="B313" s="2209"/>
      <c r="C313" s="623"/>
      <c r="D313" s="623"/>
      <c r="E313" s="623"/>
      <c r="F313" s="623"/>
      <c r="G313" s="623"/>
      <c r="H313" s="623"/>
      <c r="I313" s="623"/>
      <c r="J313" s="623"/>
      <c r="K313" s="1682">
        <f>'Revenues 9-14'!H268-'Expenditures 15-22'!K312</f>
        <v>0</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221" t="s">
        <v>149</v>
      </c>
      <c r="B315" s="2222"/>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23" t="s">
        <v>898</v>
      </c>
      <c r="B317" s="2222"/>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33997</v>
      </c>
      <c r="F320" s="467">
        <v>0</v>
      </c>
      <c r="G320" s="467">
        <v>0</v>
      </c>
      <c r="H320" s="467">
        <v>0</v>
      </c>
      <c r="I320" s="467">
        <v>0</v>
      </c>
      <c r="J320" s="467">
        <v>0</v>
      </c>
      <c r="K320" s="1668">
        <f t="shared" ref="K320:K327" si="24">SUM(C320:J320)</f>
        <v>33997</v>
      </c>
      <c r="L320" s="467">
        <v>33997</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0</v>
      </c>
      <c r="M321" s="662"/>
      <c r="N321" s="662"/>
    </row>
    <row r="322" spans="1:14" s="671" customFormat="1" x14ac:dyDescent="0.2">
      <c r="A322" s="1516" t="s">
        <v>238</v>
      </c>
      <c r="B322" s="694" t="s">
        <v>284</v>
      </c>
      <c r="C322" s="467">
        <v>0</v>
      </c>
      <c r="D322" s="467">
        <v>0</v>
      </c>
      <c r="E322" s="467">
        <v>17201</v>
      </c>
      <c r="F322" s="467">
        <v>0</v>
      </c>
      <c r="G322" s="467">
        <v>0</v>
      </c>
      <c r="H322" s="467">
        <v>0</v>
      </c>
      <c r="I322" s="467">
        <v>0</v>
      </c>
      <c r="J322" s="467">
        <v>0</v>
      </c>
      <c r="K322" s="1668">
        <f t="shared" si="24"/>
        <v>17201</v>
      </c>
      <c r="L322" s="467">
        <v>17000</v>
      </c>
      <c r="M322" s="662"/>
      <c r="N322" s="662"/>
    </row>
    <row r="323" spans="1:14" s="671" customFormat="1" x14ac:dyDescent="0.2">
      <c r="A323" s="1516" t="s">
        <v>702</v>
      </c>
      <c r="B323" s="694" t="s">
        <v>285</v>
      </c>
      <c r="C323" s="467">
        <v>77366</v>
      </c>
      <c r="D323" s="467">
        <v>3606</v>
      </c>
      <c r="E323" s="467">
        <v>198</v>
      </c>
      <c r="F323" s="467">
        <v>0</v>
      </c>
      <c r="G323" s="467">
        <v>0</v>
      </c>
      <c r="H323" s="467">
        <v>0</v>
      </c>
      <c r="I323" s="467">
        <v>0</v>
      </c>
      <c r="J323" s="467">
        <v>0</v>
      </c>
      <c r="K323" s="1668">
        <f t="shared" si="24"/>
        <v>81170</v>
      </c>
      <c r="L323" s="467">
        <v>89827</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0</v>
      </c>
      <c r="D325" s="467">
        <v>0</v>
      </c>
      <c r="E325" s="467">
        <v>0</v>
      </c>
      <c r="F325" s="467">
        <v>0</v>
      </c>
      <c r="G325" s="467">
        <v>0</v>
      </c>
      <c r="H325" s="467">
        <v>0</v>
      </c>
      <c r="I325" s="467">
        <v>0</v>
      </c>
      <c r="J325" s="467">
        <v>0</v>
      </c>
      <c r="K325" s="1668">
        <f t="shared" si="24"/>
        <v>0</v>
      </c>
      <c r="L325" s="467">
        <v>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63</v>
      </c>
      <c r="F327" s="467">
        <v>0</v>
      </c>
      <c r="G327" s="467">
        <v>0</v>
      </c>
      <c r="H327" s="467">
        <v>0</v>
      </c>
      <c r="I327" s="467">
        <v>0</v>
      </c>
      <c r="J327" s="467">
        <v>0</v>
      </c>
      <c r="K327" s="1668">
        <f t="shared" si="24"/>
        <v>63</v>
      </c>
      <c r="L327" s="467">
        <v>2000</v>
      </c>
      <c r="M327" s="662"/>
      <c r="N327" s="662"/>
    </row>
    <row r="328" spans="1:14" s="671" customFormat="1" x14ac:dyDescent="0.2">
      <c r="A328" s="1517" t="s">
        <v>472</v>
      </c>
      <c r="B328" s="687" t="s">
        <v>1132</v>
      </c>
      <c r="C328" s="473">
        <v>0</v>
      </c>
      <c r="D328" s="473">
        <v>0</v>
      </c>
      <c r="E328" s="473">
        <v>18336</v>
      </c>
      <c r="F328" s="473">
        <v>0</v>
      </c>
      <c r="G328" s="473">
        <v>0</v>
      </c>
      <c r="H328" s="473">
        <v>0</v>
      </c>
      <c r="I328" s="473">
        <v>0</v>
      </c>
      <c r="J328" s="473">
        <v>0</v>
      </c>
      <c r="K328" s="1696">
        <f>SUM(C328:J328)</f>
        <v>18336</v>
      </c>
      <c r="L328" s="473">
        <v>18336</v>
      </c>
      <c r="M328" s="662"/>
      <c r="N328" s="662"/>
    </row>
    <row r="329" spans="1:14" s="671" customFormat="1" x14ac:dyDescent="0.2">
      <c r="A329" s="1517" t="s">
        <v>1133</v>
      </c>
      <c r="B329" s="687" t="s">
        <v>1134</v>
      </c>
      <c r="C329" s="473">
        <v>0</v>
      </c>
      <c r="D329" s="473">
        <v>0</v>
      </c>
      <c r="E329" s="473">
        <v>9261</v>
      </c>
      <c r="F329" s="473">
        <v>0</v>
      </c>
      <c r="G329" s="473">
        <v>0</v>
      </c>
      <c r="H329" s="473">
        <v>0</v>
      </c>
      <c r="I329" s="473">
        <v>0</v>
      </c>
      <c r="J329" s="473">
        <v>0</v>
      </c>
      <c r="K329" s="1696">
        <f>SUM(C329:J329)</f>
        <v>9261</v>
      </c>
      <c r="L329" s="473">
        <v>9261</v>
      </c>
      <c r="M329" s="662"/>
      <c r="N329" s="662"/>
    </row>
    <row r="330" spans="1:14" s="671" customFormat="1" ht="12.75" customHeight="1" thickBot="1" x14ac:dyDescent="0.25">
      <c r="A330" s="1697" t="s">
        <v>717</v>
      </c>
      <c r="B330" s="1666" t="s">
        <v>569</v>
      </c>
      <c r="C330" s="1667">
        <f>SUM(C319:C329)</f>
        <v>77366</v>
      </c>
      <c r="D330" s="1667">
        <f t="shared" ref="D330:J330" si="25">SUM(D319:D329)</f>
        <v>3606</v>
      </c>
      <c r="E330" s="1667">
        <f t="shared" si="25"/>
        <v>79056</v>
      </c>
      <c r="F330" s="1667">
        <f t="shared" si="25"/>
        <v>0</v>
      </c>
      <c r="G330" s="1667">
        <f t="shared" si="25"/>
        <v>0</v>
      </c>
      <c r="H330" s="1667">
        <f t="shared" si="25"/>
        <v>0</v>
      </c>
      <c r="I330" s="1667">
        <f t="shared" si="25"/>
        <v>0</v>
      </c>
      <c r="J330" s="1667">
        <f t="shared" si="25"/>
        <v>0</v>
      </c>
      <c r="K330" s="1667">
        <f>SUM(K319:K329)</f>
        <v>160028</v>
      </c>
      <c r="L330" s="1667">
        <f>SUM(L319:L329)</f>
        <v>170421</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77366</v>
      </c>
      <c r="D342" s="1667">
        <f>SUM(D330)</f>
        <v>3606</v>
      </c>
      <c r="E342" s="1667">
        <f>SUM(E330)</f>
        <v>79056</v>
      </c>
      <c r="F342" s="1667">
        <f>SUM(F330)</f>
        <v>0</v>
      </c>
      <c r="G342" s="1667">
        <f>SUM(G330)</f>
        <v>0</v>
      </c>
      <c r="H342" s="1667">
        <f>SUM(H330,H334,H340)</f>
        <v>0</v>
      </c>
      <c r="I342" s="1667">
        <f>SUM(I330)</f>
        <v>0</v>
      </c>
      <c r="J342" s="1667">
        <f>SUM(J330)</f>
        <v>0</v>
      </c>
      <c r="K342" s="1667">
        <f>SUM(K330,K334,K340)</f>
        <v>160028</v>
      </c>
      <c r="L342" s="1674">
        <f>SUM(L330,L340,L341)</f>
        <v>170421</v>
      </c>
    </row>
    <row r="343" spans="1:14" ht="12.75" customHeight="1" thickTop="1" x14ac:dyDescent="0.2">
      <c r="A343" s="2210" t="s">
        <v>996</v>
      </c>
      <c r="B343" s="2211"/>
      <c r="C343" s="613"/>
      <c r="D343" s="613"/>
      <c r="E343" s="613"/>
      <c r="F343" s="613"/>
      <c r="G343" s="613"/>
      <c r="H343" s="613"/>
      <c r="I343" s="613"/>
      <c r="J343" s="613"/>
      <c r="K343" s="1681">
        <f>'Revenues 9-14'!J268-'Expenditures 15-22'!K342</f>
        <v>99686</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200" t="s">
        <v>966</v>
      </c>
      <c r="B345" s="2201"/>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19682</v>
      </c>
      <c r="F349" s="466">
        <v>3211</v>
      </c>
      <c r="G349" s="466">
        <v>84207</v>
      </c>
      <c r="H349" s="466">
        <v>0</v>
      </c>
      <c r="I349" s="467">
        <v>0</v>
      </c>
      <c r="J349" s="467">
        <v>0</v>
      </c>
      <c r="K349" s="1668">
        <f>SUM(C349:J349)</f>
        <v>107100</v>
      </c>
      <c r="L349" s="466">
        <v>125000</v>
      </c>
    </row>
    <row r="350" spans="1:14" ht="12.75" customHeight="1" thickBot="1" x14ac:dyDescent="0.25">
      <c r="A350" s="1665" t="s">
        <v>719</v>
      </c>
      <c r="B350" s="1666" t="s">
        <v>35</v>
      </c>
      <c r="C350" s="1667">
        <f>SUM(C348:C349)</f>
        <v>0</v>
      </c>
      <c r="D350" s="1667">
        <f t="shared" ref="D350:L350" si="26">SUM(D348:D349)</f>
        <v>0</v>
      </c>
      <c r="E350" s="1667">
        <f t="shared" si="26"/>
        <v>19682</v>
      </c>
      <c r="F350" s="1667">
        <f t="shared" si="26"/>
        <v>3211</v>
      </c>
      <c r="G350" s="1667">
        <f t="shared" si="26"/>
        <v>84207</v>
      </c>
      <c r="H350" s="1667">
        <f t="shared" si="26"/>
        <v>0</v>
      </c>
      <c r="I350" s="1667">
        <f t="shared" si="26"/>
        <v>0</v>
      </c>
      <c r="J350" s="1667">
        <f t="shared" si="26"/>
        <v>0</v>
      </c>
      <c r="K350" s="1667">
        <f t="shared" si="26"/>
        <v>107100</v>
      </c>
      <c r="L350" s="1667">
        <f t="shared" si="26"/>
        <v>125000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19682</v>
      </c>
      <c r="F352" s="1667">
        <f t="shared" si="27"/>
        <v>3211</v>
      </c>
      <c r="G352" s="1667">
        <f t="shared" si="27"/>
        <v>84207</v>
      </c>
      <c r="H352" s="1667">
        <f t="shared" si="27"/>
        <v>0</v>
      </c>
      <c r="I352" s="1667">
        <f t="shared" si="27"/>
        <v>0</v>
      </c>
      <c r="J352" s="1667">
        <f t="shared" si="27"/>
        <v>0</v>
      </c>
      <c r="K352" s="1667">
        <f t="shared" si="27"/>
        <v>107100</v>
      </c>
      <c r="L352" s="1667">
        <f t="shared" si="27"/>
        <v>125000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19682</v>
      </c>
      <c r="F367" s="1667">
        <f t="shared" si="28"/>
        <v>3211</v>
      </c>
      <c r="G367" s="1667">
        <f t="shared" si="28"/>
        <v>84207</v>
      </c>
      <c r="H367" s="1667">
        <f t="shared" si="28"/>
        <v>0</v>
      </c>
      <c r="I367" s="1667">
        <f t="shared" si="28"/>
        <v>0</v>
      </c>
      <c r="J367" s="1667">
        <f t="shared" si="28"/>
        <v>0</v>
      </c>
      <c r="K367" s="1667">
        <f t="shared" si="28"/>
        <v>107100</v>
      </c>
      <c r="L367" s="1667">
        <f t="shared" si="28"/>
        <v>125000</v>
      </c>
    </row>
    <row r="368" spans="1:14" ht="13.5" thickTop="1" x14ac:dyDescent="0.2">
      <c r="A368" s="2197" t="s">
        <v>996</v>
      </c>
      <c r="B368" s="2198"/>
      <c r="C368" s="651"/>
      <c r="D368" s="651"/>
      <c r="E368" s="623"/>
      <c r="F368" s="623"/>
      <c r="G368" s="623"/>
      <c r="H368" s="623"/>
      <c r="I368" s="623"/>
      <c r="J368" s="620"/>
      <c r="K368" s="1668">
        <f>'Revenues 9-14'!K268-'Expenditures 15-22'!K367</f>
        <v>-60461</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3" right="0.15" top="0.86" bottom="0"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http://schemas.microsoft.com/office/2006/documentManagement/types"/>
    <ds:schemaRef ds:uri="http://schemas.microsoft.com/sharepoint/v3"/>
    <ds:schemaRef ds:uri="d21dc803-237d-4c68-8692-8d731fd29118"/>
    <ds:schemaRef ds:uri="http://purl.org/dc/elements/1.1/"/>
    <ds:schemaRef ds:uri="http://schemas.openxmlformats.org/package/2006/metadata/core-properties"/>
    <ds:schemaRef ds:uri="6ce3111e-7420-4802-b50a-75d4e9a0b980"/>
    <ds:schemaRef ds:uri="4d435f69-8686-490b-bd6d-b153bf22ab50"/>
    <ds:schemaRef ds:uri="http://www.w3.org/XML/1998/namespace"/>
    <ds:schemaRef ds:uri="http://schemas.microsoft.com/office/infopath/2007/PartnerControl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16</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Finding 2019-001</vt:lpstr>
      <vt:lpstr>Finding 2019-002</vt:lpstr>
      <vt:lpstr>SF&amp;QC Sec-2</vt:lpstr>
      <vt:lpstr>SF&amp;QC Sec-3</vt:lpstr>
      <vt:lpstr>SSPAF</vt:lpstr>
      <vt:lpstr>CAP 2019-001</vt:lpstr>
      <vt:lpstr>CAP 2019-002</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2019-10-07T13:38:46Z</cp:lastPrinted>
  <dcterms:created xsi:type="dcterms:W3CDTF">2003-10-29T19:06:34Z</dcterms:created>
  <dcterms:modified xsi:type="dcterms:W3CDTF">2019-11-21T17:12:54Z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