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48" i="127" l="1"/>
  <c r="D40"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D14" i="4" s="1"/>
  <c r="B2570" i="106" s="1"/>
  <c r="D2570"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K93" i="29"/>
  <c r="K94" i="29"/>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5" i="127"/>
  <c r="B56" i="127"/>
  <c r="D26" i="108"/>
  <c r="F26" i="108"/>
  <c r="D27" i="108"/>
  <c r="E27" i="108"/>
  <c r="F27" i="108"/>
  <c r="G27" i="108"/>
  <c r="E28" i="108"/>
  <c r="F28" i="108"/>
  <c r="F31" i="108"/>
  <c r="F36" i="108"/>
  <c r="F37" i="108"/>
  <c r="G28" i="108"/>
  <c r="D31" i="108"/>
  <c r="D36" i="108"/>
  <c r="D37" i="108"/>
  <c r="E31" i="108"/>
  <c r="G31"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D7" i="118"/>
  <c r="D8" i="118"/>
  <c r="D9" i="118"/>
  <c r="H14" i="118"/>
  <c r="H19" i="118"/>
  <c r="H24" i="118"/>
  <c r="D17" i="7"/>
  <c r="B4104" i="106" s="1"/>
  <c r="D4104" i="106" s="1"/>
  <c r="D24" i="37" l="1"/>
  <c r="B4270" i="106" s="1"/>
  <c r="D4270" i="106" s="1"/>
  <c r="J22" i="37"/>
  <c r="L5" i="11"/>
  <c r="B2056" i="106" s="1"/>
  <c r="D2056" i="106" s="1"/>
  <c r="D9" i="7"/>
  <c r="B1767" i="106" s="1"/>
  <c r="D1767" i="106" s="1"/>
  <c r="D54" i="36"/>
  <c r="L22" i="37"/>
  <c r="N22" i="3"/>
  <c r="B283" i="106" s="1"/>
  <c r="D283" i="106" s="1"/>
  <c r="B6995" i="106"/>
  <c r="D6995" i="106" s="1"/>
  <c r="G30" i="108"/>
  <c r="E30" i="108"/>
  <c r="F34" i="34"/>
  <c r="F36" i="34"/>
  <c r="F68" i="34"/>
  <c r="G34" i="108"/>
  <c r="G33" i="108"/>
  <c r="H28" i="118"/>
  <c r="D69" i="36"/>
  <c r="D68" i="36"/>
  <c r="E26" i="108"/>
  <c r="B3647" i="106"/>
  <c r="D3647" i="106" s="1"/>
  <c r="G29" i="108"/>
  <c r="B7047" i="106"/>
  <c r="D7047" i="106" s="1"/>
  <c r="G26" i="108"/>
  <c r="B1274" i="106"/>
  <c r="D1274" i="106" s="1"/>
  <c r="J41" i="3"/>
  <c r="B6216" i="106" s="1"/>
  <c r="D6216" i="106" s="1"/>
  <c r="B6289" i="106"/>
  <c r="D6289" i="106" s="1"/>
  <c r="K76" i="4"/>
  <c r="B3586" i="106" s="1"/>
  <c r="D3586" i="106" s="1"/>
  <c r="G35" i="108"/>
  <c r="F49" i="34"/>
  <c r="G38" i="108"/>
  <c r="J210" i="29"/>
  <c r="B7072" i="106" s="1"/>
  <c r="D7072" i="106" s="1"/>
  <c r="F42" i="34"/>
  <c r="E38" i="108"/>
  <c r="B2805" i="106"/>
  <c r="D2805" i="106" s="1"/>
  <c r="C129" i="29"/>
  <c r="B1225" i="106" s="1"/>
  <c r="D1225" i="106" s="1"/>
  <c r="F38" i="34"/>
  <c r="C342" i="29"/>
  <c r="B7216" i="106" s="1"/>
  <c r="D7216" i="106" s="1"/>
  <c r="G15" i="145"/>
  <c r="F44" i="34"/>
  <c r="E29" i="108"/>
  <c r="K41" i="3"/>
  <c r="H76" i="4"/>
  <c r="B3298" i="106" s="1"/>
  <c r="D3298" i="106" s="1"/>
  <c r="J77" i="4"/>
  <c r="B6262" i="106" s="1"/>
  <c r="D6262" i="106" s="1"/>
  <c r="D22" i="37"/>
  <c r="G210" i="29"/>
  <c r="B7235" i="106"/>
  <c r="D7235" i="106" s="1"/>
  <c r="B7231" i="106"/>
  <c r="D7231" i="106" s="1"/>
  <c r="I210" i="29"/>
  <c r="B7071" i="106" s="1"/>
  <c r="D7071" i="106" s="1"/>
  <c r="H33" i="118"/>
  <c r="D6103" i="106"/>
  <c r="D7245" i="106"/>
  <c r="H365" i="29"/>
  <c r="B7242" i="106" s="1"/>
  <c r="D7242" i="106" s="1"/>
  <c r="L367" i="29"/>
  <c r="H342" i="29"/>
  <c r="B7221" i="106" s="1"/>
  <c r="D7221" i="106" s="1"/>
  <c r="J129" i="29"/>
  <c r="B7038" i="106" s="1"/>
  <c r="D7038" i="106" s="1"/>
  <c r="L342" i="29"/>
  <c r="I129" i="29"/>
  <c r="B7037" i="106" s="1"/>
  <c r="D7037" i="106" s="1"/>
  <c r="H112" i="29"/>
  <c r="B7018" i="106" s="1"/>
  <c r="D7018" i="106" s="1"/>
  <c r="K184" i="29"/>
  <c r="F13" i="4" s="1"/>
  <c r="B2596" i="106" s="1"/>
  <c r="D2596" i="106" s="1"/>
  <c r="C352" i="29"/>
  <c r="B3621" i="106" s="1"/>
  <c r="D3621" i="106" s="1"/>
  <c r="B1308" i="106"/>
  <c r="D1308" i="106" s="1"/>
  <c r="E174" i="29"/>
  <c r="B1309" i="106" s="1"/>
  <c r="D1309" i="106" s="1"/>
  <c r="F77" i="4"/>
  <c r="B3255" i="106" s="1"/>
  <c r="D3255" i="106" s="1"/>
  <c r="B6261" i="106"/>
  <c r="D6261" i="106" s="1"/>
  <c r="L13" i="11"/>
  <c r="B2060" i="106" s="1"/>
  <c r="D2060" i="106" s="1"/>
  <c r="L15" i="11"/>
  <c r="B3459" i="106" s="1"/>
  <c r="D3459" i="106" s="1"/>
  <c r="I24" i="12"/>
  <c r="F19" i="7"/>
  <c r="B1807" i="106" s="1"/>
  <c r="D1807" i="106" s="1"/>
  <c r="B3254" i="106"/>
  <c r="D3254" i="106" s="1"/>
  <c r="D31" i="36"/>
  <c r="H29" i="118"/>
  <c r="D11" i="37"/>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4" i="106"/>
  <c r="D7256" i="106"/>
  <c r="D7251" i="106"/>
  <c r="D7250" i="106"/>
  <c r="D7253" i="106"/>
  <c r="F66" i="34"/>
  <c r="K28" i="118"/>
  <c r="O27" i="118" s="1"/>
  <c r="O29" i="118" s="1"/>
  <c r="N23" i="3"/>
  <c r="B284" i="106" s="1"/>
  <c r="D284" i="106" s="1"/>
  <c r="B1328" i="106"/>
  <c r="D1328" i="106" s="1"/>
  <c r="J151" i="29"/>
  <c r="B7052" i="106" s="1"/>
  <c r="D7052" i="106" s="1"/>
  <c r="K77" i="4"/>
  <c r="B3587" i="106" s="1"/>
  <c r="D3587" i="106" s="1"/>
  <c r="B1266" i="106"/>
  <c r="D1266" i="106" s="1"/>
  <c r="D51" i="36"/>
  <c r="D44" i="36"/>
  <c r="H77" i="4"/>
  <c r="B3299" i="106" s="1"/>
  <c r="D3299" i="106" s="1"/>
  <c r="B1317" i="106"/>
  <c r="D1317" i="106" s="1"/>
  <c r="G6" i="4"/>
  <c r="B2604" i="106" s="1"/>
  <c r="D2604" i="106" s="1"/>
  <c r="C151" i="29"/>
  <c r="B1226" i="106" s="1"/>
  <c r="D1226" i="106" s="1"/>
  <c r="B1365" i="106"/>
  <c r="D1365" i="106" s="1"/>
  <c r="F65" i="34"/>
  <c r="B1381" i="106"/>
  <c r="D1381" i="106" s="1"/>
  <c r="B5527" i="106"/>
  <c r="D5527" i="106" s="1"/>
  <c r="B3568" i="106"/>
  <c r="D3568" i="106" s="1"/>
  <c r="D52" i="36"/>
  <c r="I151" i="29"/>
  <c r="F59" i="34" s="1"/>
  <c r="B4435" i="106"/>
  <c r="D4435" i="106" s="1"/>
  <c r="B5770" i="106"/>
  <c r="D5770" i="106" s="1"/>
  <c r="K365" i="29"/>
  <c r="K16" i="4" s="1"/>
  <c r="J16" i="4"/>
  <c r="B6226" i="106" s="1"/>
  <c r="D6226" i="106" s="1"/>
  <c r="C367" i="29"/>
  <c r="B3622" i="106" s="1"/>
  <c r="D3622" i="106" s="1"/>
  <c r="L114" i="29"/>
  <c r="D7252" i="106"/>
  <c r="C114" i="29"/>
  <c r="B757" i="106" s="1"/>
  <c r="D757" i="106" s="1"/>
  <c r="K342" i="29"/>
  <c r="F13" i="34" s="1"/>
  <c r="F174" i="34"/>
  <c r="L16" i="11"/>
  <c r="B2061" i="106" s="1"/>
  <c r="D2061" i="106" s="1"/>
  <c r="I26" i="12"/>
  <c r="B7741" i="106" s="1"/>
  <c r="D7741" i="106" s="1"/>
  <c r="B1996" i="106"/>
  <c r="D1996"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051" i="106"/>
  <c r="D7051" i="106" s="1"/>
  <c r="K367" i="29"/>
  <c r="K368" i="29" s="1"/>
  <c r="B3681" i="106" s="1"/>
  <c r="D368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B3678" i="106"/>
  <c r="D3678" i="106" s="1"/>
  <c r="F8" i="4"/>
  <c r="F10" i="4" s="1"/>
  <c r="B4125" i="106" s="1"/>
  <c r="D4125" i="106" s="1"/>
  <c r="B6227" i="106"/>
  <c r="D6227" i="106" s="1"/>
  <c r="J20" i="4"/>
  <c r="B6230" i="106" s="1"/>
  <c r="D6230" i="106"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J78" i="4"/>
  <c r="J81"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78" i="4"/>
  <c r="B3239" i="106" s="1"/>
  <c r="D3239" i="106" s="1"/>
  <c r="D10" i="146"/>
  <c r="F8" i="146"/>
  <c r="B6263" i="106"/>
  <c r="D6263"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<sst xmlns="http://schemas.openxmlformats.org/spreadsheetml/2006/main" count="5155" uniqueCount="2140">
  <si>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</si>
  <si>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</si>
  <si>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</si>
  <si>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</si>
  <si>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</si>
  <si>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</si>
  <si>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</si>
  <si>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</si>
  <si>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</si>
  <si>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</si>
  <si>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</si>
  <si>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</si>
  <si>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</si>
  <si>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</si>
  <si>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</si>
  <si>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</si>
  <si>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</si>
  <si>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</si>
  <si>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</si>
  <si>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</si>
  <si>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</si>
  <si>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</si>
  <si>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</si>
  <si>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</si>
  <si>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</si>
  <si>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</si>
  <si>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</si>
  <si>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</si>
  <si>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</si>
  <si>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</si>
  <si>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</si>
  <si>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</si>
  <si>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</si>
  <si>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</si>
  <si>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</si>
  <si>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</si>
  <si>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</si>
  <si>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</si>
  <si>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</si>
  <si>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</si>
  <si>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</si>
  <si>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</si>
  <si>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</si>
  <si>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</si>
  <si>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</si>
  <si>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</si>
  <si>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</si>
  <si>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</si>
  <si>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</si>
  <si>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</si>
  <si>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</si>
  <si>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</si>
  <si>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</si>
  <si>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</si>
  <si>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</si>
  <si>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</si>
  <si>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</si>
  <si>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</si>
  <si>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</si>
  <si>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</si>
  <si>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</si>
  <si>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</si>
  <si>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</si>
  <si>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</si>
  <si>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</si>
  <si>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</si>
  <si>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</si>
  <si>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</si>
  <si>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</si>
  <si>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</si>
  <si>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</si>
  <si>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</si>
  <si>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</si>
  <si>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</si>
  <si>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</si>
  <si>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</si>
  <si>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</si>
  <si>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</si>
  <si>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</si>
  <si>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</si>
  <si>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</si>
  <si>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</si>
  <si>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</si>
  <si>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</si>
  <si>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</si>
  <si>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</si>
  <si>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</si>
  <si>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</si>
  <si>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</si>
  <si>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</si>
  <si>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</si>
  <si>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</si>
  <si>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</si>
  <si>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</si>
  <si>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</si>
  <si>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</si>
  <si>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</si>
  <si>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</si>
  <si>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</si>
  <si>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</si>
  <si>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</si>
  <si>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</si>
  <si>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</si>
  <si>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</si>
  <si>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</si>
  <si>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</si>
  <si>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</si>
  <si>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</si>
  <si>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</si>
  <si>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</si>
  <si>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</si>
  <si>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</si>
  <si>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</si>
  <si>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</si>
  <si>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</si>
  <si>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</si>
  <si>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</si>
  <si>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</si>
  <si>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</si>
  <si>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</si>
  <si>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</si>
  <si>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</si>
  <si>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</si>
  <si>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</si>
  <si>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</si>
  <si>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</si>
  <si>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</si>
  <si>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</si>
  <si>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</si>
  <si>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</si>
  <si>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</si>
  <si>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</si>
  <si>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</si>
  <si>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</si>
  <si>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</si>
  <si>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</si>
  <si>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</si>
  <si>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</si>
  <si>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</si>
  <si>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</si>
  <si>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</si>
  <si>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</si>
  <si>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</si>
  <si>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</si>
  <si>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</si>
  <si>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</si>
  <si>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</si>
  <si>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</si>
  <si>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</si>
  <si>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</si>
  <si>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</si>
  <si>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</si>
  <si>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</si>
  <si>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</si>
  <si>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</si>
  <si>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</si>
  <si>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</si>
  <si>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</si>
  <si>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</si>
  <si>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</si>
  <si>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</si>
  <si>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</si>
  <si>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</si>
  <si>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</si>
  <si>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</si>
  <si>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</si>
  <si>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</si>
  <si>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</si>
  <si>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</si>
  <si>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</si>
  <si>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</si>
  <si>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</si>
  <si>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</si>
  <si>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</si>
  <si>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</si>
  <si>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</si>
  <si>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</si>
  <si>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</si>
  <si>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</si>
  <si>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</si>
  <si>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</si>
  <si>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</si>
  <si>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</si>
  <si>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</si>
  <si>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</si>
  <si>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</si>
  <si>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</si>
  <si>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</si>
  <si>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</si>
  <si>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</si>
  <si>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</si>
  <si>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</si>
  <si>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</si>
  <si>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</si>
  <si>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</si>
  <si>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</si>
  <si>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</si>
  <si>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</si>
  <si>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</si>
  <si>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</si>
  <si>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</si>
  <si>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</si>
  <si>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</si>
  <si>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</si>
  <si>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</si>
  <si>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</si>
  <si>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</si>
  <si>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</si>
  <si>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</si>
  <si>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</si>
  <si>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</si>
  <si>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</si>
  <si>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</si>
  <si>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</si>
  <si>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</si>
  <si>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</si>
  <si>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</si>
  <si>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</si>
  <si>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</si>
  <si>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</si>
  <si>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</si>
  <si>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</si>
  <si>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</si>
  <si>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</si>
  <si>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</si>
  <si>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</si>
  <si>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</si>
  <si>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</si>
  <si>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</si>
  <si>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</si>
  <si>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</si>
  <si>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</si>
  <si>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</si>
  <si>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</si>
  <si>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</si>
  <si>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</si>
  <si>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</si>
  <si>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</si>
  <si>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</si>
  <si>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</si>
  <si>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</si>
  <si>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</si>
  <si>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</si>
  <si>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</si>
  <si>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</si>
  <si>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</si>
  <si>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</si>
  <si>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</si>
  <si>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</si>
  <si>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</si>
  <si>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</si>
  <si>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</si>
  <si>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</si>
  <si>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</si>
  <si>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</si>
  <si>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</si>
  <si>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</si>
  <si>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</si>
  <si>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</si>
  <si>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</si>
  <si>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</si>
  <si>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</si>
  <si>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</si>
  <si>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</si>
  <si>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</si>
  <si>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</si>
  <si>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</si>
  <si>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</si>
  <si>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</si>
  <si>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</si>
  <si>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</si>
  <si>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</si>
  <si>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</si>
  <si>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</si>
  <si>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</si>
  <si>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</si>
  <si>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</si>
  <si>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</si>
  <si>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</si>
  <si>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</si>
  <si>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</si>
  <si>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</si>
  <si>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</si>
  <si>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</si>
  <si>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</si>
  <si>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</si>
  <si>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</si>
  <si>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</si>
  <si>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</si>
  <si>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</si>
  <si>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</si>
  <si>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</si>
  <si>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</si>
  <si>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</si>
  <si>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</si>
  <si>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</si>
  <si>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</si>
  <si>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</si>
  <si>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</si>
  <si>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</si>
  <si>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</si>
  <si>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</si>
  <si>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</si>
  <si>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</si>
  <si>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</si>
  <si>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</si>
  <si>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</si>
  <si>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</si>
  <si>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</si>
  <si>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</si>
  <si>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</si>
  <si>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</si>
  <si>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</si>
  <si>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</si>
  <si>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</si>
  <si>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</si>
  <si>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</si>
  <si>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</si>
  <si>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</si>
  <si>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</si>
  <si>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</si>
  <si>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</si>
  <si>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</si>
  <si>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</si>
  <si>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</si>
  <si>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</si>
  <si>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</si>
  <si>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</si>
  <si>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</si>
  <si>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</si>
  <si>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</si>
  <si>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</si>
  <si>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</si>
  <si>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</si>
  <si>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</si>
  <si>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</si>
  <si>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</si>
  <si>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</si>
  <si>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</si>
  <si>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</si>
  <si>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</si>
  <si>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</si>
  <si>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</si>
  <si>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</si>
  <si>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</si>
  <si>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</si>
  <si>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</si>
  <si>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</si>
  <si>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</si>
  <si>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</si>
  <si>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</si>
  <si>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</si>
  <si>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</si>
  <si>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</si>
  <si>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</si>
  <si>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</si>
  <si>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</si>
  <si>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</si>
  <si>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</si>
  <si>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</si>
  <si>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</si>
  <si>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</si>
  <si>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</si>
  <si>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</si>
  <si>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</si>
  <si>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</si>
  <si>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</si>
  <si>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</si>
  <si>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</si>
  <si>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</si>
  <si>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</si>
  <si>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</si>
  <si>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</si>
  <si>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</si>
  <si>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</si>
  <si>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</si>
  <si>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</si>
  <si>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</si>
  <si>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</si>
  <si>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</si>
  <si>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</si>
  <si>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</si>
  <si>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</si>
  <si>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</si>
  <si>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</si>
  <si>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</si>
  <si>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</si>
  <si>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</si>
  <si>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</si>
  <si>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</si>
  <si>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</si>
  <si>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</si>
  <si>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</si>
  <si>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</si>
  <si>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</si>
  <si>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</si>
  <si>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</si>
  <si>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</si>
  <si>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</si>
  <si>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</si>
  <si>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</si>
  <si>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</si>
  <si>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</si>
  <si>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</si>
  <si>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</si>
  <si>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</si>
  <si>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</si>
  <si>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</si>
  <si>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</si>
  <si>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</si>
  <si>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</si>
  <si>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</si>
  <si>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</si>
  <si>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</si>
  <si>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</si>
  <si>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</si>
  <si>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</si>
  <si>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</si>
  <si>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</si>
  <si>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</si>
  <si>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</si>
  <si>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</si>
  <si>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</si>
  <si>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</si>
  <si>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</si>
  <si>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</si>
  <si>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</si>
  <si>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</si>
  <si>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</si>
  <si>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</si>
  <si>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</si>
  <si>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</si>
  <si>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</si>
  <si>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</si>
  <si>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</si>
  <si>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</si>
  <si>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</si>
  <si>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</si>
  <si>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</si>
  <si>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</si>
  <si>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</si>
  <si>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</si>
  <si>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</si>
  <si>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</si>
  <si>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</si>
  <si>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</si>
  <si>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</si>
  <si>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</si>
  <si>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</si>
  <si>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</si>
  <si>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</si>
  <si>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</si>
  <si>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</si>
  <si>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</si>
  <si>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</si>
  <si>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</si>
  <si>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</si>
  <si>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</si>
  <si>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</si>
  <si>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</si>
  <si>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</si>
  <si>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</si>
  <si>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</si>
  <si>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</si>
  <si>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</si>
  <si>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</si>
  <si>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</si>
  <si>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</si>
  <si>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</si>
  <si>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</si>
  <si>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</si>
  <si>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</si>
  <si>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</si>
  <si>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</si>
  <si>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</si>
  <si>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</si>
  <si>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</si>
  <si>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</si>
  <si>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</si>
  <si>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</si>
  <si>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</si>
  <si>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</si>
  <si>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</si>
  <si>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</si>
  <si>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</si>
  <si>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</si>
  <si>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</si>
  <si>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</si>
  <si>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</si>
  <si>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</si>
  <si>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</si>
  <si>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</si>
  <si>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</si>
  <si>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</si>
  <si>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</si>
  <si>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</si>
  <si>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</si>
  <si>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</si>
  <si>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</si>
  <si>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</si>
  <si>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</si>
  <si>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</si>
  <si>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</si>
  <si>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</si>
  <si>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</si>
  <si>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</si>
  <si>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</si>
  <si>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</si>
  <si>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</si>
  <si>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</si>
  <si>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</si>
  <si>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</si>
  <si>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</si>
  <si>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</si>
  <si>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</si>
  <si>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</si>
  <si>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</si>
  <si>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</si>
  <si>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</si>
  <si>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</si>
  <si>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</si>
  <si>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</si>
  <si>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</si>
  <si>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</si>
  <si>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</si>
  <si>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</si>
  <si>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</si>
  <si>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</si>
  <si>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</si>
  <si>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</si>
  <si>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</si>
  <si>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</si>
  <si>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</si>
  <si>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</si>
  <si>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</si>
  <si>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</si>
  <si>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</si>
  <si>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</si>
  <si>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</si>
  <si>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</si>
  <si>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</si>
  <si>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</si>
  <si>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</si>
  <si>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</si>
  <si>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</si>
  <si>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</si>
  <si>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</si>
  <si>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</si>
  <si>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</si>
  <si>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</si>
  <si>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</si>
  <si>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</si>
  <si>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</si>
  <si>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</si>
  <si>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</si>
  <si>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</si>
  <si>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</si>
  <si>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</si>
  <si>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</si>
  <si>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</si>
  <si>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</si>
  <si>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</si>
  <si>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</si>
  <si>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</si>
  <si>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</si>
  <si>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</si>
  <si>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</si>
  <si>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</si>
  <si>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</si>
  <si>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</si>
  <si>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</si>
  <si>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</si>
  <si>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</si>
  <si>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</si>
  <si>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</si>
  <si>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</si>
  <si>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</si>
  <si>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</si>
  <si>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</si>
  <si>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</si>
  <si>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</si>
  <si>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</si>
  <si>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</si>
  <si>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</si>
  <si>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</si>
  <si>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</si>
  <si>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</si>
  <si>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</si>
  <si>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</si>
  <si>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</si>
  <si>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</si>
  <si>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</si>
  <si>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</si>
  <si>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</si>
  <si>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</si>
  <si>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</si>
  <si>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</si>
  <si>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</si>
  <si>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</si>
  <si>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</si>
  <si>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</si>
  <si>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</si>
  <si>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</si>
  <si>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</si>
  <si>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</si>
  <si>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</si>
  <si>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</si>
  <si>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</si>
  <si>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</si>
  <si>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</si>
  <si>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</si>
  <si>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</si>
  <si>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</si>
  <si>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</si>
  <si>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</si>
  <si>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</si>
  <si>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</si>
  <si>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</si>
  <si>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</si>
  <si>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</si>
  <si>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</si>
  <si>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</si>
  <si>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</si>
  <si>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</si>
  <si>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</si>
  <si>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</si>
  <si>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</si>
  <si>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</si>
  <si>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</si>
  <si>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</si>
  <si>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</si>
  <si>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</si>
  <si>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</si>
  <si>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</si>
  <si>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</si>
  <si>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</si>
  <si>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</si>
  <si>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</si>
  <si>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</si>
  <si>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</si>
  <si>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</si>
  <si>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</si>
  <si>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</si>
  <si>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</si>
  <si>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</si>
  <si>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</si>
  <si>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</si>
  <si>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</si>
  <si>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</si>
  <si>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</si>
  <si>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</si>
  <si>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</si>
  <si>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</si>
  <si>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</si>
  <si>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</si>
  <si>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</si>
  <si>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</si>
  <si>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</si>
  <si>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</si>
  <si>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</si>
  <si>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</si>
  <si>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</si>
  <si>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</si>
  <si>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</si>
  <si>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</si>
  <si>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</si>
  <si>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</si>
  <si>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</si>
  <si>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</si>
  <si>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</si>
  <si>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</si>
  <si>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</si>
  <si>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</si>
  <si>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</si>
  <si>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</si>
  <si>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</si>
  <si>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</si>
  <si>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</si>
  <si>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</si>
  <si>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</si>
  <si>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</si>
  <si>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</si>
  <si>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</si>
  <si>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</si>
  <si>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</si>
  <si>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</si>
  <si>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</si>
  <si>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</si>
  <si>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</si>
  <si>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</si>
  <si>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</si>
  <si>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</si>
  <si>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</si>
  <si>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</si>
  <si>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</si>
  <si>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</si>
  <si>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</si>
  <si>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</si>
  <si>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</si>
  <si>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</si>
  <si>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</si>
  <si>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</si>
  <si>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</si>
  <si>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</si>
  <si>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</si>
  <si>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</si>
  <si>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</si>
  <si>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</si>
  <si>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</si>
  <si>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</si>
  <si>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</si>
  <si>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</si>
  <si>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</si>
  <si>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</si>
  <si>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</si>
  <si>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</si>
  <si>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</si>
  <si>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</si>
  <si>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</si>
  <si>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</si>
  <si>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</si>
  <si>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</si>
  <si>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</si>
  <si>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</si>
  <si>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</si>
  <si>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</si>
  <si>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</si>
  <si>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</si>
  <si>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</si>
  <si>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</si>
  <si>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</si>
  <si>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</si>
  <si>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</si>
  <si>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</si>
  <si>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</si>
  <si>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</si>
  <si>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</si>
  <si>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</si>
  <si>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</si>
  <si>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</si>
  <si>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</si>
  <si>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</si>
  <si>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</si>
  <si>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</si>
  <si>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</si>
  <si>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</si>
  <si>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</si>
  <si>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</si>
  <si>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</si>
  <si>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</si>
  <si>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</si>
  <si>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</si>
  <si>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</si>
  <si>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</si>
  <si>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</si>
  <si>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</si>
  <si>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</si>
  <si>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</si>
  <si>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</si>
  <si>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</si>
  <si>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</si>
  <si>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</si>
  <si>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</si>
  <si>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</si>
  <si>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</si>
  <si>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</si>
  <si>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</si>
  <si>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</si>
  <si>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</si>
  <si>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</si>
  <si>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</si>
  <si>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</si>
  <si>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</si>
  <si>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</si>
  <si>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</si>
  <si>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</si>
  <si>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</si>
  <si>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</si>
  <si>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</si>
  <si>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</si>
  <si>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</si>
  <si>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</si>
  <si>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</si>
  <si>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</si>
  <si>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</si>
  <si>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</si>
  <si>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</si>
  <si>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</si>
  <si>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</si>
  <si>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</si>
  <si>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</si>
  <si>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</si>
  <si>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</si>
  <si>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</si>
  <si>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</si>
  <si>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</si>
  <si>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</si>
  <si>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</si>
  <si>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</si>
  <si>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</si>
  <si>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</si>
  <si>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</si>
  <si>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</si>
  <si>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</si>
  <si>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</si>
  <si>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</si>
  <si>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</si>
  <si>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</si>
  <si>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</si>
  <si>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</si>
  <si>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</si>
  <si>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</si>
  <si>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</si>
  <si>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</si>
  <si>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</si>
  <si>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</si>
  <si>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</si>
  <si>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</si>
  <si>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</si>
  <si>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</si>
  <si>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</si>
  <si>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</si>
  <si>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</si>
  <si>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</si>
  <si>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</si>
  <si>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</si>
  <si>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</si>
  <si>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</si>
  <si>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</si>
  <si>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</si>
  <si>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</si>
  <si>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</si>
  <si>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</si>
  <si>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</si>
  <si>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</si>
  <si>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</si>
  <si>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</si>
  <si>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</si>
  <si>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</si>
  <si>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</si>
  <si>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</si>
  <si>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</si>
  <si>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</si>
  <si>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</si>
  <si>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</si>
  <si>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</si>
  <si>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</si>
  <si>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</si>
  <si>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</si>
  <si>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</si>
  <si>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</si>
  <si>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</si>
  <si>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</si>
  <si>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</si>
  <si>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</si>
  <si>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</si>
  <si>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</si>
  <si>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</si>
  <si>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</si>
  <si>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</si>
  <si>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</si>
  <si>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</si>
  <si>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</si>
  <si>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</si>
  <si>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</si>
  <si>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</si>
  <si>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</si>
  <si>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</si>
  <si>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</si>
  <si>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</si>
  <si>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</si>
  <si>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</si>
  <si>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</si>
  <si>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</si>
  <si>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</si>
  <si>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</si>
  <si>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</si>
  <si>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</si>
  <si>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</si>
  <si>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</si>
  <si>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</si>
  <si>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</si>
  <si>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</si>
  <si>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</si>
  <si>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</si>
  <si>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</si>
  <si>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</si>
  <si>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</si>
  <si>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</si>
  <si>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</si>
  <si>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</si>
  <si>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</si>
  <si>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</si>
  <si>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</si>
  <si>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</si>
  <si>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</si>
  <si>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</si>
  <si>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</si>
  <si>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</si>
  <si>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</si>
  <si>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</si>
  <si>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</si>
  <si>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</si>
  <si>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</si>
  <si>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</si>
  <si>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</si>
  <si>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</si>
  <si>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</si>
  <si>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</si>
  <si>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</si>
  <si>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</si>
  <si>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</si>
  <si>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</si>
  <si>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</si>
  <si>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</si>
  <si>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</si>
  <si>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</si>
  <si>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</si>
  <si>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</si>
  <si>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</si>
  <si>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</si>
  <si>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</si>
  <si>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</si>
  <si>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</si>
  <si>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</si>
  <si>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</si>
  <si>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</si>
  <si>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</si>
  <si>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</si>
  <si>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</si>
  <si>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</si>
  <si>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</si>
  <si>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</si>
  <si>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</si>
  <si>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</si>
  <si>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</si>
  <si>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</si>
  <si>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</si>
  <si>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</si>
  <si>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</si>
  <si>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</si>
  <si>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</si>
  <si>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</si>
  <si>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</si>
  <si>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</si>
  <si>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</si>
  <si>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</si>
  <si>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</si>
  <si>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</si>
  <si>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</si>
  <si>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</si>
  <si>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</si>
  <si>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</si>
  <si>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</si>
  <si>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</si>
  <si>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</si>
  <si>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</si>
  <si>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</si>
  <si>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</si>
  <si>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</si>
  <si>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</si>
  <si>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</si>
  <si>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</si>
  <si>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</si>
  <si>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</si>
  <si>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</si>
  <si>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</si>
  <si>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</si>
  <si>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</si>
  <si>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</si>
  <si>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</si>
  <si>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</si>
  <si>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</si>
  <si>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</si>
  <si>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</si>
  <si>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</si>
  <si>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</si>
  <si>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</si>
  <si>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</si>
  <si>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</si>
  <si>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</si>
  <si>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</si>
  <si>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</si>
  <si>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</si>
  <si>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</si>
  <si>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</si>
  <si>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</si>
  <si>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</si>
  <si>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</si>
  <si>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</si>
  <si>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</si>
  <si>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</si>
  <si>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</si>
  <si>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</si>
  <si>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</si>
  <si>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</si>
  <si>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</si>
  <si>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</si>
  <si>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</si>
  <si>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</si>
  <si>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</si>
  <si>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</si>
  <si>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</si>
  <si>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</si>
  <si>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</si>
  <si>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</si>
  <si>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</si>
  <si>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</si>
  <si>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</si>
  <si>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</si>
  <si>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</si>
  <si>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</si>
  <si>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</si>
  <si>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</si>
  <si>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</si>
  <si>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</si>
  <si>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</si>
  <si>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</si>
  <si>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</si>
  <si>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</si>
  <si>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</si>
  <si>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</si>
  <si>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</si>
  <si>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</si>
  <si>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</si>
  <si>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</si>
  <si>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</si>
  <si>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</si>
  <si>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</si>
  <si>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</si>
  <si>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</si>
  <si>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</si>
  <si>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</si>
  <si>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</si>
  <si>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</si>
  <si>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</si>
  <si>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</si>
  <si>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</si>
  <si>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</si>
  <si>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</si>
  <si>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</si>
  <si>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</si>
  <si>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</si>
  <si>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</si>
  <si>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</si>
  <si>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</si>
  <si>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</si>
  <si>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</si>
  <si>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</si>
  <si>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</si>
  <si>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</si>
  <si>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</si>
  <si>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</si>
  <si>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</si>
  <si>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</si>
  <si>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</si>
  <si>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</si>
  <si>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</si>
  <si>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</si>
  <si>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</si>
  <si>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</si>
  <si>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</si>
  <si>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</si>
  <si>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</si>
  <si>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</si>
  <si>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</si>
  <si>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</si>
  <si>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</si>
  <si>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</si>
  <si>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</si>
  <si>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</si>
  <si>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</si>
  <si>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</si>
  <si>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</si>
  <si>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</si>
  <si>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</si>
  <si>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</si>
  <si>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</si>
  <si>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</si>
  <si>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</si>
  <si>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</si>
  <si>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</si>
  <si>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</si>
  <si>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</si>
  <si>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</si>
  <si>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</si>
  <si>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</si>
  <si>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</si>
  <si>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</si>
  <si>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</si>
  <si>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</si>
  <si>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</si>
  <si>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</si>
  <si>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</si>
  <si>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</si>
  <si>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</si>
  <si>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</si>
  <si>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</si>
  <si>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</si>
  <si>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</si>
  <si>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</si>
  <si>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</si>
  <si>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</si>
  <si>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</si>
  <si>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</si>
  <si>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</si>
  <si>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</si>
  <si>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</si>
  <si>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</si>
  <si>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</si>
  <si>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</si>
  <si>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</si>
  <si>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</si>
  <si>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</si>
  <si>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</si>
  <si>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</si>
  <si>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</si>
  <si>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</si>
  <si>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</si>
  <si>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</si>
  <si>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</si>
  <si>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</si>
  <si>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</si>
  <si>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</si>
  <si>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</si>
  <si>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</si>
  <si>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</si>
  <si>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</si>
  <si>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</si>
  <si>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</si>
  <si>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</si>
  <si>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</si>
  <si>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</si>
  <si>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</si>
  <si>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</si>
  <si>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</si>
  <si>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</si>
  <si>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</si>
  <si>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</si>
  <si>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</si>
  <si>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</si>
  <si>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</si>
  <si>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</si>
  <si>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</si>
  <si>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</si>
  <si>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</si>
  <si>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</si>
  <si>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</si>
  <si>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</si>
  <si>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</si>
  <si>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</si>
  <si>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</si>
  <si>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</si>
  <si>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</si>
  <si>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</si>
  <si>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</si>
  <si>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</si>
  <si>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</si>
  <si>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</si>
  <si>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</si>
  <si>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</si>
  <si>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</si>
  <si>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</si>
  <si>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</si>
  <si>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</si>
  <si>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</si>
  <si>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</si>
  <si>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</si>
  <si>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</si>
  <si>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</si>
  <si>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</si>
  <si>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</si>
  <si>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</si>
  <si>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</si>
  <si>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</si>
  <si>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</si>
  <si>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</si>
  <si>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</si>
  <si>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</si>
  <si>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</si>
  <si>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</si>
  <si>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</si>
  <si>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</si>
  <si>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</si>
  <si>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</si>
  <si>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</si>
  <si>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</si>
  <si>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</si>
  <si>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</si>
  <si>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</si>
  <si>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</si>
  <si>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</si>
  <si>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</si>
  <si>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</si>
  <si>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</si>
  <si>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</si>
  <si>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</si>
  <si>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</si>
  <si>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</si>
  <si>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</si>
  <si>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</si>
  <si>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</si>
  <si>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</si>
  <si>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</si>
  <si>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</si>
  <si>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</si>
  <si>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</si>
  <si>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</si>
  <si>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</si>
  <si>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</si>
  <si>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</si>
  <si>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</si>
  <si>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</si>
  <si>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</si>
  <si>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</si>
  <si>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</si>
  <si>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</si>
  <si>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</si>
  <si>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</si>
  <si>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</si>
  <si>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</si>
  <si>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</si>
  <si>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</si>
  <si>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</si>
  <si>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</si>
  <si>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</si>
  <si>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</si>
  <si>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</si>
  <si>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</si>
  <si>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</si>
  <si>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</si>
  <si>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</si>
  <si>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</si>
  <si>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</si>
  <si>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</si>
  <si>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</si>
  <si>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</si>
  <si>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</si>
  <si>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</si>
  <si>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</si>
  <si>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</si>
  <si>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</si>
  <si>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</si>
  <si>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</si>
  <si>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</si>
  <si>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</si>
  <si>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</si>
  <si>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</si>
  <si>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</si>
  <si>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</si>
  <si>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</si>
  <si>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</si>
  <si>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</si>
  <si>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</si>
  <si>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</si>
  <si>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</si>
  <si>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</si>
  <si>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</si>
  <si>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</si>
  <si>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</si>
  <si>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</si>
  <si>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</si>
  <si>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</si>
  <si>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</si>
  <si>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</si>
  <si>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</si>
  <si>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</si>
  <si>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</si>
  <si>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</si>
  <si>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</si>
  <si>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</si>
  <si>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</si>
  <si>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</si>
  <si>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</si>
  <si>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</si>
  <si>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</si>
  <si>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</si>
  <si>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</si>
  <si>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</si>
  <si>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</si>
  <si>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</si>
  <si>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</si>
  <si>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</si>
  <si>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</si>
  <si>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</si>
  <si>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</si>
  <si>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</si>
  <si>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</si>
  <si>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</si>
  <si>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</si>
  <si>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</si>
  <si>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</si>
  <si>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</si>
  <si>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</si>
  <si>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</si>
  <si>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</si>
  <si>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</si>
  <si>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</si>
  <si>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</si>
  <si>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</si>
  <si>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</si>
  <si>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</si>
  <si>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</si>
  <si>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</si>
  <si>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</si>
  <si>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</si>
  <si>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</si>
  <si>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</si>
  <si>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</si>
  <si>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</si>
  <si>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</si>
  <si>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</si>
  <si>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</si>
  <si>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</si>
  <si>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</si>
  <si>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</si>
  <si>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</si>
  <si>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</si>
  <si>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</si>
  <si>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</si>
  <si>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</si>
  <si>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</si>
  <si>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</si>
  <si>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</si>
  <si>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</si>
  <si>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</si>
  <si>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</si>
  <si>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</si>
  <si>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</si>
  <si>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</si>
  <si>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</si>
  <si>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</si>
  <si>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</si>
  <si>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</si>
  <si>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</si>
  <si>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</si>
  <si>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</si>
  <si>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</si>
  <si>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</si>
  <si>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</si>
  <si>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</si>
  <si>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</si>
  <si>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</si>
  <si>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</si>
  <si>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</si>
  <si>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</si>
  <si>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</si>
  <si>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</si>
  <si>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</si>
  <si>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</si>
  <si>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</si>
  <si>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</si>
  <si>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</si>
  <si>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</si>
  <si>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</si>
  <si>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</si>
  <si>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</si>
  <si>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</si>
  <si>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</si>
  <si>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</si>
  <si>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</si>
  <si>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</si>
  <si>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</si>
  <si>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</si>
  <si>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</si>
  <si>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</si>
  <si>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</si>
  <si>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</si>
  <si>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</si>
  <si>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</si>
  <si>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</si>
  <si>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</si>
  <si>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</si>
  <si>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</si>
  <si>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</si>
  <si>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</si>
  <si>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</si>
  <si>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</si>
  <si>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</si>
  <si>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</si>
  <si>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</si>
  <si>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</si>
  <si>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</si>
  <si>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</si>
  <si>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</si>
  <si>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</si>
  <si>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</si>
  <si>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</si>
  <si>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</si>
  <si>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</si>
  <si>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</si>
  <si>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</si>
  <si>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</si>
  <si>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</si>
  <si>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</si>
  <si>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</si>
  <si>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</si>
  <si>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</si>
  <si>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</si>
  <si>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</si>
  <si>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</si>
  <si>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</si>
  <si>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</si>
  <si>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</si>
  <si>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</si>
  <si>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</si>
  <si>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</si>
  <si>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</si>
  <si>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</si>
  <si>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</si>
  <si>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</si>
  <si>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</si>
  <si>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</si>
  <si>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</si>
  <si>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</si>
  <si>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</si>
  <si>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</si>
  <si>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</si>
  <si>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</si>
  <si>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</si>
  <si>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</si>
  <si>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</si>
  <si>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</si>
  <si>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</si>
  <si>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</si>
  <si>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</si>
  <si>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</si>
  <si>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</si>
  <si>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</si>
  <si>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</si>
  <si>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</si>
  <si>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</si>
  <si>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</si>
  <si>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</si>
  <si>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</si>
  <si>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</si>
  <si>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</si>
  <si>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</si>
  <si>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</si>
  <si>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</si>
  <si>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</si>
  <si>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</si>
  <si>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</si>
  <si>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</si>
  <si>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</si>
  <si>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</si>
  <si>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</si>
  <si>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</si>
  <si>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</si>
  <si>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</si>
  <si>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</si>
  <si>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</si>
  <si>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</si>
  <si>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</si>
  <si>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</si>
  <si>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</si>
  <si>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</si>
  <si>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</si>
  <si>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</si>
  <si>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</si>
  <si>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</si>
  <si>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</si>
  <si>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</si>
  <si>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</si>
  <si>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</si>
  <si>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</si>
  <si>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</si>
  <si>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</si>
  <si>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</si>
  <si>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</si>
  <si>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</si>
  <si>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</si>
  <si>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</si>
  <si>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</si>
  <si>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</si>
  <si>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</si>
  <si>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</si>
  <si>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</si>
  <si>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</si>
  <si>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</si>
  <si>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</si>
  <si>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</si>
  <si>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</si>
  <si>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</si>
  <si>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</si>
  <si>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</si>
  <si>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</si>
  <si>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</si>
  <si>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</si>
  <si>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</si>
  <si>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</si>
  <si>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</si>
  <si>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</si>
  <si>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</si>
  <si>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</si>
  <si>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</si>
  <si>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</si>
  <si>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</si>
  <si>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</si>
  <si>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</si>
  <si>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</si>
  <si>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</si>
  <si>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</si>
  <si>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</si>
  <si>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</si>
  <si>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</si>
  <si>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</si>
  <si>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</si>
  <si>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</si>
  <si>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</si>
  <si>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</si>
  <si>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</si>
  <si>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</si>
  <si>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</si>
  <si>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</si>
  <si>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</si>
  <si>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</si>
  <si>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</si>
  <si>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</si>
  <si>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</si>
  <si>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</si>
  <si>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</si>
  <si>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</si>
  <si>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</si>
  <si>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</si>
  <si>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</si>
  <si>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</si>
  <si>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</si>
  <si>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</si>
  <si>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</si>
  <si>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</si>
  <si>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</si>
  <si>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</si>
  <si>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</si>
  <si>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</si>
  <si>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</si>
  <si>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</si>
  <si>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</si>
  <si>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</si>
  <si>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</si>
  <si>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</si>
  <si>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</si>
  <si>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</si>
  <si>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</si>
  <si>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</si>
  <si>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</si>
  <si>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</si>
  <si>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</si>
  <si>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</si>
  <si>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</si>
  <si>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</si>
  <si>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</si>
  <si>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</si>
  <si>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</si>
  <si>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</si>
  <si>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</si>
  <si>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</si>
  <si>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</si>
  <si>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</si>
  <si>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</si>
  <si>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</si>
  <si>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</si>
  <si>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</si>
  <si>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</si>
  <si>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</si>
  <si>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</si>
  <si>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</si>
  <si>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</si>
  <si>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</si>
  <si>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</si>
  <si>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</si>
  <si>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</si>
  <si>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</si>
  <si>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</si>
  <si>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</si>
  <si>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</si>
  <si>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</si>
  <si>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</si>
  <si>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</si>
  <si>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</si>
  <si>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</si>
  <si>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</si>
  <si>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</si>
  <si>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</si>
  <si>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</si>
  <si>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</si>
  <si>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</si>
  <si>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</si>
  <si>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</si>
  <si>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</si>
  <si>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</si>
  <si>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</si>
  <si>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</si>
  <si>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</si>
  <si>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</si>
  <si>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</si>
  <si>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</si>
  <si>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</si>
  <si>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</si>
  <si>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</si>
  <si>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</si>
  <si>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</si>
  <si>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</si>
  <si>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</si>
  <si>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</si>
  <si>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</si>
  <si>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</si>
  <si>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</si>
  <si>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</si>
  <si>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</si>
  <si>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</si>
  <si>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</si>
  <si>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</si>
  <si>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</si>
  <si>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</si>
  <si>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</si>
  <si>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</si>
  <si>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</si>
  <si>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</si>
  <si>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</si>
  <si>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</si>
  <si>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</si>
  <si>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</si>
  <si>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</si>
  <si>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</si>
  <si>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</si>
  <si>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</si>
  <si>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</si>
  <si>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</si>
  <si>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</si>
  <si>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</si>
  <si>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</si>
  <si>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</si>
  <si>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</si>
  <si>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</si>
  <si>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</si>
  <si>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</si>
  <si>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</si>
  <si>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</si>
  <si>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</si>
  <si>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</si>
  <si>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</si>
  <si>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</si>
  <si>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</si>
  <si>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</si>
  <si>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</si>
  <si>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</si>
  <si>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</si>
  <si>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</si>
  <si>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</si>
  <si>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</si>
  <si>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</si>
  <si>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</si>
  <si>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</si>
  <si>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</si>
  <si>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</si>
  <si>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</si>
  <si>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</si>
  <si>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</si>
  <si>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</si>
  <si>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</si>
  <si>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</si>
  <si>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</si>
  <si>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</si>
  <si>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</si>
  <si>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</si>
  <si>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</si>
  <si>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</si>
  <si>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</si>
  <si>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</si>
  <si>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</si>
  <si>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</si>
  <si>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</si>
  <si>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</si>
  <si>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</si>
  <si>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</si>
  <si>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</si>
  <si>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</si>
  <si>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</si>
  <si>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</si>
  <si>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</si>
  <si>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</si>
  <si>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</si>
  <si>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</si>
  <si>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</si>
  <si>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</si>
  <si>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</si>
  <si>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</si>
  <si>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</si>
  <si>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</si>
  <si>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</si>
  <si>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</si>
  <si>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</si>
  <si>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</si>
  <si>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</si>
  <si>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</si>
  <si>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</si>
  <si>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</si>
  <si>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</si>
  <si>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</si>
  <si>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</si>
  <si>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</si>
  <si>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</si>
  <si>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</si>
  <si>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</si>
  <si>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</si>
  <si>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</si>
  <si>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</si>
  <si>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</si>
  <si>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</si>
  <si>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</si>
  <si>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</si>
  <si>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</si>
  <si>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</si>
  <si>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</si>
  <si>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</si>
  <si>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</si>
  <si>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</si>
  <si>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</si>
  <si>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</si>
  <si>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</si>
  <si>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</si>
  <si>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</si>
  <si>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</si>
  <si>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</si>
  <si>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</si>
  <si>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</si>
  <si>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</si>
  <si>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</si>
  <si>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</si>
  <si>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</si>
  <si>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</si>
  <si>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</si>
  <si>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</si>
  <si>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</si>
  <si>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</si>
  <si>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</si>
  <si>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</si>
  <si>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</si>
  <si>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</si>
  <si>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</si>
  <si>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</si>
  <si>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</si>
  <si>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</si>
  <si>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</si>
  <si>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</si>
  <si>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</si>
  <si>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</si>
  <si>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</si>
  <si>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</si>
  <si>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</si>
  <si>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</si>
  <si>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</si>
  <si>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</si>
  <si>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</si>
  <si>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</si>
  <si>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</si>
  <si>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</si>
  <si>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</si>
  <si>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</si>
  <si>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</si>
  <si>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</si>
  <si>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</si>
  <si>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</si>
  <si>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</si>
  <si>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</si>
  <si>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</si>
  <si>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</si>
  <si>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</si>
  <si>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</si>
  <si>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</si>
  <si>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</si>
  <si>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</si>
  <si>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</si>
  <si>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</si>
  <si>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</si>
  <si>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</si>
  <si>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</si>
  <si>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</si>
  <si>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</si>
  <si>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</si>
  <si>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</si>
  <si>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</si>
  <si>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</si>
  <si>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</si>
  <si>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</si>
  <si>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</si>
  <si>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</si>
  <si>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</si>
  <si>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</si>
  <si>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</si>
  <si>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</si>
  <si>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</si>
  <si>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</si>
  <si>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</si>
  <si>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</si>
  <si>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</si>
  <si>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</si>
  <si>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</si>
  <si>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</si>
  <si>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</si>
  <si>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</si>
  <si>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</si>
  <si>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</si>
  <si>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</si>
  <si>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</si>
  <si>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</si>
  <si>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</si>
  <si>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</si>
  <si>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</si>
  <si>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</si>
  <si>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</si>
  <si>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</si>
  <si>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</si>
  <si>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</si>
  <si>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</si>
  <si>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</si>
  <si>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</si>
  <si>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</si>
  <si>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</si>
  <si>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</si>
  <si>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</si>
  <si>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</si>
  <si>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</si>
  <si>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</si>
  <si>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</si>
  <si>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</si>
  <si>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</si>
  <si>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</si>
  <si>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</si>
  <si>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</si>
  <si>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</si>
  <si>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</si>
  <si>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</si>
  <si>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</si>
  <si>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</si>
  <si>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</si>
  <si>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</si>
  <si>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</si>
  <si>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</si>
  <si>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</si>
  <si>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</si>
  <si>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</si>
  <si>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</si>
  <si>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</si>
  <si>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</si>
  <si>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</si>
  <si>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</si>
  <si>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</si>
  <si>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</si>
  <si>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</si>
  <si>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</si>
  <si>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</si>
  <si>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</si>
  <si>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</si>
  <si>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</si>
  <si>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</si>
  <si>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</si>
  <si>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</si>
  <si>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</si>
  <si>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</si>
  <si>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</si>
  <si>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</si>
  <si>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</si>
  <si>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</si>
  <si>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</si>
  <si>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</si>
  <si>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</si>
  <si>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</si>
  <si>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</si>
  <si>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</si>
  <si>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</si>
  <si>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</si>
  <si>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</si>
  <si>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</si>
  <si>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</si>
  <si>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</si>
  <si>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</si>
  <si>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</si>
  <si>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</si>
  <si>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</si>
  <si>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</si>
  <si>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</si>
  <si>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</si>
  <si>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</si>
  <si>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</si>
  <si>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</si>
  <si>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</si>
  <si>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</si>
  <si>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</si>
  <si>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</si>
  <si>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</si>
  <si>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</si>
  <si>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</si>
  <si>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</si>
  <si>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</si>
  <si>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</si>
  <si>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</si>
  <si>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</si>
  <si>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</si>
  <si>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</si>
  <si>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</si>
  <si>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</si>
  <si>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</si>
  <si>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</si>
  <si>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</si>
  <si>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</si>
  <si>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</si>
  <si>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</si>
  <si>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</si>
  <si>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</si>
  <si>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</si>
  <si>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</si>
  <si>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</si>
  <si>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</si>
  <si>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</si>
  <si>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</si>
  <si>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</si>
  <si>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</si>
  <si>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</si>
  <si>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</si>
  <si>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</si>
  <si>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</si>
  <si>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</si>
  <si>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</si>
  <si>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</si>
  <si>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</si>
  <si>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</si>
  <si>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</si>
  <si>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</si>
  <si>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</si>
  <si>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</si>
  <si>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</si>
  <si>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</si>
  <si>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</si>
  <si>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</si>
  <si>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</si>
  <si>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</si>
  <si>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</si>
  <si>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</si>
  <si>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</si>
  <si>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</si>
  <si>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</si>
  <si>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</si>
  <si>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</si>
  <si>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</si>
  <si>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</si>
  <si>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</si>
  <si>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</si>
  <si>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</si>
  <si>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</si>
  <si>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</si>
  <si>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</si>
  <si>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</si>
  <si>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</si>
  <si>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</si>
  <si>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</si>
  <si>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</si>
  <si>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</si>
  <si>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</si>
  <si>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</si>
  <si>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</si>
  <si>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</si>
  <si>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</si>
  <si>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</si>
  <si>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</si>
  <si>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</si>
  <si>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</si>
  <si>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</si>
  <si>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</si>
  <si>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</si>
  <si>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</si>
  <si>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</si>
  <si>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</si>
  <si>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</si>
  <si>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</si>
  <si>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</si>
  <si>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</si>
  <si>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</si>
  <si>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</si>
  <si>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</si>
  <si>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</si>
  <si>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</si>
  <si>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</si>
  <si>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</si>
  <si>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</si>
  <si>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</si>
  <si>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</si>
  <si>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</si>
  <si>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</si>
  <si>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</si>
  <si>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</si>
  <si>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</si>
  <si>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</si>
  <si>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</si>
  <si>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</si>
  <si>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</si>
  <si>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</si>
  <si>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</si>
  <si>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</si>
  <si>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</si>
  <si>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</si>
  <si>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</si>
  <si>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</si>
  <si>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</si>
  <si>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</si>
  <si>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</si>
  <si>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</si>
  <si>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</si>
  <si>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</si>
  <si>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</si>
  <si>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</si>
  <si>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</si>
  <si>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</si>
  <si>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</si>
  <si>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</si>
  <si>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</si>
  <si>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</si>
  <si>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</si>
  <si>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</si>
  <si>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</si>
  <si>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</si>
  <si>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</si>
  <si>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</si>
  <si>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</si>
  <si>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</si>
  <si>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</si>
  <si>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</si>
  <si>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</si>
  <si>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</si>
  <si>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</si>
  <si>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</si>
  <si>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</si>
  <si>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</si>
  <si>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</si>
  <si>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</si>
  <si>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</si>
  <si>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</si>
  <si>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</si>
  <si>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</si>
  <si>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</si>
  <si>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</si>
  <si>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</si>
  <si>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</si>
  <si>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</si>
  <si>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</si>
  <si>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</si>
  <si>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</si>
  <si>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</si>
  <si>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</si>
  <si>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</si>
  <si>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</si>
  <si>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</si>
  <si>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</si>
  <si>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</si>
  <si>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</si>
  <si>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</si>
  <si>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</si>
  <si>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</si>
  <si>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</si>
  <si>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</si>
  <si>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</si>
  <si>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</si>
  <si>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</si>
  <si>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</si>
  <si>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HANCOCK</t>
  </si>
  <si>
    <t>340 SOUTH 11TH STREET</t>
  </si>
  <si>
    <t>WARSAW</t>
  </si>
  <si>
    <t>62379-1499</t>
  </si>
  <si>
    <t>SUPER316@WARSAWSCHOOL.COM</t>
  </si>
  <si>
    <t>ROBERT GOUND</t>
  </si>
  <si>
    <t>BOB.GOUND@WARSAWSCHOOL.COM</t>
  </si>
  <si>
    <t>217-256-4582</t>
  </si>
  <si>
    <t>217-256-4282</t>
  </si>
  <si>
    <t>GRAY HUNTER STENN LLP</t>
  </si>
  <si>
    <t>JEFFREY A. MCPHERSON</t>
  </si>
  <si>
    <t>500 MAINE STREET, PO BOX 32</t>
  </si>
  <si>
    <t>QUINCY</t>
  </si>
  <si>
    <t>IL</t>
  </si>
  <si>
    <t>62306-0032</t>
  </si>
  <si>
    <t>217-222-0304</t>
  </si>
  <si>
    <t>217-222-1691</t>
  </si>
  <si>
    <t>066-003689</t>
  </si>
  <si>
    <t>JAM@GRAY-HUNTER-STENN.COM</t>
  </si>
  <si>
    <t>GENERAL OBLIGATION SCHOOL BONDS SERIES 2008</t>
  </si>
  <si>
    <t>3,4</t>
  </si>
  <si>
    <t>TAXABLE GENERAL OBLIGATION SCH BD SERIES 2014</t>
  </si>
  <si>
    <t>x</t>
  </si>
  <si>
    <t>Western Area Schools Health Benefit Plan</t>
  </si>
  <si>
    <t>ROE # 26</t>
  </si>
  <si>
    <t>Hamilton CCSD No. 328 and Nauvoo CUSD No. 325</t>
  </si>
  <si>
    <t>West Central Illinois Special Education Coop</t>
  </si>
  <si>
    <t>Western Area Purchasing Coop</t>
  </si>
  <si>
    <t>Western Area Career Systems</t>
  </si>
  <si>
    <t>Hamilton CCSD No. 328 Sports Coop</t>
  </si>
  <si>
    <t xml:space="preserve">  </t>
  </si>
  <si>
    <t>GENERAL OBLIGATION REFUNDING SCHOOL BONDS SERIES 2018</t>
  </si>
  <si>
    <t>GENERAL OBLIGATION REFUNDING SCHOOL BONDS SERIES 2011</t>
  </si>
  <si>
    <t>ED-Regular Programs-Purchased Services</t>
  </si>
  <si>
    <t>Matthew Martin Consulting</t>
  </si>
  <si>
    <t>10-2200-300</t>
  </si>
  <si>
    <t>ED-Educational Media Services-Purchased Services</t>
  </si>
  <si>
    <t>Raymond R. Hinkamper Services</t>
  </si>
  <si>
    <t>Mediacom</t>
  </si>
  <si>
    <t>Digital Copy Systems, LLC</t>
  </si>
  <si>
    <t>Trans-Pupil Transportation-Purchased Services</t>
  </si>
  <si>
    <t>40-2550-300</t>
  </si>
  <si>
    <t>Midwest Bus Sales</t>
  </si>
  <si>
    <t>Santander Leasing LLC</t>
  </si>
  <si>
    <t>Tort-Educational, Inspectional, Supervisory Services-PS</t>
  </si>
  <si>
    <t>80-2300-300</t>
  </si>
  <si>
    <t>Bushue Human Resources</t>
  </si>
  <si>
    <t>10-1000-300</t>
  </si>
  <si>
    <t>Page 10, Line 74 - Other Food Service:</t>
  </si>
  <si>
    <t>Rebate</t>
  </si>
  <si>
    <t>Page 10, Line 106 - Other Local Fees:</t>
  </si>
  <si>
    <t>Column C - Educational</t>
  </si>
  <si>
    <t>Salary Reimbursement For Dual Credit Courses</t>
  </si>
  <si>
    <t>Page 10, Line 107 - Other Local Revenue:</t>
  </si>
  <si>
    <t>Miscellaneous</t>
  </si>
  <si>
    <t>Page 11, Line 140 - CTE - Other:</t>
  </si>
  <si>
    <t>Reimbursement For Vocational Subs</t>
  </si>
  <si>
    <t>Page 12, Line 168 - Other Restricted Revenue From State Sources:</t>
  </si>
  <si>
    <t>PSAT Grant</t>
  </si>
  <si>
    <r>
      <t>P</t>
    </r>
    <r>
      <rPr>
        <u/>
        <sz val="10"/>
        <rFont val="Calibri"/>
        <family val="2"/>
        <scheme val="minor"/>
      </rPr>
      <t>age 15, Line 41 - Other Support Services - Pupils:</t>
    </r>
  </si>
  <si>
    <t>Column E - Purchased Services</t>
  </si>
  <si>
    <t>Brecht's Database Solutions - Medicaid Billing</t>
  </si>
  <si>
    <t>Page 16, Line 83 - Other Payments To In-State Govt. Units:</t>
  </si>
  <si>
    <t>Column E  -Purchased Services</t>
  </si>
  <si>
    <t>ROE - Safe School</t>
  </si>
  <si>
    <t>Nauvoo-Colusa CUSD No. 325 - Safe School</t>
  </si>
  <si>
    <t>Page 18, Line 171 - Debt Services - Other:</t>
  </si>
  <si>
    <t>Column H - Other Objects</t>
  </si>
  <si>
    <t>Bond Paying Agents Fees</t>
  </si>
  <si>
    <t>Refunding Bond Issuance Costs</t>
  </si>
  <si>
    <t>Debt Service Fund</t>
  </si>
  <si>
    <t>Page 5, Line 12 - Other Current Assets:</t>
  </si>
  <si>
    <t>Column C -  Educational</t>
  </si>
  <si>
    <t>Due From LeMaire Scholarship Fund</t>
  </si>
  <si>
    <t>Warsaw CUSD 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</si>
</sst>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
      <u val="singleAccounting"/>
      <sz val="10"/>
      <name val="Calibri"/>
      <family val="2"/>
      <scheme val="minor"/>
    </font>
    <font>
      <u val="double"/>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74" fillId="0" borderId="0" xfId="0" applyNumberFormat="1" applyFont="1"/>
    <xf numFmtId="0" fontId="74" fillId="0" borderId="0" xfId="0" applyFont="1"/>
    <xf numFmtId="41" fontId="56" fillId="0" borderId="0" xfId="0" applyNumberFormat="1" applyFont="1"/>
    <xf numFmtId="41" fontId="137" fillId="0" borderId="0" xfId="0" applyNumberFormat="1" applyFont="1"/>
    <xf numFmtId="41" fontId="138" fillId="0" borderId="0" xfId="0" applyNumberFormat="1" applyFont="1"/>
    <xf numFmtId="41" fontId="139"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2</xdr:row>
          <xdr:rowOff>24245</xdr:rowOff>
        </xdr:from>
        <xdr:to>
          <xdr:col>1</xdr:col>
          <xdr:colOff>864177</xdr:colOff>
          <xdr:row>6</xdr:row>
          <xdr:rowOff>72736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988002</xdr:colOff>
          <xdr:row>2</xdr:row>
          <xdr:rowOff>14720</xdr:rowOff>
        </xdr:from>
        <xdr:to>
          <xdr:col>1</xdr:col>
          <xdr:colOff>1902402</xdr:colOff>
          <xdr:row>6</xdr:row>
          <xdr:rowOff>63211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2045277</xdr:colOff>
          <xdr:row>2</xdr:row>
          <xdr:rowOff>24245</xdr:rowOff>
        </xdr:from>
        <xdr:to>
          <xdr:col>1</xdr:col>
          <xdr:colOff>2959677</xdr:colOff>
          <xdr:row>6</xdr:row>
          <xdr:rowOff>72736</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3102552</xdr:colOff>
          <xdr:row>2</xdr:row>
          <xdr:rowOff>33770</xdr:rowOff>
        </xdr:from>
        <xdr:to>
          <xdr:col>2</xdr:col>
          <xdr:colOff>37234</xdr:colOff>
          <xdr:row>6</xdr:row>
          <xdr:rowOff>82261</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94384</xdr:colOff>
          <xdr:row>2</xdr:row>
          <xdr:rowOff>43295</xdr:rowOff>
        </xdr:from>
        <xdr:to>
          <xdr:col>3</xdr:col>
          <xdr:colOff>395720</xdr:colOff>
          <xdr:row>6</xdr:row>
          <xdr:rowOff>91786</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538595</xdr:colOff>
          <xdr:row>2</xdr:row>
          <xdr:rowOff>52820</xdr:rowOff>
        </xdr:from>
        <xdr:to>
          <xdr:col>5</xdr:col>
          <xdr:colOff>226868</xdr:colOff>
          <xdr:row>6</xdr:row>
          <xdr:rowOff>101311</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1" t="s">
        <v>405</v>
      </c>
      <c r="J1" s="2022"/>
      <c r="K1" s="2022"/>
      <c r="L1" s="2022"/>
      <c r="M1" s="2022"/>
      <c r="N1" s="2022"/>
      <c r="O1" s="2022"/>
      <c r="P1" s="2022"/>
      <c r="Q1" s="2022"/>
      <c r="R1" s="2022"/>
      <c r="S1" s="2022"/>
    </row>
    <row r="2" spans="1:28" ht="12" customHeight="1" x14ac:dyDescent="0.2">
      <c r="A2" s="47" t="s">
        <v>1993</v>
      </c>
      <c r="D2" s="48"/>
      <c r="I2" s="2023" t="s">
        <v>979</v>
      </c>
      <c r="J2" s="2022"/>
      <c r="K2" s="2022"/>
      <c r="L2" s="2022"/>
      <c r="M2" s="2022"/>
      <c r="N2" s="2022"/>
      <c r="O2" s="2022"/>
      <c r="P2" s="2022"/>
      <c r="Q2" s="2022"/>
      <c r="R2" s="2022"/>
      <c r="S2" s="2022"/>
    </row>
    <row r="3" spans="1:28" ht="12" customHeight="1" x14ac:dyDescent="0.2">
      <c r="A3" s="155" t="s">
        <v>1945</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2064</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2064</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26034316026</v>
      </c>
      <c r="B13" s="1992"/>
      <c r="C13" s="1992"/>
      <c r="D13" s="1992"/>
      <c r="E13" s="1992"/>
      <c r="F13" s="1992"/>
      <c r="G13" s="1992"/>
      <c r="H13" s="1993"/>
      <c r="I13" s="31"/>
      <c r="J13" s="30"/>
      <c r="K13" s="28"/>
      <c r="L13" s="30"/>
      <c r="M13" s="30"/>
      <c r="N13" s="30"/>
      <c r="O13" s="30"/>
      <c r="P13" s="30"/>
      <c r="Q13" s="30"/>
      <c r="R13" s="30"/>
      <c r="S13" s="30"/>
      <c r="T13" s="1996" t="s">
        <v>2074</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2065</v>
      </c>
      <c r="B15" s="1994"/>
      <c r="C15" s="1994"/>
      <c r="D15" s="1994"/>
      <c r="E15" s="1994"/>
      <c r="F15" s="1994"/>
      <c r="G15" s="1994"/>
      <c r="H15" s="1995"/>
      <c r="T15" s="1957" t="s">
        <v>2075</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2139</v>
      </c>
      <c r="B17" s="2019"/>
      <c r="C17" s="2019"/>
      <c r="D17" s="2019"/>
      <c r="E17" s="2019"/>
      <c r="F17" s="2019"/>
      <c r="G17" s="2019"/>
      <c r="H17" s="2020"/>
      <c r="T17" s="2006" t="s">
        <v>2076</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2066</v>
      </c>
      <c r="B19" s="1990"/>
      <c r="C19" s="1990"/>
      <c r="D19" s="1990"/>
      <c r="E19" s="1990"/>
      <c r="F19" s="1990"/>
      <c r="G19" s="1990"/>
      <c r="H19" s="1988"/>
      <c r="I19" s="30"/>
      <c r="J19" s="99"/>
      <c r="K19" s="40"/>
      <c r="L19" s="38"/>
      <c r="M19" s="112" t="s">
        <v>315</v>
      </c>
      <c r="P19" s="27"/>
      <c r="Q19" s="27"/>
      <c r="R19" s="27"/>
      <c r="S19" s="31"/>
      <c r="T19" s="1989" t="s">
        <v>2077</v>
      </c>
      <c r="U19" s="1987"/>
      <c r="V19" s="1987"/>
      <c r="W19" s="1988"/>
      <c r="X19" s="2004" t="s">
        <v>2078</v>
      </c>
      <c r="Y19" s="2005"/>
      <c r="Z19" s="2002" t="s">
        <v>2079</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2067</v>
      </c>
      <c r="B21" s="1987"/>
      <c r="C21" s="1987"/>
      <c r="D21" s="1987"/>
      <c r="E21" s="1987"/>
      <c r="F21" s="1987"/>
      <c r="G21" s="1987"/>
      <c r="H21" s="1988"/>
      <c r="I21" s="2012" t="s">
        <v>678</v>
      </c>
      <c r="J21" s="1975"/>
      <c r="K21" s="1975"/>
      <c r="L21" s="1975"/>
      <c r="M21" s="1975"/>
      <c r="N21" s="1975"/>
      <c r="O21" s="1975"/>
      <c r="P21" s="1975"/>
      <c r="Q21" s="1975"/>
      <c r="R21" s="1975"/>
      <c r="S21" s="1976"/>
      <c r="T21" s="1954" t="s">
        <v>2080</v>
      </c>
      <c r="U21" s="1955"/>
      <c r="V21" s="1955"/>
      <c r="W21" s="1955"/>
      <c r="X21" s="1968" t="s">
        <v>2081</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2069</v>
      </c>
      <c r="B23" s="2010"/>
      <c r="C23" s="2010"/>
      <c r="D23" s="2010"/>
      <c r="E23" s="2010"/>
      <c r="F23" s="2010"/>
      <c r="G23" s="2010"/>
      <c r="H23" s="2011"/>
      <c r="T23" s="1949" t="s">
        <v>2082</v>
      </c>
      <c r="U23" s="1950"/>
      <c r="V23" s="1950"/>
      <c r="W23" s="1950"/>
      <c r="X23" s="1965">
        <v>44530</v>
      </c>
      <c r="Y23" s="1966"/>
      <c r="Z23" s="1966"/>
      <c r="AA23" s="1967"/>
    </row>
    <row r="24" spans="1:27" ht="14.1" customHeight="1" x14ac:dyDescent="0.2">
      <c r="A24" s="88" t="s">
        <v>677</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t="s">
        <v>2068</v>
      </c>
      <c r="B25" s="1987"/>
      <c r="C25" s="1987"/>
      <c r="D25" s="1987"/>
      <c r="E25" s="1987"/>
      <c r="F25" s="1987"/>
      <c r="G25" s="1987"/>
      <c r="H25" s="1988"/>
      <c r="I25" s="113"/>
      <c r="J25" s="2053"/>
      <c r="K25" s="2053"/>
      <c r="L25" s="2053"/>
      <c r="M25" s="2053"/>
      <c r="N25" s="2053"/>
      <c r="O25" s="2053"/>
      <c r="P25" s="2053"/>
      <c r="Q25" s="2053"/>
      <c r="R25" s="2053"/>
      <c r="S25" s="2054"/>
      <c r="T25" s="1946" t="s">
        <v>2083</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2070</v>
      </c>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2071</v>
      </c>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2072</v>
      </c>
      <c r="B42" s="2036"/>
      <c r="C42" s="2037"/>
      <c r="D42" s="2050" t="s">
        <v>2073</v>
      </c>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5" sqref="H1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1055558</v>
      </c>
      <c r="C4" s="1524"/>
      <c r="D4" s="1752">
        <f>B4-C4</f>
        <v>1055558</v>
      </c>
      <c r="E4" s="1524">
        <v>1115488</v>
      </c>
      <c r="F4" s="1752">
        <f>E4-C4</f>
        <v>1115488</v>
      </c>
    </row>
    <row r="5" spans="1:6" ht="13.7" customHeight="1" x14ac:dyDescent="0.2">
      <c r="A5" s="715" t="s">
        <v>870</v>
      </c>
      <c r="B5" s="1750">
        <f>'Revenues 9-14'!D5</f>
        <v>185837</v>
      </c>
      <c r="C5" s="585"/>
      <c r="D5" s="1753">
        <f t="shared" ref="D5:D18" si="0">B5-C5</f>
        <v>185837</v>
      </c>
      <c r="E5" s="585">
        <v>196391</v>
      </c>
      <c r="F5" s="1753">
        <f>E5-C5</f>
        <v>196391</v>
      </c>
    </row>
    <row r="6" spans="1:6" ht="13.7" customHeight="1" x14ac:dyDescent="0.2">
      <c r="A6" s="715" t="s">
        <v>411</v>
      </c>
      <c r="B6" s="1750">
        <f>'Revenues 9-14'!E5</f>
        <v>271486</v>
      </c>
      <c r="C6" s="585"/>
      <c r="D6" s="1753">
        <f t="shared" si="0"/>
        <v>271486</v>
      </c>
      <c r="E6" s="585">
        <v>276552</v>
      </c>
      <c r="F6" s="1753">
        <f t="shared" ref="F6:F18" si="1">E6-C6</f>
        <v>276552</v>
      </c>
    </row>
    <row r="7" spans="1:6" ht="13.7" customHeight="1" x14ac:dyDescent="0.2">
      <c r="A7" s="715" t="s">
        <v>155</v>
      </c>
      <c r="B7" s="1750">
        <f>'Revenues 9-14'!F5</f>
        <v>74334</v>
      </c>
      <c r="C7" s="585"/>
      <c r="D7" s="1753">
        <f t="shared" si="0"/>
        <v>74334</v>
      </c>
      <c r="E7" s="585">
        <v>78555</v>
      </c>
      <c r="F7" s="1753">
        <f t="shared" si="1"/>
        <v>78555</v>
      </c>
    </row>
    <row r="8" spans="1:6" ht="13.7" customHeight="1" x14ac:dyDescent="0.2">
      <c r="A8" s="715" t="s">
        <v>1179</v>
      </c>
      <c r="B8" s="1750">
        <f>'Revenues 9-14'!G5</f>
        <v>28347</v>
      </c>
      <c r="C8" s="585"/>
      <c r="D8" s="1753">
        <f t="shared" si="0"/>
        <v>28347</v>
      </c>
      <c r="E8" s="585">
        <v>30504</v>
      </c>
      <c r="F8" s="1753">
        <f t="shared" si="1"/>
        <v>30504</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18583</v>
      </c>
      <c r="C10" s="585"/>
      <c r="D10" s="1753">
        <f t="shared" si="0"/>
        <v>18583</v>
      </c>
      <c r="E10" s="585">
        <v>19642</v>
      </c>
      <c r="F10" s="1753">
        <f t="shared" si="1"/>
        <v>19642</v>
      </c>
    </row>
    <row r="11" spans="1:6" x14ac:dyDescent="0.2">
      <c r="A11" s="715" t="s">
        <v>409</v>
      </c>
      <c r="B11" s="1750">
        <f>'Revenues 9-14'!J5</f>
        <v>191006</v>
      </c>
      <c r="C11" s="585"/>
      <c r="D11" s="1753">
        <f t="shared" si="0"/>
        <v>191006</v>
      </c>
      <c r="E11" s="585">
        <v>198000</v>
      </c>
      <c r="F11" s="1753">
        <f t="shared" si="1"/>
        <v>198000</v>
      </c>
    </row>
    <row r="12" spans="1:6" ht="13.7" customHeight="1" x14ac:dyDescent="0.2">
      <c r="A12" s="715" t="s">
        <v>157</v>
      </c>
      <c r="B12" s="1750">
        <f>'Revenues 9-14'!K5</f>
        <v>18583</v>
      </c>
      <c r="C12" s="585"/>
      <c r="D12" s="1753">
        <f t="shared" si="0"/>
        <v>18583</v>
      </c>
      <c r="E12" s="585">
        <v>19642</v>
      </c>
      <c r="F12" s="1753">
        <f t="shared" si="1"/>
        <v>19642</v>
      </c>
    </row>
    <row r="13" spans="1:6" ht="13.7" customHeight="1" x14ac:dyDescent="0.2">
      <c r="A13" s="715" t="s">
        <v>936</v>
      </c>
      <c r="B13" s="1750">
        <f>SUM('Revenues 9-14'!C6:D6)</f>
        <v>18583</v>
      </c>
      <c r="C13" s="585"/>
      <c r="D13" s="1753">
        <f t="shared" si="0"/>
        <v>18583</v>
      </c>
      <c r="E13" s="585">
        <v>19642</v>
      </c>
      <c r="F13" s="1753">
        <f t="shared" si="1"/>
        <v>19642</v>
      </c>
    </row>
    <row r="14" spans="1:6" ht="13.7" customHeight="1" x14ac:dyDescent="0.2">
      <c r="A14" s="715" t="s">
        <v>410</v>
      </c>
      <c r="B14" s="1750">
        <f>SUM('Revenues 9-14'!C7:D7,'Revenues 9-14'!F7:H7)</f>
        <v>14867</v>
      </c>
      <c r="C14" s="585"/>
      <c r="D14" s="1753">
        <f t="shared" si="0"/>
        <v>14867</v>
      </c>
      <c r="E14" s="585">
        <v>15714</v>
      </c>
      <c r="F14" s="1753">
        <f t="shared" si="1"/>
        <v>15714</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66248</v>
      </c>
      <c r="C16" s="585"/>
      <c r="D16" s="1753">
        <f t="shared" si="0"/>
        <v>66248</v>
      </c>
      <c r="E16" s="585">
        <v>69003</v>
      </c>
      <c r="F16" s="1753">
        <f t="shared" si="1"/>
        <v>69003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1943432</v>
      </c>
      <c r="C19" s="1751">
        <f>SUM(C4:C18)</f>
        <v>0</v>
      </c>
      <c r="D19" s="1751">
        <f>SUM(D4:D18)</f>
        <v>1943432</v>
      </c>
      <c r="E19" s="1751">
        <f>SUM(E4:E18)</f>
        <v>2039133</v>
      </c>
      <c r="F19" s="1751">
        <f>SUM(F4:F18)</f>
        <v>2039133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35" sqref="A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1802</v>
      </c>
      <c r="B2" s="2204"/>
      <c r="C2" s="1884" t="s">
        <v>1956</v>
      </c>
      <c r="D2" s="723" t="s">
        <v>1957</v>
      </c>
      <c r="E2" s="723" t="s">
        <v>1958</v>
      </c>
      <c r="F2" s="1884" t="s">
        <v>1959</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2084</v>
      </c>
      <c r="B31" s="733">
        <v>39783</v>
      </c>
      <c r="C31" s="734">
        <v>760000</v>
      </c>
      <c r="D31" s="735" t="s">
        <v>2085</v>
      </c>
      <c r="E31" s="734">
        <v>760000</v>
      </c>
      <c r="F31" s="734"/>
      <c r="G31" s="734"/>
      <c r="H31" s="734">
        <v>760000</v>
      </c>
      <c r="I31" s="1756">
        <f>((E31+F31)-H31)+G31</f>
        <v>0</v>
      </c>
      <c r="J31" s="734"/>
      <c r="K31" s="736"/>
    </row>
    <row r="32" spans="1:11" ht="12" customHeight="1" x14ac:dyDescent="0.2">
      <c r="A32" s="732" t="s">
        <v>2097</v>
      </c>
      <c r="B32" s="733">
        <v>40787</v>
      </c>
      <c r="C32" s="734">
        <v>1060000</v>
      </c>
      <c r="D32" s="735">
        <v>3</v>
      </c>
      <c r="E32" s="734">
        <v>340000</v>
      </c>
      <c r="F32" s="734"/>
      <c r="G32" s="734"/>
      <c r="H32" s="734">
        <v>135000</v>
      </c>
      <c r="I32" s="1756">
        <f>((E32+F32)-H32)+G32</f>
        <v>205000</v>
      </c>
      <c r="J32" s="734">
        <v>166744</v>
      </c>
      <c r="K32" s="736"/>
    </row>
    <row r="33" spans="1:11" ht="12" customHeight="1" x14ac:dyDescent="0.2">
      <c r="A33" s="732" t="s">
        <v>2086</v>
      </c>
      <c r="B33" s="733">
        <v>41760</v>
      </c>
      <c r="C33" s="734">
        <v>480000</v>
      </c>
      <c r="D33" s="735">
        <v>1</v>
      </c>
      <c r="E33" s="734">
        <v>305000</v>
      </c>
      <c r="F33" s="734"/>
      <c r="G33" s="734"/>
      <c r="H33" s="734">
        <v>70000</v>
      </c>
      <c r="I33" s="1756">
        <f t="shared" ref="I33:I48" si="1">((E33+F33)-H33)+G33</f>
        <v>235000</v>
      </c>
      <c r="J33" s="734">
        <v>231662</v>
      </c>
      <c r="K33" s="736"/>
    </row>
    <row r="34" spans="1:11" ht="12" customHeight="1" x14ac:dyDescent="0.2">
      <c r="A34" s="732" t="s">
        <v>2096</v>
      </c>
      <c r="B34" s="733">
        <v>43370</v>
      </c>
      <c r="C34" s="734">
        <v>760000</v>
      </c>
      <c r="D34" s="735">
        <v>3</v>
      </c>
      <c r="E34" s="734"/>
      <c r="F34" s="734">
        <v>760000</v>
      </c>
      <c r="G34" s="734"/>
      <c r="H34" s="734"/>
      <c r="I34" s="1756">
        <f t="shared" si="1"/>
        <v>760000</v>
      </c>
      <c r="J34" s="734">
        <v>735852</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3060000</v>
      </c>
      <c r="D49" s="745"/>
      <c r="E49" s="1756">
        <f t="shared" ref="E49:J49" si="2">SUM(E31:E48)</f>
        <v>1405000</v>
      </c>
      <c r="F49" s="1756">
        <f t="shared" si="2"/>
        <v>760000</v>
      </c>
      <c r="G49" s="1756">
        <f t="shared" si="2"/>
        <v>0</v>
      </c>
      <c r="H49" s="1756">
        <f t="shared" si="2"/>
        <v>965000</v>
      </c>
      <c r="I49" s="1756">
        <f t="shared" si="2"/>
        <v>1200000</v>
      </c>
      <c r="J49" s="1756">
        <f t="shared" si="2"/>
        <v>1134258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34"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1812</v>
      </c>
      <c r="K2" s="762" t="s">
        <v>138</v>
      </c>
    </row>
    <row r="3" spans="1:11" x14ac:dyDescent="0.2">
      <c r="A3" s="2225" t="s">
        <v>1964</v>
      </c>
      <c r="B3" s="2226"/>
      <c r="C3" s="2226"/>
      <c r="D3" s="2226"/>
      <c r="E3" s="2227"/>
      <c r="F3" s="763"/>
      <c r="G3" s="764"/>
      <c r="H3" s="764">
        <v>0</v>
      </c>
      <c r="I3" s="764"/>
      <c r="J3" s="765"/>
      <c r="K3" s="765">
        <v>0</v>
      </c>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14867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7101</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9352</v>
      </c>
    </row>
    <row r="10" spans="1:11" x14ac:dyDescent="0.2">
      <c r="A10" s="2246" t="s">
        <v>1813</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14867</v>
      </c>
      <c r="I12" s="1758">
        <f>SUM(I5:I11)</f>
        <v>0</v>
      </c>
      <c r="J12" s="1758">
        <f>SUM(J5:J11)</f>
        <v>0</v>
      </c>
      <c r="K12" s="1758">
        <f>SUM(K5:K11)</f>
        <v>16453</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14867</v>
      </c>
      <c r="I14" s="771"/>
      <c r="J14" s="773"/>
      <c r="K14" s="765">
        <v>16453</v>
      </c>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1809</v>
      </c>
      <c r="B19" s="2254"/>
      <c r="C19" s="2254"/>
      <c r="D19" s="2254"/>
      <c r="E19" s="2255"/>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0</v>
      </c>
      <c r="K21" s="793"/>
    </row>
    <row r="22" spans="1:11" ht="13.5" thickTop="1" x14ac:dyDescent="0.2">
      <c r="A22" s="2219" t="s">
        <v>1815</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14867</v>
      </c>
      <c r="I23" s="1758">
        <f>SUM(I14:I16,I21,I22)</f>
        <v>0</v>
      </c>
      <c r="J23" s="1758">
        <f>SUM(J14:J16,J21,J22)</f>
        <v>0</v>
      </c>
      <c r="K23" s="1758">
        <f>SUM(K14:K16,K21,K22)</f>
        <v>16453</v>
      </c>
    </row>
    <row r="24" spans="1:11" ht="14.25" thickTop="1" thickBot="1" x14ac:dyDescent="0.25">
      <c r="A24" s="2240" t="s">
        <v>1965</v>
      </c>
      <c r="B24" s="2239"/>
      <c r="C24" s="2239"/>
      <c r="D24" s="2239"/>
      <c r="E24" s="223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34122</v>
      </c>
      <c r="D5" s="841"/>
      <c r="E5" s="841"/>
      <c r="F5" s="1760">
        <f>(C5+D5)-E5</f>
        <v>34122</v>
      </c>
      <c r="G5" s="837"/>
      <c r="H5" s="842"/>
      <c r="I5" s="842"/>
      <c r="J5" s="842"/>
      <c r="K5" s="793"/>
      <c r="L5" s="1769">
        <f>F5-K5</f>
        <v>34122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8067225</v>
      </c>
      <c r="D8" s="844"/>
      <c r="E8" s="844">
        <v>9386</v>
      </c>
      <c r="F8" s="1760">
        <f>(C8+D8)-E8</f>
        <v>8057839</v>
      </c>
      <c r="G8" s="843">
        <v>50</v>
      </c>
      <c r="H8" s="765">
        <v>3037321</v>
      </c>
      <c r="I8" s="765">
        <v>161335</v>
      </c>
      <c r="J8" s="765">
        <v>9386</v>
      </c>
      <c r="K8" s="1769">
        <f>(H8+I8)-J8</f>
        <v>3189270</v>
      </c>
      <c r="L8" s="1769">
        <f>F8-K8</f>
        <v>4868569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60200</v>
      </c>
      <c r="D10" s="846"/>
      <c r="E10" s="846"/>
      <c r="F10" s="1764">
        <f>(C10+D10)-E10</f>
        <v>60200</v>
      </c>
      <c r="G10" s="843">
        <v>20</v>
      </c>
      <c r="H10" s="847">
        <v>39965</v>
      </c>
      <c r="I10" s="847">
        <v>3010</v>
      </c>
      <c r="J10" s="847"/>
      <c r="K10" s="1769">
        <f>(H10+I10)-J10</f>
        <v>42975</v>
      </c>
      <c r="L10" s="1769">
        <f>F10-K10</f>
        <v>17225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531759</v>
      </c>
      <c r="D12" s="844">
        <v>73313</v>
      </c>
      <c r="E12" s="844">
        <v>99286</v>
      </c>
      <c r="F12" s="1760">
        <f>(C12+D12)-E12</f>
        <v>505786</v>
      </c>
      <c r="G12" s="843">
        <v>10</v>
      </c>
      <c r="H12" s="765">
        <v>276969</v>
      </c>
      <c r="I12" s="765">
        <v>60513</v>
      </c>
      <c r="J12" s="765">
        <v>99286</v>
      </c>
      <c r="K12" s="1769">
        <f>(H12+I12)-J12</f>
        <v>238196</v>
      </c>
      <c r="L12" s="1769">
        <f>F12-K12</f>
        <v>267590</v>
      </c>
    </row>
    <row r="13" spans="1:14" ht="14.25" thickTop="1" thickBot="1" x14ac:dyDescent="0.25">
      <c r="A13" s="848" t="s">
        <v>1122</v>
      </c>
      <c r="B13" s="840">
        <v>252</v>
      </c>
      <c r="C13" s="844">
        <v>19500</v>
      </c>
      <c r="D13" s="844">
        <v>879</v>
      </c>
      <c r="E13" s="844"/>
      <c r="F13" s="1760">
        <f>(C13+D13)-E13</f>
        <v>20379</v>
      </c>
      <c r="G13" s="843">
        <v>5</v>
      </c>
      <c r="H13" s="765">
        <v>11700</v>
      </c>
      <c r="I13" s="765">
        <v>4076</v>
      </c>
      <c r="J13" s="765"/>
      <c r="K13" s="1769">
        <f>(H13+I13)-J13</f>
        <v>15776</v>
      </c>
      <c r="L13" s="1769">
        <f>F13-K13</f>
        <v>4603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8712806</v>
      </c>
      <c r="D16" s="1760">
        <f>SUM(D3,D5:D6,D8:D10,D12:D15)</f>
        <v>74192</v>
      </c>
      <c r="E16" s="1760">
        <f>SUM(E3,E5:E6,E8:E10,E12:E15)</f>
        <v>108672</v>
      </c>
      <c r="F16" s="1760">
        <f>SUM(F3,F5:F6,F8:F10,F12:F15)</f>
        <v>8678326</v>
      </c>
      <c r="G16" s="843"/>
      <c r="H16" s="1760">
        <f>SUM(H3,H6,H8:H10,H12:H14,)</f>
        <v>3365955</v>
      </c>
      <c r="I16" s="1760">
        <f>SUM(I3,I6,I8:I10,I12:I14,)</f>
        <v>228934</v>
      </c>
      <c r="J16" s="1760">
        <f>SUM(J3,J6,J8:J10,J12:J14,)</f>
        <v>108672</v>
      </c>
      <c r="K16" s="1760">
        <f>(H16+I16)-J16</f>
        <v>3486217</v>
      </c>
      <c r="L16" s="1760">
        <f>F16-K16</f>
        <v>5192109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228934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5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3316508</v>
      </c>
      <c r="G8" s="865"/>
    </row>
    <row r="9" spans="1:7" x14ac:dyDescent="0.2">
      <c r="A9" s="869" t="s">
        <v>460</v>
      </c>
      <c r="B9" s="870" t="s">
        <v>1877</v>
      </c>
      <c r="C9" s="871"/>
      <c r="D9" s="869" t="s">
        <v>501</v>
      </c>
      <c r="E9" s="868"/>
      <c r="F9" s="1909">
        <f>'Expenditures 15-22'!K151</f>
        <v>332106</v>
      </c>
      <c r="G9" s="872"/>
    </row>
    <row r="10" spans="1:7" x14ac:dyDescent="0.2">
      <c r="A10" s="869" t="s">
        <v>499</v>
      </c>
      <c r="B10" s="870" t="s">
        <v>1878</v>
      </c>
      <c r="C10" s="871"/>
      <c r="D10" s="869" t="s">
        <v>501</v>
      </c>
      <c r="E10" s="868"/>
      <c r="F10" s="1909">
        <f>'Expenditures 15-22'!K174</f>
        <v>1072695</v>
      </c>
      <c r="G10" s="872"/>
    </row>
    <row r="11" spans="1:7" x14ac:dyDescent="0.2">
      <c r="A11" s="869" t="s">
        <v>461</v>
      </c>
      <c r="B11" s="870" t="s">
        <v>1879</v>
      </c>
      <c r="C11" s="871"/>
      <c r="D11" s="869" t="s">
        <v>501</v>
      </c>
      <c r="E11" s="868"/>
      <c r="F11" s="1909">
        <f>'Expenditures 15-22'!K210</f>
        <v>380056</v>
      </c>
      <c r="G11" s="872"/>
    </row>
    <row r="12" spans="1:7" x14ac:dyDescent="0.2">
      <c r="A12" s="869" t="s">
        <v>462</v>
      </c>
      <c r="B12" s="870" t="s">
        <v>1880</v>
      </c>
      <c r="C12" s="871"/>
      <c r="D12" s="869" t="s">
        <v>501</v>
      </c>
      <c r="E12" s="868"/>
      <c r="F12" s="1909">
        <f>'Expenditures 15-22'!K295</f>
        <v>88447</v>
      </c>
      <c r="G12" s="872"/>
    </row>
    <row r="13" spans="1:7" x14ac:dyDescent="0.2">
      <c r="A13" s="869" t="s">
        <v>106</v>
      </c>
      <c r="B13" s="870" t="s">
        <v>1881</v>
      </c>
      <c r="C13" s="871"/>
      <c r="D13" s="869" t="s">
        <v>501</v>
      </c>
      <c r="E13" s="868"/>
      <c r="F13" s="1909">
        <f>'Expenditures 15-22'!K342</f>
        <v>172865</v>
      </c>
      <c r="G13" s="873"/>
    </row>
    <row r="14" spans="1:7" ht="12" customHeight="1" thickBot="1" x14ac:dyDescent="0.25">
      <c r="A14" s="1770"/>
      <c r="B14" s="1771"/>
      <c r="C14" s="1772"/>
      <c r="D14" s="1773" t="s">
        <v>501</v>
      </c>
      <c r="E14" s="1774" t="s">
        <v>958</v>
      </c>
      <c r="F14" s="1775">
        <f>SUM(F8:F13)</f>
        <v>5362677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91176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114831</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451055</v>
      </c>
      <c r="G53" s="865"/>
    </row>
    <row r="54" spans="1:7" x14ac:dyDescent="0.2">
      <c r="A54" s="869" t="s">
        <v>459</v>
      </c>
      <c r="B54" s="869" t="s">
        <v>1476</v>
      </c>
      <c r="C54" s="889" t="s">
        <v>982</v>
      </c>
      <c r="D54" s="885" t="s">
        <v>1095</v>
      </c>
      <c r="E54" s="868"/>
      <c r="F54" s="1913">
        <f>'Expenditures 15-22'!G114</f>
        <v>56233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16531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965000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879</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6961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1702666</v>
      </c>
      <c r="G76" s="865"/>
    </row>
    <row r="77" spans="1:8" s="893" customFormat="1" ht="12" customHeight="1" thickTop="1" thickBot="1" x14ac:dyDescent="0.25">
      <c r="A77" s="1779"/>
      <c r="B77" s="1776"/>
      <c r="C77" s="1772"/>
      <c r="D77" s="1777" t="s">
        <v>1900</v>
      </c>
      <c r="E77" s="1774"/>
      <c r="F77" s="1780">
        <f>(F14-F76)</f>
        <v>3660011</v>
      </c>
      <c r="G77" s="869"/>
    </row>
    <row r="78" spans="1:8" s="893" customFormat="1" ht="12" customHeight="1" thickTop="1" x14ac:dyDescent="0.2">
      <c r="A78" s="1781"/>
      <c r="B78" s="1776"/>
      <c r="C78" s="1772"/>
      <c r="D78" s="1777" t="s">
        <v>2062</v>
      </c>
      <c r="E78" s="1774"/>
      <c r="F78" s="898">
        <v>367.8</v>
      </c>
      <c r="G78" s="899"/>
      <c r="H78" s="869"/>
    </row>
    <row r="79" spans="1:8" s="893" customFormat="1" ht="12" customHeight="1" thickBot="1" x14ac:dyDescent="0.25">
      <c r="A79" s="1782"/>
      <c r="B79" s="1776"/>
      <c r="C79" s="1772"/>
      <c r="D79" s="1777" t="s">
        <v>1901</v>
      </c>
      <c r="E79" s="1774" t="s">
        <v>958</v>
      </c>
      <c r="F79" s="1783">
        <f>IF(F78&gt;0,F77/F78," Complete Line 78")</f>
        <v>9951.0902664491568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53268</v>
      </c>
      <c r="G94" s="912"/>
    </row>
    <row r="95" spans="1:7" x14ac:dyDescent="0.2">
      <c r="A95" s="908" t="s">
        <v>140</v>
      </c>
      <c r="B95" s="908" t="s">
        <v>175</v>
      </c>
      <c r="C95" s="910">
        <v>1700</v>
      </c>
      <c r="D95" s="918" t="str">
        <f>'Revenues 9-14'!A82</f>
        <v>Total District/School Activity Income</v>
      </c>
      <c r="E95" s="906"/>
      <c r="F95" s="1789">
        <f>SUM('Revenues 9-14'!C82,'Revenues 9-14'!D82)</f>
        <v>10185</v>
      </c>
      <c r="G95" s="912"/>
    </row>
    <row r="96" spans="1:7" x14ac:dyDescent="0.2">
      <c r="A96" s="908" t="s">
        <v>459</v>
      </c>
      <c r="B96" s="908" t="s">
        <v>176</v>
      </c>
      <c r="C96" s="910">
        <f>'Revenues 9-14'!B84</f>
        <v>1811</v>
      </c>
      <c r="D96" s="911" t="str">
        <f>'Revenues 9-14'!A84</f>
        <v>Rentals - Regular Textbooks</v>
      </c>
      <c r="E96" s="906"/>
      <c r="F96" s="1789">
        <f>'Revenues 9-14'!C84</f>
        <v>18625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40022</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17000</v>
      </c>
      <c r="G104" s="912"/>
    </row>
    <row r="105" spans="1:7" x14ac:dyDescent="0.2">
      <c r="A105" s="908" t="s">
        <v>503</v>
      </c>
      <c r="B105" s="908" t="s">
        <v>2003</v>
      </c>
      <c r="C105" s="913">
        <v>3100</v>
      </c>
      <c r="D105" s="919" t="str">
        <f>'Revenues 9-14'!A132</f>
        <v>Total Special Education</v>
      </c>
      <c r="E105" s="906"/>
      <c r="F105" s="1789">
        <f>SUM('Revenues 9-14'!C132:D132,'Revenues 9-14'!F132)</f>
        <v>45687</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60533</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1577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9352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211726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938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37726</v>
      </c>
      <c r="G124" s="930"/>
    </row>
    <row r="125" spans="1:7" x14ac:dyDescent="0.2">
      <c r="A125" s="927" t="s">
        <v>664</v>
      </c>
      <c r="B125" s="927" t="s">
        <v>2023</v>
      </c>
      <c r="C125" s="932">
        <v>4200</v>
      </c>
      <c r="D125" s="929" t="str">
        <f>'Revenues 9-14'!A198</f>
        <v>Total Food Service</v>
      </c>
      <c r="E125" s="906"/>
      <c r="F125" s="1789">
        <f>SUM('Revenues 9-14'!C198,'Revenues 9-14'!G198)</f>
        <v>87679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62721</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34581</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3254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5036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11313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123281</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846504</v>
      </c>
    </row>
    <row r="175" spans="1:7" ht="12" customHeight="1" x14ac:dyDescent="0.2">
      <c r="A175" s="1770"/>
      <c r="B175" s="1784"/>
      <c r="C175" s="1785"/>
      <c r="D175" s="1786" t="s">
        <v>2057</v>
      </c>
      <c r="E175" s="1787"/>
      <c r="F175" s="1789">
        <f>'PCTC-OEPP 27-28'!F77-F174</f>
        <v>2813507</v>
      </c>
    </row>
    <row r="176" spans="1:7" ht="12" customHeight="1" x14ac:dyDescent="0.2">
      <c r="A176" s="1770"/>
      <c r="B176" s="1784"/>
      <c r="C176" s="1785"/>
      <c r="D176" s="1786" t="s">
        <v>1817</v>
      </c>
      <c r="E176" s="1787"/>
      <c r="F176" s="1789">
        <f>'Cap Outlay Deprec 26'!I18</f>
        <v>228934</v>
      </c>
    </row>
    <row r="177" spans="1:7" ht="12" customHeight="1" x14ac:dyDescent="0.2">
      <c r="A177" s="1770"/>
      <c r="B177" s="1784"/>
      <c r="C177" s="1785"/>
      <c r="D177" s="1786" t="s">
        <v>2058</v>
      </c>
      <c r="E177" s="1787"/>
      <c r="F177" s="1789">
        <f>F175+F176</f>
        <v>3042441</v>
      </c>
    </row>
    <row r="178" spans="1:7" ht="12" customHeight="1" x14ac:dyDescent="0.2">
      <c r="A178" s="1770"/>
      <c r="B178" s="1790"/>
      <c r="C178" s="1785"/>
      <c r="D178" s="1786" t="str">
        <f>D78</f>
        <v>9 Month ADA from District Average Daily Attendance/Prior General State Aid Inquiry 2018-2019</v>
      </c>
      <c r="E178" s="1787"/>
      <c r="F178" s="1791">
        <f>'PCTC-OEPP 27-28'!F78</f>
        <v>367.8</v>
      </c>
      <c r="G178" s="930"/>
    </row>
    <row r="179" spans="1:7" ht="12" customHeight="1" thickBot="1" x14ac:dyDescent="0.25">
      <c r="A179" s="1770"/>
      <c r="B179" s="1790"/>
      <c r="C179" s="1785"/>
      <c r="D179" s="1786" t="s">
        <v>2059</v>
      </c>
      <c r="E179" s="1787" t="s">
        <v>1545</v>
      </c>
      <c r="F179" s="1792">
        <f>F177/F178</f>
        <v>8271.998368678629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2" zoomScaleNormal="100" workbookViewId="0">
      <selection activeCell="C17" sqref="C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2098</v>
      </c>
      <c r="B17" s="1938" t="s">
        <v>2112</v>
      </c>
      <c r="C17" s="1939" t="s">
        <v>2099</v>
      </c>
      <c r="D17" s="1844">
        <v>6000</v>
      </c>
      <c r="E17" s="1540">
        <f t="shared" ref="E17:E141" si="0">IF(D17&lt;=25000,D17,IF(D17&gt;25000,25000,0))</f>
        <v>6000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6000</v>
      </c>
      <c r="G17" s="1793">
        <f>IF(F17=0,0,D17-F17)</f>
        <v>0</v>
      </c>
      <c r="H17" s="1647"/>
    </row>
    <row r="18" spans="1:8" x14ac:dyDescent="0.25">
      <c r="A18" s="1937" t="s">
        <v>2101</v>
      </c>
      <c r="B18" s="1938" t="s">
        <v>2100</v>
      </c>
      <c r="C18" s="1939" t="s">
        <v>2104</v>
      </c>
      <c r="D18" s="1844">
        <v>8700</v>
      </c>
      <c r="E18" s="1540">
        <f t="shared" ref="E18:E140" si="2">IF(D18&lt;=25000,D18,IF(D18&gt;25000,25000,0))</f>
        <v>8700</v>
      </c>
      <c r="F18" s="1932">
        <f t="shared" si="1"/>
        <v>8700</v>
      </c>
      <c r="G18" s="1793">
        <f t="shared" ref="G18:G140" si="3">IF(F18=0,0,D18-F18)</f>
        <v>0</v>
      </c>
    </row>
    <row r="19" spans="1:8" x14ac:dyDescent="0.25">
      <c r="A19" s="1937" t="s">
        <v>2101</v>
      </c>
      <c r="B19" s="1938" t="s">
        <v>2100</v>
      </c>
      <c r="C19" s="1939" t="s">
        <v>2102</v>
      </c>
      <c r="D19" s="1844">
        <v>780</v>
      </c>
      <c r="E19" s="1540">
        <f t="shared" si="2"/>
        <v>780</v>
      </c>
      <c r="F19" s="1932">
        <f t="shared" si="1"/>
        <v>780</v>
      </c>
      <c r="G19" s="1793">
        <f t="shared" si="3"/>
        <v>0</v>
      </c>
    </row>
    <row r="20" spans="1:8" x14ac:dyDescent="0.25">
      <c r="A20" s="1937" t="s">
        <v>2101</v>
      </c>
      <c r="B20" s="1938" t="s">
        <v>2100</v>
      </c>
      <c r="C20" s="1939" t="s">
        <v>2103</v>
      </c>
      <c r="D20" s="1844">
        <v>4950</v>
      </c>
      <c r="E20" s="1540">
        <f t="shared" si="2"/>
        <v>4950</v>
      </c>
      <c r="F20" s="1932">
        <f t="shared" si="1"/>
        <v>4950</v>
      </c>
      <c r="G20" s="1793">
        <f t="shared" si="3"/>
        <v>0</v>
      </c>
    </row>
    <row r="21" spans="1:8" x14ac:dyDescent="0.25">
      <c r="A21" s="1937" t="s">
        <v>2105</v>
      </c>
      <c r="B21" s="1938" t="s">
        <v>2106</v>
      </c>
      <c r="C21" s="1939" t="s">
        <v>2107</v>
      </c>
      <c r="D21" s="1844">
        <v>136431</v>
      </c>
      <c r="E21" s="1540">
        <f t="shared" si="2"/>
        <v>25000</v>
      </c>
      <c r="F21" s="1932">
        <f t="shared" si="1"/>
        <v>25000</v>
      </c>
      <c r="G21" s="1793">
        <f t="shared" si="3"/>
        <v>111431</v>
      </c>
    </row>
    <row r="22" spans="1:8" x14ac:dyDescent="0.25">
      <c r="A22" s="1937" t="s">
        <v>2105</v>
      </c>
      <c r="B22" s="1938" t="s">
        <v>2106</v>
      </c>
      <c r="C22" s="1939" t="s">
        <v>2108</v>
      </c>
      <c r="D22" s="1844">
        <v>13364</v>
      </c>
      <c r="E22" s="1540">
        <f t="shared" si="2"/>
        <v>13364</v>
      </c>
      <c r="F22" s="1932">
        <f t="shared" si="1"/>
        <v>13364</v>
      </c>
      <c r="G22" s="1793">
        <f t="shared" si="3"/>
        <v>0</v>
      </c>
    </row>
    <row r="23" spans="1:8" x14ac:dyDescent="0.25">
      <c r="A23" s="1937" t="s">
        <v>2109</v>
      </c>
      <c r="B23" s="1938" t="s">
        <v>2110</v>
      </c>
      <c r="C23" s="1939" t="s">
        <v>2111</v>
      </c>
      <c r="D23" s="1844">
        <v>6600</v>
      </c>
      <c r="E23" s="1540">
        <f t="shared" si="2"/>
        <v>6600</v>
      </c>
      <c r="F23" s="1932">
        <f t="shared" si="1"/>
        <v>6600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176825</v>
      </c>
      <c r="E141" s="1541">
        <f t="shared" si="0"/>
        <v>25000</v>
      </c>
      <c r="F141" s="1933">
        <f>SUM(F17:F140)</f>
        <v>65394</v>
      </c>
      <c r="G141" s="1795">
        <f>SUM(G17:G140)</f>
        <v>111431</v>
      </c>
    </row>
  </sheetData>
  <sheetProtection password="F60E" sheet="1" selectLockedCells="1"/>
  <mergeCells count="6">
    <mergeCell ref="A13:G13"/>
    <mergeCell ref="A4:G5"/>
    <mergeCell ref="A11:G11"/>
    <mergeCell ref="A7:G7"/>
    <mergeCell ref="A8:G8"/>
    <mergeCell ref="A9:G9"/>
  </mergeCells>
  <pageMargins left="0.2" right="0.2" top="0.5" bottom="0.5" header="0.3" footer="0.3"/>
  <pageSetup scale="83" firstPageNumber="30" fitToHeight="0" orientation="landscape" r:id="rId1"/>
  <headerFooter>
    <oddHeader>&amp;RPage 29</oddHead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104943</v>
      </c>
      <c r="F10" s="974"/>
      <c r="G10" s="975"/>
      <c r="H10" s="162"/>
      <c r="I10" s="162"/>
    </row>
    <row r="11" spans="1:9" s="668" customFormat="1" ht="22.5" customHeight="1" x14ac:dyDescent="0.2">
      <c r="A11" s="2292" t="s">
        <v>1977</v>
      </c>
      <c r="B11" s="2293"/>
      <c r="C11" s="2293"/>
      <c r="D11" s="2294"/>
      <c r="E11" s="977">
        <v>13799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2224298</v>
      </c>
      <c r="F19" s="1799"/>
      <c r="G19" s="1801">
        <f>'Expenditures 15-22'!K33-SUM('Expenditures 15-22'!G33,'Expenditures 15-22'!I33)+'Expenditures 15-22'!D229</f>
        <v>2224298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111986</v>
      </c>
      <c r="F21" s="1802"/>
      <c r="G21" s="1805">
        <f>'Expenditures 15-22'!K42-SUM('Expenditures 15-22'!G42,'Expenditures 15-22'!I42)+'Expenditures 15-22'!K120-SUM('Expenditures 15-22'!G120,'Expenditures 15-22'!I120)+'Expenditures 15-22'!K180-SUM('Expenditures 15-22'!G180,'Expenditures 15-22'!I180)+'Expenditures 15-22'!D238</f>
        <v>111986</v>
      </c>
      <c r="H21" s="987"/>
      <c r="I21" s="162"/>
    </row>
    <row r="22" spans="1:9" s="668" customFormat="1" ht="12" customHeight="1" x14ac:dyDescent="0.2">
      <c r="A22" s="994" t="s">
        <v>564</v>
      </c>
      <c r="B22" s="995"/>
      <c r="C22" s="993">
        <v>2200</v>
      </c>
      <c r="D22" s="1802"/>
      <c r="E22" s="1804">
        <f>'Expenditures 15-22'!K47-SUM('Expenditures 15-22'!G47,'Expenditures 15-22'!I47)+'Expenditures 15-22'!D243</f>
        <v>19699</v>
      </c>
      <c r="F22" s="1802"/>
      <c r="G22" s="1805">
        <f>'Expenditures 15-22'!K47-SUM('Expenditures 15-22'!G47,'Expenditures 15-22'!I47)+'Expenditures 15-22'!D243</f>
        <v>19699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252073</v>
      </c>
      <c r="F23" s="1802"/>
      <c r="G23" s="1804">
        <f>'Expenditures 15-22'!K53-SUM('Expenditures 15-22'!G53,'Expenditures 15-22'!I53)+'Expenditures 15-22'!D257+'Expenditures 15-22'!K330-SUM('Expenditures 15-22'!G330,'Expenditures 15-22'!I330)</f>
        <v>252073</v>
      </c>
      <c r="H23" s="987"/>
      <c r="I23" s="162"/>
    </row>
    <row r="24" spans="1:9" s="668" customFormat="1" ht="12" customHeight="1" x14ac:dyDescent="0.2">
      <c r="A24" s="994" t="s">
        <v>566</v>
      </c>
      <c r="B24" s="995"/>
      <c r="C24" s="993">
        <v>2400</v>
      </c>
      <c r="D24" s="1802"/>
      <c r="E24" s="1804">
        <f>'Expenditures 15-22'!K57-SUM('Expenditures 15-22'!G57,'Expenditures 15-22'!I57)+'Expenditures 15-22'!D261</f>
        <v>200578</v>
      </c>
      <c r="F24" s="1802"/>
      <c r="G24" s="1805">
        <f>'Expenditures 15-22'!K57-SUM('Expenditures 15-22'!G57,'Expenditures 15-22'!I57)+'Expenditures 15-22'!D261</f>
        <v>200578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41311</v>
      </c>
      <c r="E27" s="1804">
        <f>E8</f>
        <v>0</v>
      </c>
      <c r="F27" s="1804">
        <f>'Expenditures 15-22'!K60-SUM('Expenditures 15-22'!G60,'Expenditures 15-22'!I60)+'Expenditures 15-22'!D264-E8</f>
        <v>41311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329273</v>
      </c>
      <c r="F28" s="1806">
        <f>'Expenditures 15-22'!K61-SUM('Expenditures 15-22'!G61,'Expenditures 15-22'!I61)+'Expenditures 15-22'!K124-SUM('Expenditures 15-22'!G124,'Expenditures 15-22'!I124)+'Expenditures 15-22'!D266-E9</f>
        <v>329273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396302</v>
      </c>
      <c r="F29" s="1802"/>
      <c r="G29" s="1805">
        <f>'Expenditures 15-22'!K62-SUM('Expenditures 15-22'!G62,'Expenditures 15-22'!I62)+'Expenditures 15-22'!K125-SUM('Expenditures 15-22'!G125,'Expenditures 15-22'!I125)+'Expenditures 15-22'!K182-SUM('Expenditures 15-22'!G182,'Expenditures 15-22'!I182)+'Expenditures 15-22'!D267</f>
        <v>396302</v>
      </c>
      <c r="H29" s="985"/>
    </row>
    <row r="30" spans="1:9" ht="12" customHeight="1" x14ac:dyDescent="0.2">
      <c r="A30" s="994" t="s">
        <v>100</v>
      </c>
      <c r="B30" s="997"/>
      <c r="C30" s="993">
        <v>2560</v>
      </c>
      <c r="D30" s="1802"/>
      <c r="E30" s="1804">
        <f>'Expenditures 15-22'!K63-SUM('Expenditures 15-22'!G63,'Expenditures 15-22'!I63)+'Expenditures 15-22'!D268-E10</f>
        <v>83539</v>
      </c>
      <c r="F30" s="1802"/>
      <c r="G30" s="1804">
        <f>'Expenditures 15-22'!K63-SUM('Expenditures 15-22'!G63,'Expenditures 15-22'!I63)+'Expenditures 15-22'!D268-E10</f>
        <v>83539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733</v>
      </c>
      <c r="E36" s="1804">
        <f>E13</f>
        <v>0</v>
      </c>
      <c r="F36" s="1804">
        <f>'Expenditures 15-22'!K70-SUM('Expenditures 15-22'!G70,'Expenditures 15-22'!I70)+'Expenditures 15-22'!D275-E13</f>
        <v>733</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-111431</v>
      </c>
      <c r="F40" s="1802"/>
      <c r="G40" s="1806">
        <f>-'Contracts Paid in CY 29'!G141</f>
        <v>-111431</v>
      </c>
    </row>
    <row r="41" spans="1:7" ht="12" customHeight="1" x14ac:dyDescent="0.2">
      <c r="A41" s="998" t="s">
        <v>156</v>
      </c>
      <c r="B41" s="999"/>
      <c r="C41" s="1000"/>
      <c r="D41" s="1806">
        <f>SUM(D19:D39)</f>
        <v>42044</v>
      </c>
      <c r="E41" s="1806">
        <f>SUM(E19:E40)</f>
        <v>3506317</v>
      </c>
      <c r="F41" s="1806">
        <f>SUM(F19:F39)</f>
        <v>371317</v>
      </c>
      <c r="G41" s="1806">
        <f>SUM(G19:G40)</f>
        <v>3177044</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42044</v>
      </c>
      <c r="F43" s="1807" t="s">
        <v>473</v>
      </c>
      <c r="G43" s="1808">
        <f>F41</f>
        <v>371317</v>
      </c>
    </row>
    <row r="44" spans="1:7" ht="12" customHeight="1" x14ac:dyDescent="0.2">
      <c r="A44" s="987"/>
      <c r="B44" s="162"/>
      <c r="C44" s="1001"/>
      <c r="D44" s="1807" t="s">
        <v>474</v>
      </c>
      <c r="E44" s="1808">
        <f>E41</f>
        <v>3506317</v>
      </c>
      <c r="F44" s="1807" t="s">
        <v>474</v>
      </c>
      <c r="G44" s="1808">
        <f>G41</f>
        <v>3177044</v>
      </c>
    </row>
    <row r="45" spans="1:7" ht="12" customHeight="1" x14ac:dyDescent="0.2">
      <c r="A45" s="987"/>
      <c r="B45" s="162"/>
      <c r="C45" s="162"/>
      <c r="D45" s="1809" t="s">
        <v>1006</v>
      </c>
      <c r="E45" s="1810">
        <f>(E43/E44)</f>
        <v>1.1990929513788971E-2</v>
      </c>
      <c r="F45" s="1809" t="s">
        <v>1006</v>
      </c>
      <c r="G45" s="1810">
        <f>(G43/G44)</f>
        <v>0.11687499449173508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7" activePane="bottomLeft" state="frozen"/>
      <selection activeCell="A47" sqref="A47"/>
      <selection pane="bottomLeft"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Warsaw CUSD 316</v>
      </c>
      <c r="D6" s="2302"/>
      <c r="E6" s="2302"/>
      <c r="F6" s="1852"/>
    </row>
    <row r="7" spans="1:10" ht="11.25" customHeight="1" thickBot="1" x14ac:dyDescent="0.3">
      <c r="A7" s="1850"/>
      <c r="B7" s="1851"/>
      <c r="C7" s="2303">
        <f>COVER!A13</f>
        <v>26034316026</v>
      </c>
      <c r="D7" s="2303"/>
      <c r="E7" s="230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2087</v>
      </c>
      <c r="D14" s="1865" t="s">
        <v>2087</v>
      </c>
      <c r="E14" s="1868" t="s">
        <v>2087</v>
      </c>
      <c r="F14" s="1867" t="s">
        <v>2088</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t="s">
        <v>2064</v>
      </c>
      <c r="F24" s="1867" t="s">
        <v>2089</v>
      </c>
      <c r="H24" s="1878">
        <f t="shared" si="0"/>
        <v>5</v>
      </c>
      <c r="I24" s="1878">
        <f t="shared" si="1"/>
        <v>5</v>
      </c>
      <c r="J24" s="1878">
        <f t="shared" si="2"/>
        <v>5</v>
      </c>
    </row>
    <row r="25" spans="1:12" ht="12" customHeight="1" x14ac:dyDescent="0.2">
      <c r="A25" s="1863" t="s">
        <v>1533</v>
      </c>
      <c r="B25" s="1864"/>
      <c r="C25" s="1865" t="s">
        <v>2064</v>
      </c>
      <c r="D25" s="1865" t="s">
        <v>2064</v>
      </c>
      <c r="E25" s="1868" t="s">
        <v>2064</v>
      </c>
      <c r="F25" s="1867" t="s">
        <v>2090</v>
      </c>
      <c r="H25" s="1878">
        <f t="shared" si="0"/>
        <v>5</v>
      </c>
      <c r="I25" s="1878">
        <f t="shared" si="1"/>
        <v>5</v>
      </c>
      <c r="J25" s="1878">
        <f t="shared" si="2"/>
        <v>5</v>
      </c>
    </row>
    <row r="26" spans="1:12" ht="12" customHeight="1" x14ac:dyDescent="0.2">
      <c r="A26" s="1863" t="s">
        <v>1534</v>
      </c>
      <c r="B26" s="1864"/>
      <c r="C26" s="1865" t="s">
        <v>2064</v>
      </c>
      <c r="D26" s="1865" t="s">
        <v>2064</v>
      </c>
      <c r="E26" s="1868" t="s">
        <v>2064</v>
      </c>
      <c r="F26" s="1867" t="s">
        <v>2091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t="s">
        <v>2064</v>
      </c>
      <c r="F28" s="1867" t="s">
        <v>2092</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2090</v>
      </c>
      <c r="H30" s="1878">
        <f t="shared" si="0"/>
        <v>5</v>
      </c>
      <c r="I30" s="1878">
        <f t="shared" si="1"/>
        <v>5</v>
      </c>
      <c r="J30" s="1878">
        <f t="shared" si="2"/>
        <v>5</v>
      </c>
    </row>
    <row r="31" spans="1:12" ht="12" customHeight="1" x14ac:dyDescent="0.2">
      <c r="A31" s="1863" t="s">
        <v>1539</v>
      </c>
      <c r="B31" s="1864"/>
      <c r="C31" s="1865" t="s">
        <v>2064</v>
      </c>
      <c r="D31" s="1865" t="s">
        <v>2064</v>
      </c>
      <c r="E31" s="1868" t="s">
        <v>2064</v>
      </c>
      <c r="F31" s="1867" t="s">
        <v>2093</v>
      </c>
      <c r="H31" s="1878">
        <f t="shared" si="0"/>
        <v>5</v>
      </c>
      <c r="I31" s="1878">
        <f t="shared" si="1"/>
        <v>5</v>
      </c>
      <c r="J31" s="1878">
        <f t="shared" si="2"/>
        <v>5</v>
      </c>
      <c r="L31" s="1869"/>
    </row>
    <row r="32" spans="1:12" ht="12" customHeight="1" x14ac:dyDescent="0.2">
      <c r="A32" s="1863" t="s">
        <v>1540</v>
      </c>
      <c r="B32" s="1864"/>
      <c r="C32" s="1865" t="s">
        <v>2064</v>
      </c>
      <c r="D32" s="1865" t="s">
        <v>2064</v>
      </c>
      <c r="E32" s="1868" t="s">
        <v>2064</v>
      </c>
      <c r="F32" s="1867" t="s">
        <v>2094</v>
      </c>
      <c r="H32" s="1878">
        <f t="shared" si="0"/>
        <v>5</v>
      </c>
      <c r="I32" s="1878">
        <f t="shared" si="1"/>
        <v>5</v>
      </c>
      <c r="J32" s="1878">
        <f t="shared" si="2"/>
        <v>5</v>
      </c>
    </row>
    <row r="33" spans="1:11" ht="12" customHeight="1" x14ac:dyDescent="0.2">
      <c r="A33" s="1863" t="s">
        <v>1541</v>
      </c>
      <c r="B33" s="1864"/>
      <c r="C33" s="1865"/>
      <c r="D33" s="1865"/>
      <c r="E33" s="1868"/>
      <c r="F33" s="1867" t="s">
        <v>2095</v>
      </c>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40</v>
      </c>
      <c r="K34" s="1878">
        <f>SUM(H34:J34)</f>
        <v>120</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Warsaw CUSD 316</v>
      </c>
      <c r="J6" s="2323"/>
      <c r="Q6" s="1664"/>
    </row>
    <row r="7" spans="1:17" x14ac:dyDescent="0.2">
      <c r="A7" s="2324" t="s">
        <v>869</v>
      </c>
      <c r="B7" s="2325"/>
      <c r="C7" s="2325"/>
      <c r="D7" s="2325"/>
      <c r="E7" s="2326"/>
      <c r="F7" s="1017"/>
      <c r="G7" s="1009"/>
      <c r="H7" s="1016" t="s">
        <v>372</v>
      </c>
      <c r="I7" s="2327">
        <f>COVER!A13</f>
        <v>26034316026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55579</v>
      </c>
      <c r="F12" s="1039"/>
      <c r="G12" s="1811">
        <f t="shared" ref="G12:G18" si="0">SUM(E12:F12)</f>
        <v>55579</v>
      </c>
      <c r="H12" s="1040">
        <v>57440</v>
      </c>
      <c r="I12" s="1039"/>
      <c r="J12" s="1811">
        <f t="shared" ref="J12:J18" si="1">SUM(H12:I12)</f>
        <v>57440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55579</v>
      </c>
      <c r="F19" s="1813">
        <f t="shared" si="2"/>
        <v>0</v>
      </c>
      <c r="G19" s="1813">
        <f t="shared" si="2"/>
        <v>55579</v>
      </c>
      <c r="H19" s="1813">
        <f t="shared" si="2"/>
        <v>57440</v>
      </c>
      <c r="I19" s="1813">
        <f t="shared" si="2"/>
        <v>0</v>
      </c>
      <c r="J19" s="1813">
        <f t="shared" si="2"/>
        <v>57440</v>
      </c>
    </row>
    <row r="20" spans="1:10" ht="13.5" thickTop="1" x14ac:dyDescent="0.2">
      <c r="A20" s="1035">
        <v>9</v>
      </c>
      <c r="B20" s="2334" t="s">
        <v>1981</v>
      </c>
      <c r="C20" s="2334"/>
      <c r="D20" s="2335"/>
      <c r="E20" s="1046"/>
      <c r="F20" s="1046"/>
      <c r="G20" s="1046"/>
      <c r="H20" s="1046"/>
      <c r="I20" s="1046"/>
      <c r="J20" s="1814">
        <f>IF(AND(G19&gt;0,J19&gt;0),(((J19-G19)/G19)),"Enter Budget Data")</f>
        <v>3.3483869806941471E-2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6"/>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941" t="s">
        <v>2136</v>
      </c>
      <c r="B5" s="1941"/>
    </row>
    <row r="6" spans="1:4" x14ac:dyDescent="0.2">
      <c r="B6" s="329" t="s">
        <v>2116</v>
      </c>
    </row>
    <row r="7" spans="1:4" x14ac:dyDescent="0.2">
      <c r="B7" s="329" t="s">
        <v>2138</v>
      </c>
      <c r="C7" s="329" t="s">
        <v>958</v>
      </c>
      <c r="D7" s="1945">
        <v>665</v>
      </c>
    </row>
    <row r="9" spans="1:4" x14ac:dyDescent="0.2">
      <c r="A9" s="1940" t="s">
        <v>2113</v>
      </c>
      <c r="B9" s="1941"/>
    </row>
    <row r="10" spans="1:4" x14ac:dyDescent="0.2">
      <c r="A10" s="1068"/>
      <c r="B10" s="329" t="s">
        <v>2137</v>
      </c>
    </row>
    <row r="11" spans="1:4" ht="15" x14ac:dyDescent="0.35">
      <c r="A11" s="1068"/>
      <c r="B11" s="329" t="s">
        <v>2114</v>
      </c>
      <c r="C11" s="329" t="s">
        <v>958</v>
      </c>
      <c r="D11" s="1943">
        <v>75</v>
      </c>
    </row>
    <row r="12" spans="1:4" x14ac:dyDescent="0.2">
      <c r="A12" s="1068"/>
      <c r="D12" s="1942"/>
    </row>
    <row r="13" spans="1:4" x14ac:dyDescent="0.2">
      <c r="A13" s="1940" t="s">
        <v>2115</v>
      </c>
      <c r="B13" s="1941"/>
      <c r="D13" s="1942"/>
    </row>
    <row r="14" spans="1:4" x14ac:dyDescent="0.2">
      <c r="A14" s="1069"/>
      <c r="B14" s="329" t="s">
        <v>2116</v>
      </c>
      <c r="D14" s="1942"/>
    </row>
    <row r="15" spans="1:4" ht="15" x14ac:dyDescent="0.35">
      <c r="A15" s="1069"/>
      <c r="B15" s="329" t="s">
        <v>2117</v>
      </c>
      <c r="C15" s="329" t="s">
        <v>958</v>
      </c>
      <c r="D15" s="1943">
        <v>17000</v>
      </c>
    </row>
    <row r="16" spans="1:4" x14ac:dyDescent="0.2">
      <c r="A16" s="1069"/>
      <c r="D16" s="1942"/>
    </row>
    <row r="17" spans="1:4" x14ac:dyDescent="0.2">
      <c r="A17" s="1940" t="s">
        <v>2118</v>
      </c>
      <c r="B17" s="1941"/>
      <c r="D17" s="1942"/>
    </row>
    <row r="18" spans="1:4" x14ac:dyDescent="0.2">
      <c r="A18" s="1069"/>
      <c r="B18" s="329" t="s">
        <v>2116</v>
      </c>
      <c r="D18" s="1942"/>
    </row>
    <row r="19" spans="1:4" ht="15" x14ac:dyDescent="0.35">
      <c r="A19" s="1069"/>
      <c r="B19" s="329" t="s">
        <v>2119</v>
      </c>
      <c r="C19" s="329" t="s">
        <v>958</v>
      </c>
      <c r="D19" s="1943">
        <v>1291</v>
      </c>
    </row>
    <row r="20" spans="1:4" x14ac:dyDescent="0.2">
      <c r="A20" s="1069"/>
      <c r="D20" s="1942"/>
    </row>
    <row r="21" spans="1:4" x14ac:dyDescent="0.2">
      <c r="A21" s="1940" t="s">
        <v>2120</v>
      </c>
      <c r="B21" s="1941"/>
      <c r="D21" s="1942"/>
    </row>
    <row r="22" spans="1:4" x14ac:dyDescent="0.2">
      <c r="A22" s="1069"/>
      <c r="B22" s="329" t="s">
        <v>2116</v>
      </c>
      <c r="D22" s="1942"/>
    </row>
    <row r="23" spans="1:4" ht="15" x14ac:dyDescent="0.35">
      <c r="A23" s="1069"/>
      <c r="B23" s="329" t="s">
        <v>2121</v>
      </c>
      <c r="C23" s="329" t="s">
        <v>958</v>
      </c>
      <c r="D23" s="1943">
        <v>95</v>
      </c>
    </row>
    <row r="24" spans="1:4" x14ac:dyDescent="0.2">
      <c r="A24" s="1069"/>
      <c r="D24" s="1942"/>
    </row>
    <row r="25" spans="1:4" x14ac:dyDescent="0.2">
      <c r="A25" s="1940" t="s">
        <v>2122</v>
      </c>
      <c r="B25" s="1941"/>
      <c r="D25" s="1942"/>
    </row>
    <row r="26" spans="1:4" x14ac:dyDescent="0.2">
      <c r="A26" s="1940"/>
      <c r="B26" s="329" t="s">
        <v>2116</v>
      </c>
      <c r="D26" s="1942"/>
    </row>
    <row r="27" spans="1:4" ht="15" x14ac:dyDescent="0.35">
      <c r="A27" s="1069"/>
      <c r="B27" s="329" t="s">
        <v>2123</v>
      </c>
      <c r="C27" s="329" t="s">
        <v>958</v>
      </c>
      <c r="D27" s="1943">
        <v>938</v>
      </c>
    </row>
    <row r="28" spans="1:4" x14ac:dyDescent="0.2">
      <c r="A28" s="1069"/>
      <c r="D28" s="1942"/>
    </row>
    <row r="29" spans="1:4" x14ac:dyDescent="0.2">
      <c r="A29" s="1069" t="s">
        <v>2124</v>
      </c>
      <c r="D29" s="1942"/>
    </row>
    <row r="30" spans="1:4" x14ac:dyDescent="0.2">
      <c r="A30" s="1069"/>
      <c r="B30" s="329" t="s">
        <v>64</v>
      </c>
      <c r="D30" s="1942"/>
    </row>
    <row r="31" spans="1:4" x14ac:dyDescent="0.2">
      <c r="A31" s="1069"/>
      <c r="B31" s="329" t="s">
        <v>2125</v>
      </c>
      <c r="D31" s="1942"/>
    </row>
    <row r="32" spans="1:4" ht="15" x14ac:dyDescent="0.35">
      <c r="A32" s="1069"/>
      <c r="B32" s="329" t="s">
        <v>2126</v>
      </c>
      <c r="C32" s="329" t="s">
        <v>958</v>
      </c>
      <c r="D32" s="1943">
        <v>899</v>
      </c>
    </row>
    <row r="33" spans="1:4" x14ac:dyDescent="0.2">
      <c r="A33" s="1069"/>
      <c r="D33" s="1942"/>
    </row>
    <row r="34" spans="1:4" x14ac:dyDescent="0.2">
      <c r="A34" s="1940" t="s">
        <v>2127</v>
      </c>
      <c r="B34" s="1941"/>
      <c r="D34" s="1942"/>
    </row>
    <row r="35" spans="1:4" x14ac:dyDescent="0.2">
      <c r="A35" s="1069"/>
      <c r="B35" s="329" t="s">
        <v>64</v>
      </c>
      <c r="D35" s="1942"/>
    </row>
    <row r="36" spans="1:4" x14ac:dyDescent="0.2">
      <c r="A36" s="1069"/>
      <c r="B36" s="329" t="s">
        <v>2128</v>
      </c>
      <c r="D36" s="1942"/>
    </row>
    <row r="37" spans="1:4" x14ac:dyDescent="0.2">
      <c r="A37" s="1069"/>
      <c r="B37" s="329" t="s">
        <v>2129</v>
      </c>
      <c r="C37" s="329" t="s">
        <v>958</v>
      </c>
      <c r="D37" s="1942">
        <v>3060</v>
      </c>
    </row>
    <row r="38" spans="1:4" ht="15" x14ac:dyDescent="0.35">
      <c r="A38" s="1069"/>
      <c r="B38" s="329" t="s">
        <v>2130</v>
      </c>
      <c r="D38" s="1944">
        <v>540</v>
      </c>
    </row>
    <row r="39" spans="1:4" x14ac:dyDescent="0.2">
      <c r="A39" s="1069"/>
      <c r="D39" s="1942"/>
    </row>
    <row r="40" spans="1:4" ht="15" x14ac:dyDescent="0.35">
      <c r="A40" s="1069"/>
      <c r="B40" s="329" t="s">
        <v>156</v>
      </c>
      <c r="C40" s="329" t="s">
        <v>958</v>
      </c>
      <c r="D40" s="1943">
        <f>SUM(D37:D39)</f>
        <v>3600</v>
      </c>
    </row>
    <row r="41" spans="1:4" x14ac:dyDescent="0.2">
      <c r="A41" s="1069"/>
      <c r="D41" s="1942"/>
    </row>
    <row r="42" spans="1:4" x14ac:dyDescent="0.2">
      <c r="A42" s="1940" t="s">
        <v>2131</v>
      </c>
      <c r="B42" s="1941"/>
      <c r="D42" s="1942"/>
    </row>
    <row r="43" spans="1:4" x14ac:dyDescent="0.2">
      <c r="A43" s="1069"/>
      <c r="B43" s="329" t="s">
        <v>2135</v>
      </c>
      <c r="D43" s="1942"/>
    </row>
    <row r="44" spans="1:4" x14ac:dyDescent="0.2">
      <c r="A44" s="1069"/>
      <c r="B44" s="329" t="s">
        <v>2132</v>
      </c>
      <c r="D44" s="1942"/>
    </row>
    <row r="45" spans="1:4" x14ac:dyDescent="0.2">
      <c r="A45" s="1069"/>
      <c r="B45" s="329" t="s">
        <v>2133</v>
      </c>
      <c r="C45" s="329" t="s">
        <v>958</v>
      </c>
      <c r="D45" s="1942">
        <v>1250</v>
      </c>
    </row>
    <row r="46" spans="1:4" ht="15" x14ac:dyDescent="0.35">
      <c r="A46" s="1069"/>
      <c r="B46" s="329" t="s">
        <v>2134</v>
      </c>
      <c r="D46" s="1944">
        <v>43080</v>
      </c>
    </row>
    <row r="47" spans="1:4" x14ac:dyDescent="0.2">
      <c r="A47" s="1069"/>
      <c r="D47" s="1942"/>
    </row>
    <row r="48" spans="1:4" ht="15" x14ac:dyDescent="0.35">
      <c r="A48" s="1069"/>
      <c r="B48" s="329" t="s">
        <v>156</v>
      </c>
      <c r="C48" s="329" t="s">
        <v>958</v>
      </c>
      <c r="D48" s="1943">
        <f>SUM(D45:D47)</f>
        <v>44330</v>
      </c>
    </row>
    <row r="49" spans="1:4" x14ac:dyDescent="0.2">
      <c r="A49" s="1069"/>
      <c r="D49" s="1942"/>
    </row>
    <row r="50" spans="1:4" x14ac:dyDescent="0.2">
      <c r="A50" s="1069"/>
      <c r="D50" s="1942"/>
    </row>
    <row r="51" spans="1:4" x14ac:dyDescent="0.2">
      <c r="A51" s="1069"/>
      <c r="D51" s="1942"/>
    </row>
    <row r="52" spans="1:4" x14ac:dyDescent="0.2">
      <c r="A52" s="1069"/>
      <c r="D52" s="1942"/>
    </row>
    <row r="53" spans="1:4" x14ac:dyDescent="0.2">
      <c r="A53" s="1069"/>
    </row>
    <row r="54" spans="1:4" x14ac:dyDescent="0.2">
      <c r="A54" s="1069"/>
    </row>
    <row r="55" spans="1:4" x14ac:dyDescent="0.2">
      <c r="A55" s="1069"/>
      <c r="B55" s="258" t="str">
        <f>COVER!A17</f>
        <v>Warsaw CUSD 316</v>
      </c>
    </row>
    <row r="56" spans="1:4" x14ac:dyDescent="0.2">
      <c r="B56" s="1070">
        <f>COVER!A13</f>
        <v>26034316026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36" sqref="F3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76200</xdr:colOff>
                <xdr:row>2</xdr:row>
                <xdr:rowOff>19050</xdr:rowOff>
              </from>
              <to>
                <xdr:col>1</xdr:col>
                <xdr:colOff>866775</xdr:colOff>
                <xdr:row>6</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990600</xdr:colOff>
                <xdr:row>2</xdr:row>
                <xdr:rowOff>9525</xdr:rowOff>
              </from>
              <to>
                <xdr:col>1</xdr:col>
                <xdr:colOff>1905000</xdr:colOff>
                <xdr:row>6</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2047875</xdr:colOff>
                <xdr:row>2</xdr:row>
                <xdr:rowOff>19050</xdr:rowOff>
              </from>
              <to>
                <xdr:col>1</xdr:col>
                <xdr:colOff>2962275</xdr:colOff>
                <xdr:row>6</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3105150</xdr:colOff>
                <xdr:row>2</xdr:row>
                <xdr:rowOff>28575</xdr:rowOff>
              </from>
              <to>
                <xdr:col>2</xdr:col>
                <xdr:colOff>38100</xdr:colOff>
                <xdr:row>6</xdr:row>
                <xdr:rowOff>66675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95250</xdr:colOff>
                <xdr:row>2</xdr:row>
                <xdr:rowOff>38100</xdr:rowOff>
              </from>
              <to>
                <xdr:col>3</xdr:col>
                <xdr:colOff>400050</xdr:colOff>
                <xdr:row>6</xdr:row>
                <xdr:rowOff>76200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3</xdr:col>
                <xdr:colOff>542925</xdr:colOff>
                <xdr:row>2</xdr:row>
                <xdr:rowOff>47625</xdr:rowOff>
              </from>
              <to>
                <xdr:col>5</xdr:col>
                <xdr:colOff>238125</xdr:colOff>
                <xdr:row>6</xdr:row>
                <xdr:rowOff>85725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3546642</v>
      </c>
      <c r="C8" s="1815">
        <f>'Acct Summary 7-8'!D8</f>
        <v>372089</v>
      </c>
      <c r="D8" s="1815">
        <f>'Acct Summary 7-8'!F8</f>
        <v>429726</v>
      </c>
      <c r="E8" s="1815">
        <f>'Acct Summary 7-8'!I8</f>
        <v>19357</v>
      </c>
      <c r="F8" s="1815">
        <f>SUM(B8:E8)</f>
        <v>4367814</v>
      </c>
    </row>
    <row r="9" spans="1:8" s="1079" customFormat="1" ht="14.25" customHeight="1" thickBot="1" x14ac:dyDescent="0.25">
      <c r="A9" s="1078" t="s">
        <v>1369</v>
      </c>
      <c r="B9" s="1816">
        <f>'Acct Summary 7-8'!C17</f>
        <v>3316508</v>
      </c>
      <c r="C9" s="1816">
        <f>'Acct Summary 7-8'!D17</f>
        <v>332106</v>
      </c>
      <c r="D9" s="1816">
        <f>'Acct Summary 7-8'!F17</f>
        <v>380056</v>
      </c>
      <c r="E9" s="1815"/>
      <c r="F9" s="1815">
        <f>SUM(B9:E9)</f>
        <v>4028670</v>
      </c>
    </row>
    <row r="10" spans="1:8" s="1079" customFormat="1" ht="14.25" thickTop="1" thickBot="1" x14ac:dyDescent="0.25">
      <c r="A10" s="1080" t="s">
        <v>1370</v>
      </c>
      <c r="B10" s="1817">
        <f>(B8-B9)</f>
        <v>230134</v>
      </c>
      <c r="C10" s="1817">
        <f>(C8-C9)</f>
        <v>39983</v>
      </c>
      <c r="D10" s="1817">
        <f>(D8-D9)</f>
        <v>49670</v>
      </c>
      <c r="E10" s="1816">
        <f>(E8-E9)</f>
        <v>19357</v>
      </c>
      <c r="F10" s="1818">
        <f>SUM(F8-F9)</f>
        <v>339144</v>
      </c>
    </row>
    <row r="11" spans="1:8" s="1079" customFormat="1" ht="14.25" thickTop="1" thickBot="1" x14ac:dyDescent="0.25">
      <c r="A11" s="1081" t="s">
        <v>1985</v>
      </c>
      <c r="B11" s="1819">
        <f>'Acct Summary 7-8'!C81</f>
        <v>990155</v>
      </c>
      <c r="C11" s="1819">
        <f>'Acct Summary 7-8'!D81</f>
        <v>185942</v>
      </c>
      <c r="D11" s="1819">
        <f>'Acct Summary 7-8'!F81</f>
        <v>268012</v>
      </c>
      <c r="E11" s="1819">
        <f>'Acct Summary 7-8'!I81</f>
        <v>87101</v>
      </c>
      <c r="F11" s="1820">
        <f>SUM(B11:E11)</f>
        <v>1531210</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&amp;C&amp;"Franklin Gothic Book,Regular"&amp;8The Notes to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H93" sqref="H9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26034316026</v>
      </c>
    </row>
    <row r="3" spans="1:2" x14ac:dyDescent="0.2">
      <c r="A3" t="s">
        <v>956</v>
      </c>
      <c r="B3" s="138" t="str">
        <f>COVER!A15</f>
        <v>HANCOCK</v>
      </c>
    </row>
    <row r="4" spans="1:2" x14ac:dyDescent="0.2">
      <c r="A4" t="s">
        <v>1007</v>
      </c>
      <c r="B4" s="138" t="str">
        <f>COVER!A17</f>
        <v>Warsaw CUSD 316</v>
      </c>
    </row>
    <row r="5" spans="1:2" x14ac:dyDescent="0.2">
      <c r="A5" t="s">
        <v>704</v>
      </c>
      <c r="B5" s="138" t="str">
        <f>COVER!A38</f>
        <v>ROBERT GOUND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066-003689</v>
      </c>
    </row>
    <row r="16" spans="1:2" x14ac:dyDescent="0.2">
      <c r="A16" t="s">
        <v>422</v>
      </c>
      <c r="B16" s="138" t="str">
        <f>COVER!T13</f>
        <v>GRAY HUNTER STENN LLP</v>
      </c>
    </row>
    <row r="17" spans="1:2" x14ac:dyDescent="0.2">
      <c r="A17" t="s">
        <v>884</v>
      </c>
      <c r="B17" s="138" t="str">
        <f>COVER!T15</f>
        <v>JEFFREY A. MCPHERSON</v>
      </c>
    </row>
    <row r="18" spans="1:2" x14ac:dyDescent="0.2">
      <c r="A18" t="s">
        <v>1150</v>
      </c>
      <c r="B18" s="138" t="str">
        <f>COVER!T17</f>
        <v>500 MAINE STREET, PO BOX 32</v>
      </c>
    </row>
    <row r="19" spans="1:2" x14ac:dyDescent="0.2">
      <c r="A19" t="s">
        <v>886</v>
      </c>
      <c r="B19" s="138" t="str">
        <f>COVER!T25</f>
        <v>JAM@GRAY-HUNTER-STENN.COM</v>
      </c>
    </row>
    <row r="20" spans="1:2" x14ac:dyDescent="0.2">
      <c r="A20" t="s">
        <v>887</v>
      </c>
      <c r="B20" s="138" t="str">
        <f>COVER!T19</f>
        <v>QUINCY</v>
      </c>
    </row>
    <row r="21" spans="1:2" x14ac:dyDescent="0.2">
      <c r="A21" t="s">
        <v>479</v>
      </c>
      <c r="B21" s="138" t="str">
        <f>COVER!X19</f>
        <v>IL</v>
      </c>
    </row>
    <row r="22" spans="1:2" x14ac:dyDescent="0.2">
      <c r="A22" t="s">
        <v>888</v>
      </c>
      <c r="B22" s="138" t="str">
        <f>COVER!Z19</f>
        <v>62306-0032</v>
      </c>
    </row>
    <row r="23" spans="1:2" x14ac:dyDescent="0.2">
      <c r="A23" t="s">
        <v>1152</v>
      </c>
      <c r="B23" s="138" t="str">
        <f>COVER!T21</f>
        <v>217-222-0304</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665</v>
      </c>
      <c r="D76" s="2" t="str">
        <f t="shared" si="0"/>
        <v>Error?</v>
      </c>
    </row>
    <row r="77" spans="1:4" x14ac:dyDescent="0.2">
      <c r="A77" s="5">
        <v>16</v>
      </c>
      <c r="B77" s="138">
        <f>'Assets-Liab 5-6'!C13</f>
        <v>990200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45</v>
      </c>
      <c r="C91" s="2" t="s">
        <v>573</v>
      </c>
      <c r="D91" s="2" t="str">
        <f t="shared" si="0"/>
        <v>Error?</v>
      </c>
    </row>
    <row r="92" spans="1:4" x14ac:dyDescent="0.2">
      <c r="A92" s="5">
        <v>31</v>
      </c>
      <c r="B92" s="138">
        <f>'Assets-Liab 5-6'!C39</f>
        <v>905124</v>
      </c>
      <c r="D92" s="2" t="str">
        <f t="shared" si="0"/>
        <v>Error?</v>
      </c>
    </row>
    <row r="93" spans="1:4" x14ac:dyDescent="0.2">
      <c r="A93" s="5">
        <v>32</v>
      </c>
      <c r="B93" s="138">
        <f>'Assets-Liab 5-6'!C41</f>
        <v>990200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185942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185942</v>
      </c>
      <c r="D123" s="2" t="str">
        <f t="shared" si="0"/>
        <v>Error?</v>
      </c>
    </row>
    <row r="124" spans="1:4" x14ac:dyDescent="0.2">
      <c r="A124" s="5">
        <v>63</v>
      </c>
      <c r="B124" s="138">
        <f>'Assets-Liab 5-6'!D41</f>
        <v>185942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65742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65742</v>
      </c>
      <c r="D140" s="2" t="str">
        <f t="shared" si="1"/>
        <v>Error?</v>
      </c>
    </row>
    <row r="141" spans="1:4" x14ac:dyDescent="0.2">
      <c r="A141" s="5">
        <v>80</v>
      </c>
      <c r="B141" s="138">
        <f>'Assets-Liab 5-6'!E41</f>
        <v>65742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268012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268012</v>
      </c>
      <c r="D170" s="2" t="str">
        <f t="shared" si="1"/>
        <v>Error?</v>
      </c>
    </row>
    <row r="171" spans="1:4" x14ac:dyDescent="0.2">
      <c r="A171" s="5">
        <v>110</v>
      </c>
      <c r="B171" s="138">
        <f>'Assets-Liab 5-6'!F41</f>
        <v>268012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86984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-13643</v>
      </c>
      <c r="D189" s="2" t="str">
        <f t="shared" si="1"/>
        <v>Error?</v>
      </c>
    </row>
    <row r="190" spans="1:4" x14ac:dyDescent="0.2">
      <c r="A190" s="5">
        <v>129</v>
      </c>
      <c r="B190" s="138">
        <f>'Assets-Liab 5-6'!G41</f>
        <v>86984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34122</v>
      </c>
      <c r="D273" s="2" t="str">
        <f t="shared" si="3"/>
        <v>Error?</v>
      </c>
    </row>
    <row r="274" spans="1:4" x14ac:dyDescent="0.2">
      <c r="A274" s="5">
        <v>213</v>
      </c>
      <c r="B274" s="138">
        <f>'Assets-Liab 5-6'!M17</f>
        <v>8057839</v>
      </c>
      <c r="D274" s="2" t="str">
        <f t="shared" si="3"/>
        <v>Error?</v>
      </c>
    </row>
    <row r="275" spans="1:4" x14ac:dyDescent="0.2">
      <c r="A275" s="5">
        <v>214</v>
      </c>
      <c r="B275" s="138">
        <f>'Assets-Liab 5-6'!M18</f>
        <v>60200</v>
      </c>
      <c r="D275" s="2" t="str">
        <f t="shared" si="3"/>
        <v>Error?</v>
      </c>
    </row>
    <row r="276" spans="1:4" x14ac:dyDescent="0.2">
      <c r="A276" s="5">
        <v>215</v>
      </c>
      <c r="B276" s="138">
        <f>'Assets-Liab 5-6'!M19</f>
        <v>526165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8678326</v>
      </c>
      <c r="C279" s="2" t="s">
        <v>573</v>
      </c>
      <c r="D279" s="2" t="str">
        <f t="shared" si="3"/>
        <v>Error?</v>
      </c>
    </row>
    <row r="280" spans="1:4" x14ac:dyDescent="0.2">
      <c r="A280" s="5">
        <v>219</v>
      </c>
      <c r="B280" s="138">
        <f>'Assets-Liab 5-6'!M40</f>
        <v>8678326</v>
      </c>
      <c r="D280" s="2" t="str">
        <f t="shared" si="3"/>
        <v>Error?</v>
      </c>
    </row>
    <row r="281" spans="1:4" x14ac:dyDescent="0.2">
      <c r="A281" s="5">
        <v>220</v>
      </c>
      <c r="B281" s="138">
        <f>'Assets-Liab 5-6'!M41</f>
        <v>8678326</v>
      </c>
      <c r="C281" s="2" t="s">
        <v>573</v>
      </c>
      <c r="D281" s="2" t="str">
        <f t="shared" si="3"/>
        <v>Error?</v>
      </c>
    </row>
    <row r="282" spans="1:4" x14ac:dyDescent="0.2">
      <c r="A282" s="5">
        <v>221</v>
      </c>
      <c r="B282" s="138">
        <f>'Assets-Liab 5-6'!N21</f>
        <v>65742</v>
      </c>
      <c r="D282" s="2" t="str">
        <f t="shared" si="3"/>
        <v>Error?</v>
      </c>
    </row>
    <row r="283" spans="1:4" x14ac:dyDescent="0.2">
      <c r="A283" s="5">
        <v>222</v>
      </c>
      <c r="B283" s="138">
        <f>'Assets-Liab 5-6'!N22</f>
        <v>1134258</v>
      </c>
      <c r="D283" s="2" t="str">
        <f t="shared" si="3"/>
        <v>Error?</v>
      </c>
    </row>
    <row r="284" spans="1:4" x14ac:dyDescent="0.2">
      <c r="A284" s="5">
        <v>223</v>
      </c>
      <c r="B284" s="138">
        <f>'Assets-Liab 5-6'!N23</f>
        <v>1200000</v>
      </c>
      <c r="C284" s="2" t="s">
        <v>573</v>
      </c>
      <c r="D284" s="2" t="str">
        <f t="shared" si="3"/>
        <v>Error?</v>
      </c>
    </row>
    <row r="285" spans="1:4" x14ac:dyDescent="0.2">
      <c r="A285" s="5">
        <v>224</v>
      </c>
      <c r="B285" s="138">
        <f>'Assets-Liab 5-6'!N36</f>
        <v>1200000</v>
      </c>
      <c r="D285" s="2" t="str">
        <f t="shared" si="3"/>
        <v>Error?</v>
      </c>
    </row>
    <row r="286" spans="1:4" x14ac:dyDescent="0.2">
      <c r="A286" s="10">
        <v>225</v>
      </c>
      <c r="D286" s="2" t="str">
        <f t="shared" si="3"/>
        <v>OK</v>
      </c>
    </row>
    <row r="287" spans="1:4" x14ac:dyDescent="0.2">
      <c r="A287" s="5">
        <v>226</v>
      </c>
      <c r="B287" s="138">
        <f>'Assets-Liab 5-6'!N37</f>
        <v>1200000</v>
      </c>
      <c r="C287" s="2" t="s">
        <v>573</v>
      </c>
      <c r="D287" s="2" t="str">
        <f t="shared" si="3"/>
        <v>Error?</v>
      </c>
    </row>
    <row r="288" spans="1:4" x14ac:dyDescent="0.2">
      <c r="A288" s="5">
        <v>227</v>
      </c>
      <c r="B288" s="138">
        <f>'Assets-Liab 5-6'!N41</f>
        <v>1200000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43080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954616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85345</v>
      </c>
      <c r="D717" s="2" t="str">
        <f t="shared" si="10"/>
        <v>Error?</v>
      </c>
    </row>
    <row r="718" spans="1:4" x14ac:dyDescent="0.2">
      <c r="A718" s="5">
        <v>657</v>
      </c>
      <c r="B718" s="138">
        <f>'Expenditures 15-22'!C14</f>
        <v>56904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1449028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46883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95304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2100</v>
      </c>
      <c r="D732" s="2" t="str">
        <f t="shared" si="10"/>
        <v>Error?</v>
      </c>
    </row>
    <row r="733" spans="1:4" x14ac:dyDescent="0.2">
      <c r="A733" s="5">
        <v>672</v>
      </c>
      <c r="B733" s="138">
        <f>'Expenditures 15-22'!C50</f>
        <v>39535</v>
      </c>
      <c r="D733" s="2" t="str">
        <f t="shared" si="10"/>
        <v>Error?</v>
      </c>
    </row>
    <row r="734" spans="1:4" x14ac:dyDescent="0.2">
      <c r="A734" s="5">
        <v>673</v>
      </c>
      <c r="B734" s="138">
        <f>'Expenditures 15-22'!C53</f>
        <v>41635</v>
      </c>
      <c r="C734" s="2" t="s">
        <v>573</v>
      </c>
      <c r="D734" s="2" t="str">
        <f t="shared" si="10"/>
        <v>Error?</v>
      </c>
    </row>
    <row r="735" spans="1:4" x14ac:dyDescent="0.2">
      <c r="A735" s="5">
        <v>674</v>
      </c>
      <c r="B735" s="138">
        <f>'Expenditures 15-22'!C55</f>
        <v>143647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143647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30806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51862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82668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363254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1812282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275313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15341</v>
      </c>
      <c r="D775" s="2" t="str">
        <f t="shared" si="11"/>
        <v>Error?</v>
      </c>
    </row>
    <row r="776" spans="1:4" x14ac:dyDescent="0.2">
      <c r="A776" s="5">
        <v>715</v>
      </c>
      <c r="B776" s="138">
        <f>'Expenditures 15-22'!D14</f>
        <v>10571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413581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13958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13958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15075</v>
      </c>
      <c r="D791" s="2" t="str">
        <f t="shared" si="11"/>
        <v>Error?</v>
      </c>
    </row>
    <row r="792" spans="1:4" x14ac:dyDescent="0.2">
      <c r="A792" s="5">
        <v>731</v>
      </c>
      <c r="B792" s="138">
        <f>'Expenditures 15-22'!D53</f>
        <v>15075</v>
      </c>
      <c r="C792" s="2" t="s">
        <v>573</v>
      </c>
      <c r="D792" s="2" t="str">
        <f t="shared" si="11"/>
        <v>Error?</v>
      </c>
    </row>
    <row r="793" spans="1:4" x14ac:dyDescent="0.2">
      <c r="A793" s="5">
        <v>732</v>
      </c>
      <c r="B793" s="138">
        <f>'Expenditures 15-22'!D55</f>
        <v>45278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45278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6983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6994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81305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494886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71147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275</v>
      </c>
      <c r="D833" s="2" t="str">
        <f t="shared" si="12"/>
        <v>Error?</v>
      </c>
    </row>
    <row r="834" spans="1:4" x14ac:dyDescent="0.2">
      <c r="A834" s="5">
        <v>773</v>
      </c>
      <c r="B834" s="138">
        <f>'Expenditures 15-22'!E14</f>
        <v>8062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84343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899</v>
      </c>
      <c r="D842" s="2" t="str">
        <f t="shared" si="12"/>
        <v>Error?</v>
      </c>
    </row>
    <row r="843" spans="1:4" x14ac:dyDescent="0.2">
      <c r="A843" s="5">
        <v>782</v>
      </c>
      <c r="B843" s="138">
        <f>'Expenditures 15-22'!E42</f>
        <v>1105</v>
      </c>
      <c r="C843" s="2" t="s">
        <v>573</v>
      </c>
      <c r="D843" s="2" t="str">
        <f t="shared" si="12"/>
        <v>Error?</v>
      </c>
    </row>
    <row r="844" spans="1:4" x14ac:dyDescent="0.2">
      <c r="A844" s="5">
        <v>783</v>
      </c>
      <c r="B844" s="138">
        <f>'Expenditures 15-22'!E44</f>
        <v>5269</v>
      </c>
      <c r="D844" s="2" t="str">
        <f t="shared" si="12"/>
        <v>Error?</v>
      </c>
    </row>
    <row r="845" spans="1:4" x14ac:dyDescent="0.2">
      <c r="A845" s="5">
        <v>784</v>
      </c>
      <c r="B845" s="138">
        <f>'Expenditures 15-22'!E45</f>
        <v>14430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19699</v>
      </c>
      <c r="C847" s="2" t="s">
        <v>573</v>
      </c>
      <c r="D847" s="2" t="str">
        <f t="shared" si="12"/>
        <v>Error?</v>
      </c>
    </row>
    <row r="848" spans="1:4" x14ac:dyDescent="0.2">
      <c r="A848" s="5">
        <v>787</v>
      </c>
      <c r="B848" s="138">
        <f>'Expenditures 15-22'!E49</f>
        <v>8077</v>
      </c>
      <c r="D848" s="2" t="str">
        <f t="shared" si="12"/>
        <v>Error?</v>
      </c>
    </row>
    <row r="849" spans="1:4" x14ac:dyDescent="0.2">
      <c r="A849" s="5">
        <v>788</v>
      </c>
      <c r="B849" s="138">
        <f>'Expenditures 15-22'!E50</f>
        <v>125</v>
      </c>
      <c r="D849" s="2" t="str">
        <f t="shared" si="12"/>
        <v>Error?</v>
      </c>
    </row>
    <row r="850" spans="1:4" x14ac:dyDescent="0.2">
      <c r="A850" s="5">
        <v>789</v>
      </c>
      <c r="B850" s="138">
        <f>'Expenditures 15-22'!E53</f>
        <v>8202</v>
      </c>
      <c r="C850" s="2" t="s">
        <v>573</v>
      </c>
      <c r="D850" s="2" t="str">
        <f t="shared" si="12"/>
        <v>Error?</v>
      </c>
    </row>
    <row r="851" spans="1:4" x14ac:dyDescent="0.2">
      <c r="A851" s="5">
        <v>790</v>
      </c>
      <c r="B851" s="138">
        <f>'Expenditures 15-22'!E55</f>
        <v>645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645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11699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13506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733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733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43890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211521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95570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14870</v>
      </c>
      <c r="D891" s="2" t="str">
        <f t="shared" si="12"/>
        <v>Error?</v>
      </c>
    </row>
    <row r="892" spans="1:4" x14ac:dyDescent="0.2">
      <c r="A892" s="5">
        <v>831</v>
      </c>
      <c r="B892" s="138">
        <f>'Expenditures 15-22'!F14</f>
        <v>5652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125628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47</v>
      </c>
      <c r="D906" s="2" t="str">
        <f t="shared" si="13"/>
        <v>Error?</v>
      </c>
    </row>
    <row r="907" spans="1:4" x14ac:dyDescent="0.2">
      <c r="A907" s="5">
        <v>846</v>
      </c>
      <c r="B907" s="138">
        <f>'Expenditures 15-22'!F50</f>
        <v>84</v>
      </c>
      <c r="D907" s="2" t="str">
        <f t="shared" si="13"/>
        <v>Error?</v>
      </c>
    </row>
    <row r="908" spans="1:4" x14ac:dyDescent="0.2">
      <c r="A908" s="5">
        <v>847</v>
      </c>
      <c r="B908" s="138">
        <f>'Expenditures 15-22'!F53</f>
        <v>131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112291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113039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113449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239077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15276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31099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52551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3682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3682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3682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56233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119954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11514</v>
      </c>
      <c r="D1022" s="2" t="str">
        <f t="shared" si="14"/>
        <v>Error?</v>
      </c>
    </row>
    <row r="1023" spans="1:4" x14ac:dyDescent="0.2">
      <c r="A1023" s="5">
        <v>962</v>
      </c>
      <c r="B1023" s="138">
        <f>'Expenditures 15-22'!H50</f>
        <v>760</v>
      </c>
      <c r="D1023" s="2" t="str">
        <f t="shared" ref="D1023:D1086" si="15">IF(ISBLANK(B1023),"OK",IF(A1023-B1023=0,"OK","Error?"))</f>
        <v>Error?</v>
      </c>
    </row>
    <row r="1024" spans="1:4" x14ac:dyDescent="0.2">
      <c r="A1024" s="5">
        <v>963</v>
      </c>
      <c r="B1024" s="138">
        <f>'Expenditures 15-22'!H53</f>
        <v>12274</v>
      </c>
      <c r="C1024" s="2" t="s">
        <v>573</v>
      </c>
      <c r="D1024" s="2" t="str">
        <f t="shared" si="15"/>
        <v>Error?</v>
      </c>
    </row>
    <row r="1025" spans="1:4" x14ac:dyDescent="0.2">
      <c r="A1025" s="5">
        <v>964</v>
      </c>
      <c r="B1025" s="138">
        <f>'Expenditures 15-22'!H55</f>
        <v>639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1875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1875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14788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367767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502509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1413625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146930</v>
      </c>
      <c r="C1105" s="2" t="s">
        <v>573</v>
      </c>
      <c r="D1105" s="2" t="str">
        <f t="shared" si="16"/>
        <v>Error?</v>
      </c>
    </row>
    <row r="1106" spans="1:4" x14ac:dyDescent="0.2">
      <c r="A1106" s="5">
        <v>1045</v>
      </c>
      <c r="B1106" s="138">
        <f>'Expenditures 15-22'!K14</f>
        <v>84609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2245085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47178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62569</v>
      </c>
      <c r="C1113" s="2" t="s">
        <v>573</v>
      </c>
      <c r="D1113" s="2" t="str">
        <f t="shared" si="16"/>
        <v>Error?</v>
      </c>
    </row>
    <row r="1114" spans="1:4" x14ac:dyDescent="0.2">
      <c r="A1114" s="5">
        <v>1053</v>
      </c>
      <c r="B1114" s="138">
        <f>'Expenditures 15-22'!K41</f>
        <v>899</v>
      </c>
      <c r="C1114" s="2" t="s">
        <v>573</v>
      </c>
      <c r="D1114" s="2" t="str">
        <f t="shared" si="16"/>
        <v>Error?</v>
      </c>
    </row>
    <row r="1115" spans="1:4" x14ac:dyDescent="0.2">
      <c r="A1115" s="5">
        <v>1054</v>
      </c>
      <c r="B1115" s="138">
        <f>'Expenditures 15-22'!K42</f>
        <v>110646</v>
      </c>
      <c r="C1115" s="2" t="s">
        <v>573</v>
      </c>
      <c r="D1115" s="2" t="str">
        <f t="shared" si="16"/>
        <v>Error?</v>
      </c>
    </row>
    <row r="1116" spans="1:4" x14ac:dyDescent="0.2">
      <c r="A1116" s="5">
        <v>1055</v>
      </c>
      <c r="B1116" s="138">
        <f>'Expenditures 15-22'!K44</f>
        <v>5269</v>
      </c>
      <c r="C1116" s="2" t="s">
        <v>573</v>
      </c>
      <c r="D1116" s="2" t="str">
        <f t="shared" si="16"/>
        <v>Error?</v>
      </c>
    </row>
    <row r="1117" spans="1:4" x14ac:dyDescent="0.2">
      <c r="A1117" s="5">
        <v>1056</v>
      </c>
      <c r="B1117" s="138">
        <f>'Expenditures 15-22'!K45</f>
        <v>14430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19699</v>
      </c>
      <c r="C1119" s="2" t="s">
        <v>573</v>
      </c>
      <c r="D1119" s="2" t="str">
        <f t="shared" si="16"/>
        <v>Error?</v>
      </c>
    </row>
    <row r="1120" spans="1:4" x14ac:dyDescent="0.2">
      <c r="A1120" s="5">
        <v>1059</v>
      </c>
      <c r="B1120" s="138">
        <f>'Expenditures 15-22'!K49</f>
        <v>21738</v>
      </c>
      <c r="C1120" s="2" t="s">
        <v>573</v>
      </c>
      <c r="D1120" s="2" t="str">
        <f t="shared" si="16"/>
        <v>Error?</v>
      </c>
    </row>
    <row r="1121" spans="1:4" x14ac:dyDescent="0.2">
      <c r="A1121" s="5">
        <v>1060</v>
      </c>
      <c r="B1121" s="138">
        <f>'Expenditures 15-22'!K50</f>
        <v>55579</v>
      </c>
      <c r="C1121" s="2" t="s">
        <v>573</v>
      </c>
      <c r="D1121" s="2" t="str">
        <f t="shared" si="16"/>
        <v>Error?</v>
      </c>
    </row>
    <row r="1122" spans="1:4" x14ac:dyDescent="0.2">
      <c r="A1122" s="5">
        <v>1061</v>
      </c>
      <c r="B1122" s="138">
        <f>'Expenditures 15-22'!K53</f>
        <v>77317</v>
      </c>
      <c r="C1122" s="2" t="s">
        <v>573</v>
      </c>
      <c r="D1122" s="2" t="str">
        <f t="shared" si="16"/>
        <v>Error?</v>
      </c>
    </row>
    <row r="1123" spans="1:4" x14ac:dyDescent="0.2">
      <c r="A1123" s="5">
        <v>1062</v>
      </c>
      <c r="B1123" s="138">
        <f>'Expenditures 15-22'!K55</f>
        <v>190209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190209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35247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186517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221764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733</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733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620368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451055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3316508</v>
      </c>
      <c r="C1152" s="2" t="s">
        <v>573</v>
      </c>
      <c r="D1152" s="2" t="str">
        <f t="shared" si="17"/>
        <v>Error?</v>
      </c>
    </row>
    <row r="1153" spans="1:4" x14ac:dyDescent="0.2">
      <c r="A1153" s="5">
        <v>1092</v>
      </c>
      <c r="B1153" s="138">
        <f>'Expenditures 15-22'!K115</f>
        <v>230134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91406</v>
      </c>
      <c r="D1221" s="2" t="str">
        <f t="shared" si="18"/>
        <v>Error?</v>
      </c>
    </row>
    <row r="1222" spans="1:4" x14ac:dyDescent="0.2">
      <c r="A1222" s="10">
        <v>1161</v>
      </c>
      <c r="D1222" s="2" t="str">
        <f t="shared" si="18"/>
        <v>OK</v>
      </c>
    </row>
    <row r="1223" spans="1:4" x14ac:dyDescent="0.2">
      <c r="A1223" s="5">
        <v>1162</v>
      </c>
      <c r="B1223" s="138">
        <f>'Expenditures 15-22'!C127</f>
        <v>91406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91406</v>
      </c>
      <c r="C1225" s="2" t="s">
        <v>573</v>
      </c>
      <c r="D1225" s="2" t="str">
        <f t="shared" si="18"/>
        <v>Error?</v>
      </c>
    </row>
    <row r="1226" spans="1:4" x14ac:dyDescent="0.2">
      <c r="A1226" s="5">
        <v>1165</v>
      </c>
      <c r="B1226" s="138">
        <f>'Expenditures 15-22'!C151</f>
        <v>91406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8586</v>
      </c>
      <c r="D1229" s="2" t="str">
        <f t="shared" si="18"/>
        <v>Error?</v>
      </c>
    </row>
    <row r="1230" spans="1:4" x14ac:dyDescent="0.2">
      <c r="A1230" s="10">
        <v>1169</v>
      </c>
      <c r="D1230" s="2" t="str">
        <f t="shared" si="18"/>
        <v>OK</v>
      </c>
    </row>
    <row r="1231" spans="1:4" x14ac:dyDescent="0.2">
      <c r="A1231" s="5">
        <v>1170</v>
      </c>
      <c r="B1231" s="138">
        <f>'Expenditures 15-22'!D127</f>
        <v>8586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8586</v>
      </c>
      <c r="C1233" s="2" t="s">
        <v>573</v>
      </c>
      <c r="D1233" s="2" t="str">
        <f t="shared" si="18"/>
        <v>Error?</v>
      </c>
    </row>
    <row r="1234" spans="1:4" x14ac:dyDescent="0.2">
      <c r="A1234" s="5">
        <v>1173</v>
      </c>
      <c r="B1234" s="138">
        <f>'Expenditures 15-22'!D151</f>
        <v>8586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50601</v>
      </c>
      <c r="D1237" s="2" t="str">
        <f t="shared" si="18"/>
        <v>Error?</v>
      </c>
    </row>
    <row r="1238" spans="1:4" x14ac:dyDescent="0.2">
      <c r="A1238" s="10">
        <v>1177</v>
      </c>
      <c r="D1238" s="2" t="str">
        <f t="shared" si="18"/>
        <v>OK</v>
      </c>
    </row>
    <row r="1239" spans="1:4" x14ac:dyDescent="0.2">
      <c r="A1239" s="5">
        <v>1178</v>
      </c>
      <c r="B1239" s="138">
        <f>'Expenditures 15-22'!E127</f>
        <v>50601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50601</v>
      </c>
      <c r="C1241" s="2" t="s">
        <v>573</v>
      </c>
      <c r="D1241" s="2" t="str">
        <f t="shared" si="18"/>
        <v>Error?</v>
      </c>
    </row>
    <row r="1242" spans="1:4" x14ac:dyDescent="0.2">
      <c r="A1242" s="5">
        <v>1181</v>
      </c>
      <c r="B1242" s="138">
        <f>'Expenditures 15-22'!E151</f>
        <v>50601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164982</v>
      </c>
      <c r="D1245" s="2" t="str">
        <f t="shared" si="18"/>
        <v>Error?</v>
      </c>
    </row>
    <row r="1246" spans="1:4" x14ac:dyDescent="0.2">
      <c r="A1246" s="10">
        <v>1185</v>
      </c>
      <c r="D1246" s="2" t="str">
        <f t="shared" si="18"/>
        <v>OK</v>
      </c>
    </row>
    <row r="1247" spans="1:4" x14ac:dyDescent="0.2">
      <c r="A1247" s="5">
        <v>1186</v>
      </c>
      <c r="B1247" s="138">
        <f>'Expenditures 15-22'!F127</f>
        <v>164982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164982</v>
      </c>
      <c r="C1249" s="2" t="s">
        <v>573</v>
      </c>
      <c r="D1249" s="2" t="str">
        <f t="shared" si="18"/>
        <v>Error?</v>
      </c>
    </row>
    <row r="1250" spans="1:4" x14ac:dyDescent="0.2">
      <c r="A1250" s="5">
        <v>1189</v>
      </c>
      <c r="B1250" s="138">
        <f>'Expenditures 15-22'!F151</f>
        <v>164982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16531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16531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16531</v>
      </c>
      <c r="C1258" s="2" t="s">
        <v>573</v>
      </c>
      <c r="D1258" s="2" t="str">
        <f t="shared" si="18"/>
        <v>Error?</v>
      </c>
    </row>
    <row r="1259" spans="1:4" x14ac:dyDescent="0.2">
      <c r="A1259" s="5">
        <v>1198</v>
      </c>
      <c r="B1259" s="138">
        <f>'Expenditures 15-22'!G151</f>
        <v>16531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332106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332106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332106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332106</v>
      </c>
      <c r="C1288" s="2" t="s">
        <v>573</v>
      </c>
      <c r="D1288" s="2" t="str">
        <f t="shared" si="19"/>
        <v>Error?</v>
      </c>
    </row>
    <row r="1289" spans="1:4" x14ac:dyDescent="0.2">
      <c r="A1289" s="5">
        <v>1228</v>
      </c>
      <c r="B1289" s="138">
        <f>'Expenditures 15-22'!K152</f>
        <v>39983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63365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965000</v>
      </c>
      <c r="D1315" s="2" t="str">
        <f t="shared" si="19"/>
        <v>Error?</v>
      </c>
    </row>
    <row r="1316" spans="1:4" x14ac:dyDescent="0.2">
      <c r="A1316" s="5">
        <v>1255</v>
      </c>
      <c r="B1316" s="138">
        <f>'Expenditures 15-22'!H171</f>
        <v>44330</v>
      </c>
      <c r="D1316" s="2" t="str">
        <f t="shared" si="19"/>
        <v>Error?</v>
      </c>
    </row>
    <row r="1317" spans="1:4" x14ac:dyDescent="0.2">
      <c r="A1317" s="5">
        <v>1256</v>
      </c>
      <c r="B1317" s="138">
        <f>'Expenditures 15-22'!H172</f>
        <v>1072695</v>
      </c>
      <c r="C1317" s="2" t="s">
        <v>573</v>
      </c>
      <c r="D1317" s="2" t="str">
        <f t="shared" si="19"/>
        <v>Error?</v>
      </c>
    </row>
    <row r="1318" spans="1:4" x14ac:dyDescent="0.2">
      <c r="A1318" s="5">
        <v>1257</v>
      </c>
      <c r="B1318" s="138">
        <f>'Expenditures 15-22'!H174</f>
        <v>1072695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63365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965000</v>
      </c>
      <c r="C1329" s="2" t="s">
        <v>573</v>
      </c>
      <c r="D1329" s="2" t="str">
        <f t="shared" si="19"/>
        <v>Error?</v>
      </c>
    </row>
    <row r="1330" spans="1:4" x14ac:dyDescent="0.2">
      <c r="A1330" s="5">
        <v>1269</v>
      </c>
      <c r="B1330" s="138">
        <f>'Expenditures 15-22'!K171</f>
        <v>44330</v>
      </c>
      <c r="C1330" s="2" t="s">
        <v>573</v>
      </c>
      <c r="D1330" s="2" t="str">
        <f t="shared" si="19"/>
        <v>Error?</v>
      </c>
    </row>
    <row r="1331" spans="1:4" x14ac:dyDescent="0.2">
      <c r="A1331" s="5">
        <v>1270</v>
      </c>
      <c r="B1331" s="138">
        <f>'Expenditures 15-22'!K172</f>
        <v>1072695</v>
      </c>
      <c r="C1331" s="2" t="s">
        <v>573</v>
      </c>
      <c r="D1331" s="2" t="str">
        <f t="shared" si="19"/>
        <v>Error?</v>
      </c>
    </row>
    <row r="1332" spans="1:4" x14ac:dyDescent="0.2">
      <c r="A1332" s="5">
        <v>1271</v>
      </c>
      <c r="B1332" s="138">
        <f>'Expenditures 15-22'!K174</f>
        <v>1072695</v>
      </c>
      <c r="C1332" s="2" t="s">
        <v>573</v>
      </c>
      <c r="D1332" s="2" t="str">
        <f t="shared" si="19"/>
        <v>Error?</v>
      </c>
    </row>
    <row r="1333" spans="1:4" x14ac:dyDescent="0.2">
      <c r="A1333" s="5">
        <v>1272</v>
      </c>
      <c r="B1333" s="138">
        <f>'Expenditures 15-22'!K175</f>
        <v>-800529</v>
      </c>
      <c r="C1333" s="2" t="s">
        <v>573</v>
      </c>
      <c r="D1333" s="2" t="str">
        <f t="shared" si="19"/>
        <v>Error?</v>
      </c>
    </row>
    <row r="1334" spans="1:4" x14ac:dyDescent="0.2">
      <c r="A1334" s="10">
        <v>1273</v>
      </c>
      <c r="D1334" s="2" t="str">
        <f t="shared" si="19"/>
        <v>OK</v>
      </c>
    </row>
    <row r="1335" spans="1:4" x14ac:dyDescent="0.2">
      <c r="A1335" s="5">
        <v>1274</v>
      </c>
      <c r="B1335" s="138">
        <f>'Expenditures 15-22'!C182</f>
        <v>152981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152981</v>
      </c>
      <c r="C1339" s="2" t="s">
        <v>573</v>
      </c>
      <c r="D1339" s="2" t="str">
        <f t="shared" si="19"/>
        <v>Error?</v>
      </c>
    </row>
    <row r="1340" spans="1:4" x14ac:dyDescent="0.2">
      <c r="A1340" s="5">
        <v>1279</v>
      </c>
      <c r="B1340" s="138">
        <f>'Expenditures 15-22'!C210</f>
        <v>152981</v>
      </c>
      <c r="C1340" s="2" t="s">
        <v>573</v>
      </c>
      <c r="D1340" s="2" t="str">
        <f t="shared" si="19"/>
        <v>Error?</v>
      </c>
    </row>
    <row r="1341" spans="1:4" x14ac:dyDescent="0.2">
      <c r="A1341" s="5">
        <v>1280</v>
      </c>
      <c r="B1341" s="138">
        <f>'Expenditures 15-22'!D182</f>
        <v>17856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17856</v>
      </c>
      <c r="C1345" s="2" t="s">
        <v>573</v>
      </c>
      <c r="D1345" s="2" t="str">
        <f t="shared" si="20"/>
        <v>Error?</v>
      </c>
    </row>
    <row r="1346" spans="1:4" x14ac:dyDescent="0.2">
      <c r="A1346" s="5">
        <v>1285</v>
      </c>
      <c r="B1346" s="138">
        <f>'Expenditures 15-22'!D210</f>
        <v>17856</v>
      </c>
      <c r="C1346" s="2" t="s">
        <v>573</v>
      </c>
      <c r="D1346" s="2" t="str">
        <f t="shared" si="20"/>
        <v>Error?</v>
      </c>
    </row>
    <row r="1347" spans="1:4" x14ac:dyDescent="0.2">
      <c r="A1347" s="5">
        <v>1286</v>
      </c>
      <c r="B1347" s="138">
        <f>'Expenditures 15-22'!E182</f>
        <v>168921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168921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168921</v>
      </c>
      <c r="C1353" s="2" t="s">
        <v>573</v>
      </c>
      <c r="D1353" s="2" t="str">
        <f t="shared" si="20"/>
        <v>Error?</v>
      </c>
    </row>
    <row r="1354" spans="1:4" x14ac:dyDescent="0.2">
      <c r="A1354" s="5">
        <v>1293</v>
      </c>
      <c r="B1354" s="138">
        <f>'Expenditures 15-22'!F182</f>
        <v>39419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39419</v>
      </c>
      <c r="C1358" s="2" t="s">
        <v>573</v>
      </c>
      <c r="D1358" s="2" t="str">
        <f t="shared" si="20"/>
        <v>Error?</v>
      </c>
    </row>
    <row r="1359" spans="1:4" x14ac:dyDescent="0.2">
      <c r="A1359" s="5">
        <v>1298</v>
      </c>
      <c r="B1359" s="138">
        <f>'Expenditures 15-22'!F210</f>
        <v>39419</v>
      </c>
      <c r="C1359" s="2" t="s">
        <v>573</v>
      </c>
      <c r="D1359" s="2" t="str">
        <f t="shared" si="20"/>
        <v>Error?</v>
      </c>
    </row>
    <row r="1360" spans="1:4" x14ac:dyDescent="0.2">
      <c r="A1360" s="5">
        <v>1299</v>
      </c>
      <c r="B1360" s="138">
        <f>'Expenditures 15-22'!G182</f>
        <v>879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879</v>
      </c>
      <c r="C1364" s="2" t="s">
        <v>573</v>
      </c>
      <c r="D1364" s="2" t="str">
        <f t="shared" si="20"/>
        <v>Error?</v>
      </c>
    </row>
    <row r="1365" spans="1:4" x14ac:dyDescent="0.2">
      <c r="A1365" s="5">
        <v>1304</v>
      </c>
      <c r="B1365" s="138">
        <f>'Expenditures 15-22'!G210</f>
        <v>879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380056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380056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380056</v>
      </c>
      <c r="C1388" s="2" t="s">
        <v>573</v>
      </c>
      <c r="D1388" s="2" t="str">
        <f t="shared" si="20"/>
        <v>Error?</v>
      </c>
    </row>
    <row r="1389" spans="1:4" x14ac:dyDescent="0.2">
      <c r="A1389" s="5">
        <v>1328</v>
      </c>
      <c r="B1389" s="138">
        <f>'Expenditures 15-22'!K211</f>
        <v>49670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1218</v>
      </c>
      <c r="D1407" s="2" t="str">
        <f t="shared" ref="D1407:D1470" si="21">IF(ISBLANK(B1407),"OK",IF(A1407-B1407=0,"OK","Error?"))</f>
        <v>Error?</v>
      </c>
    </row>
    <row r="1408" spans="1:4" x14ac:dyDescent="0.2">
      <c r="A1408" s="5">
        <v>1347</v>
      </c>
      <c r="B1408" s="138">
        <f>'Expenditures 15-22'!D223</f>
        <v>2184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31764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680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660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1340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422</v>
      </c>
      <c r="D1422" s="2" t="str">
        <f t="shared" si="21"/>
        <v>Error?</v>
      </c>
    </row>
    <row r="1423" spans="1:4" x14ac:dyDescent="0.2">
      <c r="A1423" s="5">
        <v>1362</v>
      </c>
      <c r="B1423" s="138">
        <f>'Expenditures 15-22'!D246</f>
        <v>573</v>
      </c>
      <c r="D1423" s="2" t="str">
        <f t="shared" si="21"/>
        <v>Error?</v>
      </c>
    </row>
    <row r="1424" spans="1:4" x14ac:dyDescent="0.2">
      <c r="A1424" s="5">
        <v>1363</v>
      </c>
      <c r="B1424" s="138">
        <f>'Expenditures 15-22'!D257</f>
        <v>2440</v>
      </c>
      <c r="C1424" s="2" t="s">
        <v>573</v>
      </c>
      <c r="D1424" s="2" t="str">
        <f t="shared" si="21"/>
        <v>Error?</v>
      </c>
    </row>
    <row r="1425" spans="1:4" x14ac:dyDescent="0.2">
      <c r="A1425" s="5">
        <v>1364</v>
      </c>
      <c r="B1425" s="138">
        <f>'Expenditures 15-22'!D259</f>
        <v>10369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10369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13698</v>
      </c>
      <c r="D1431" s="2" t="str">
        <f t="shared" si="21"/>
        <v>Error?</v>
      </c>
    </row>
    <row r="1432" spans="1:4" x14ac:dyDescent="0.2">
      <c r="A1432" s="5">
        <v>1371</v>
      </c>
      <c r="B1432" s="138">
        <f>'Expenditures 15-22'!D267</f>
        <v>17125</v>
      </c>
      <c r="D1432" s="2" t="str">
        <f t="shared" si="21"/>
        <v>Error?</v>
      </c>
    </row>
    <row r="1433" spans="1:4" x14ac:dyDescent="0.2">
      <c r="A1433" s="5">
        <v>1372</v>
      </c>
      <c r="B1433" s="138">
        <f>'Expenditures 15-22'!D268</f>
        <v>5647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42534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56683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88447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1218</v>
      </c>
      <c r="C1471" s="2" t="s">
        <v>573</v>
      </c>
      <c r="D1471" s="2" t="str">
        <f t="shared" ref="D1471:D1534" si="22">IF(ISBLANK(B1471),"OK",IF(A1471-B1471=0,"OK","Error?"))</f>
        <v>Error?</v>
      </c>
    </row>
    <row r="1472" spans="1:4" x14ac:dyDescent="0.2">
      <c r="A1472" s="5">
        <v>1411</v>
      </c>
      <c r="B1472" s="138">
        <f>'Expenditures 15-22'!K223</f>
        <v>2184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31764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680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660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1340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422</v>
      </c>
      <c r="C1486" s="2" t="s">
        <v>573</v>
      </c>
      <c r="D1486" s="2" t="str">
        <f t="shared" si="22"/>
        <v>Error?</v>
      </c>
    </row>
    <row r="1487" spans="1:4" x14ac:dyDescent="0.2">
      <c r="A1487" s="5">
        <v>1426</v>
      </c>
      <c r="B1487" s="138">
        <f>'Expenditures 15-22'!K246</f>
        <v>573</v>
      </c>
      <c r="C1487" s="2" t="s">
        <v>573</v>
      </c>
      <c r="D1487" s="2" t="str">
        <f t="shared" si="22"/>
        <v>Error?</v>
      </c>
    </row>
    <row r="1488" spans="1:4" x14ac:dyDescent="0.2">
      <c r="A1488" s="5">
        <v>1427</v>
      </c>
      <c r="B1488" s="138">
        <f>'Expenditures 15-22'!K257</f>
        <v>2440</v>
      </c>
      <c r="C1488" s="2" t="s">
        <v>573</v>
      </c>
      <c r="D1488" s="2" t="str">
        <f t="shared" si="22"/>
        <v>Error?</v>
      </c>
    </row>
    <row r="1489" spans="1:4" x14ac:dyDescent="0.2">
      <c r="A1489" s="5">
        <v>1428</v>
      </c>
      <c r="B1489" s="138">
        <f>'Expenditures 15-22'!K259</f>
        <v>10369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10369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6064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13698</v>
      </c>
      <c r="C1495" s="2" t="s">
        <v>573</v>
      </c>
      <c r="D1495" s="2" t="str">
        <f t="shared" si="22"/>
        <v>Error?</v>
      </c>
    </row>
    <row r="1496" spans="1:4" x14ac:dyDescent="0.2">
      <c r="A1496" s="5">
        <v>1435</v>
      </c>
      <c r="B1496" s="138">
        <f>'Expenditures 15-22'!K267</f>
        <v>17125</v>
      </c>
      <c r="C1496" s="2" t="s">
        <v>573</v>
      </c>
      <c r="D1496" s="2" t="str">
        <f t="shared" si="22"/>
        <v>Error?</v>
      </c>
    </row>
    <row r="1497" spans="1:4" x14ac:dyDescent="0.2">
      <c r="A1497" s="5">
        <v>1436</v>
      </c>
      <c r="B1497" s="138">
        <f>'Expenditures 15-22'!K268</f>
        <v>5647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42534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56683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88447</v>
      </c>
      <c r="C1517" s="2" t="s">
        <v>573</v>
      </c>
      <c r="D1517" s="2" t="str">
        <f t="shared" si="22"/>
        <v>Error?</v>
      </c>
    </row>
    <row r="1518" spans="1:4" x14ac:dyDescent="0.2">
      <c r="A1518" s="5">
        <v>1457</v>
      </c>
      <c r="B1518" s="138">
        <f>'Expenditures 15-22'!K296</f>
        <v>8240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759821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990155</v>
      </c>
      <c r="C1630" s="2" t="s">
        <v>573</v>
      </c>
      <c r="D1630" s="2" t="str">
        <f t="shared" si="24"/>
        <v>Error?</v>
      </c>
    </row>
    <row r="1631" spans="1:4" x14ac:dyDescent="0.2">
      <c r="A1631" s="5">
        <v>1570</v>
      </c>
      <c r="B1631" s="138">
        <f>'Acct Summary 7-8'!D79</f>
        <v>145742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185942</v>
      </c>
      <c r="C1644" s="2" t="s">
        <v>573</v>
      </c>
      <c r="D1644" s="2" t="str">
        <f t="shared" si="24"/>
        <v>Error?</v>
      </c>
    </row>
    <row r="1645" spans="1:4" x14ac:dyDescent="0.2">
      <c r="A1645" s="5">
        <v>1584</v>
      </c>
      <c r="B1645" s="138">
        <f>'Acct Summary 7-8'!E79</f>
        <v>63191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65742</v>
      </c>
      <c r="C1658" s="2" t="s">
        <v>573</v>
      </c>
      <c r="D1658" s="2" t="str">
        <f t="shared" si="24"/>
        <v>Error?</v>
      </c>
    </row>
    <row r="1659" spans="1:4" x14ac:dyDescent="0.2">
      <c r="A1659" s="5">
        <v>1598</v>
      </c>
      <c r="B1659" s="138">
        <f>'Acct Summary 7-8'!F79</f>
        <v>216542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268012</v>
      </c>
      <c r="C1672" s="2" t="s">
        <v>573</v>
      </c>
      <c r="D1672" s="2" t="str">
        <f t="shared" si="25"/>
        <v>Error?</v>
      </c>
    </row>
    <row r="1673" spans="1:4" x14ac:dyDescent="0.2">
      <c r="A1673" s="5">
        <v>1612</v>
      </c>
      <c r="B1673" s="138">
        <f>'Acct Summary 7-8'!G79</f>
        <v>78744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86984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1055558</v>
      </c>
      <c r="C1744" s="2" t="s">
        <v>573</v>
      </c>
      <c r="D1744" s="2" t="str">
        <f t="shared" si="26"/>
        <v>Error?</v>
      </c>
    </row>
    <row r="1745" spans="1:5" x14ac:dyDescent="0.2">
      <c r="A1745" s="5">
        <v>1684</v>
      </c>
      <c r="B1745" s="138">
        <f>'Tax Sched 23'!B5</f>
        <v>185837</v>
      </c>
      <c r="C1745" s="2" t="s">
        <v>573</v>
      </c>
      <c r="D1745" s="2" t="str">
        <f t="shared" si="26"/>
        <v>Error?</v>
      </c>
    </row>
    <row r="1746" spans="1:5" x14ac:dyDescent="0.2">
      <c r="A1746" s="5">
        <v>1685</v>
      </c>
      <c r="B1746" s="138">
        <f>'Tax Sched 23'!B6</f>
        <v>271486</v>
      </c>
      <c r="C1746" s="2" t="s">
        <v>573</v>
      </c>
      <c r="D1746" s="2" t="str">
        <f t="shared" si="26"/>
        <v>Error?</v>
      </c>
    </row>
    <row r="1747" spans="1:5" x14ac:dyDescent="0.2">
      <c r="A1747" s="5">
        <v>1686</v>
      </c>
      <c r="B1747" s="138">
        <f>'Tax Sched 23'!B7</f>
        <v>74334</v>
      </c>
      <c r="C1747" s="2" t="s">
        <v>573</v>
      </c>
      <c r="D1747" s="2" t="str">
        <f t="shared" si="26"/>
        <v>Error?</v>
      </c>
    </row>
    <row r="1748" spans="1:5" x14ac:dyDescent="0.2">
      <c r="A1748" s="5">
        <v>1687</v>
      </c>
      <c r="B1748" s="138">
        <f>'Tax Sched 23'!B8</f>
        <v>28347</v>
      </c>
      <c r="C1748" s="2" t="s">
        <v>573</v>
      </c>
      <c r="D1748" s="2" t="str">
        <f t="shared" si="26"/>
        <v>Error?</v>
      </c>
    </row>
    <row r="1749" spans="1:5" x14ac:dyDescent="0.2">
      <c r="A1749" s="5">
        <v>1688</v>
      </c>
      <c r="B1749" s="138">
        <f>'Tax Sched 23'!B10</f>
        <v>18583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191006</v>
      </c>
      <c r="C1752" s="2" t="s">
        <v>573</v>
      </c>
      <c r="D1752" s="2" t="str">
        <f t="shared" si="26"/>
        <v>Error?</v>
      </c>
    </row>
    <row r="1753" spans="1:5" x14ac:dyDescent="0.2">
      <c r="A1753" s="5">
        <v>1692</v>
      </c>
      <c r="B1753" s="138">
        <f>'Tax Sched 23'!B12</f>
        <v>18583</v>
      </c>
      <c r="C1753" s="2" t="s">
        <v>573</v>
      </c>
      <c r="D1753" s="2" t="str">
        <f t="shared" si="26"/>
        <v>Error?</v>
      </c>
    </row>
    <row r="1754" spans="1:5" x14ac:dyDescent="0.2">
      <c r="A1754" s="5">
        <v>1693</v>
      </c>
      <c r="B1754" s="138">
        <f>'Tax Sched 23'!B14</f>
        <v>14867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1943432</v>
      </c>
      <c r="C1759" s="2" t="s">
        <v>573</v>
      </c>
      <c r="D1759" s="2" t="str">
        <f t="shared" si="26"/>
        <v>Error?</v>
      </c>
    </row>
    <row r="1760" spans="1:5" x14ac:dyDescent="0.2">
      <c r="A1760" s="5">
        <v>1699</v>
      </c>
      <c r="B1760" s="138">
        <f>'Tax Sched 23'!D4</f>
        <v>1055558</v>
      </c>
      <c r="C1760" s="2" t="s">
        <v>573</v>
      </c>
      <c r="D1760" s="2" t="str">
        <f t="shared" si="26"/>
        <v>Error?</v>
      </c>
    </row>
    <row r="1761" spans="1:5" x14ac:dyDescent="0.2">
      <c r="A1761" s="5">
        <v>1700</v>
      </c>
      <c r="B1761" s="138">
        <f>'Tax Sched 23'!D5</f>
        <v>185837</v>
      </c>
      <c r="C1761" s="2" t="s">
        <v>573</v>
      </c>
      <c r="D1761" s="2" t="str">
        <f t="shared" si="26"/>
        <v>Error?</v>
      </c>
    </row>
    <row r="1762" spans="1:5" s="8" customFormat="1" x14ac:dyDescent="0.2">
      <c r="A1762" s="5">
        <v>1701</v>
      </c>
      <c r="B1762" s="138">
        <f>'Tax Sched 23'!D6</f>
        <v>271486</v>
      </c>
      <c r="C1762" s="2" t="s">
        <v>573</v>
      </c>
      <c r="D1762" s="2" t="str">
        <f t="shared" si="26"/>
        <v>Error?</v>
      </c>
      <c r="E1762" s="9"/>
    </row>
    <row r="1763" spans="1:5" x14ac:dyDescent="0.2">
      <c r="A1763" s="5">
        <v>1702</v>
      </c>
      <c r="B1763" s="138">
        <f>'Tax Sched 23'!D7</f>
        <v>74334</v>
      </c>
      <c r="C1763" s="2" t="s">
        <v>573</v>
      </c>
      <c r="D1763" s="2" t="str">
        <f t="shared" si="26"/>
        <v>Error?</v>
      </c>
    </row>
    <row r="1764" spans="1:5" x14ac:dyDescent="0.2">
      <c r="A1764" s="5">
        <v>1703</v>
      </c>
      <c r="B1764" s="138">
        <f>'Tax Sched 23'!D8</f>
        <v>28347</v>
      </c>
      <c r="C1764" s="2" t="s">
        <v>573</v>
      </c>
      <c r="D1764" s="2" t="str">
        <f t="shared" si="26"/>
        <v>Error?</v>
      </c>
    </row>
    <row r="1765" spans="1:5" x14ac:dyDescent="0.2">
      <c r="A1765" s="5">
        <v>1704</v>
      </c>
      <c r="B1765" s="138">
        <f>'Tax Sched 23'!D10</f>
        <v>18583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191006</v>
      </c>
      <c r="C1768" s="2" t="s">
        <v>573</v>
      </c>
      <c r="D1768" s="2" t="str">
        <f t="shared" si="26"/>
        <v>Error?</v>
      </c>
    </row>
    <row r="1769" spans="1:5" x14ac:dyDescent="0.2">
      <c r="A1769" s="5">
        <v>1708</v>
      </c>
      <c r="B1769" s="138">
        <f>'Tax Sched 23'!D12</f>
        <v>18583</v>
      </c>
      <c r="C1769" s="2" t="s">
        <v>573</v>
      </c>
      <c r="D1769" s="2" t="str">
        <f t="shared" si="26"/>
        <v>Error?</v>
      </c>
    </row>
    <row r="1770" spans="1:5" x14ac:dyDescent="0.2">
      <c r="A1770" s="5">
        <v>1709</v>
      </c>
      <c r="B1770" s="138">
        <f>'Tax Sched 23'!D14</f>
        <v>14867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1943432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1115488</v>
      </c>
      <c r="C1792" s="2" t="s">
        <v>573</v>
      </c>
      <c r="D1792" s="2" t="str">
        <f t="shared" si="27"/>
        <v>Error?</v>
      </c>
    </row>
    <row r="1793" spans="1:4" x14ac:dyDescent="0.2">
      <c r="A1793" s="5">
        <v>1732</v>
      </c>
      <c r="B1793" s="138">
        <f>'Tax Sched 23'!F5</f>
        <v>196391</v>
      </c>
      <c r="C1793" s="2" t="s">
        <v>573</v>
      </c>
      <c r="D1793" s="2" t="str">
        <f t="shared" si="27"/>
        <v>Error?</v>
      </c>
    </row>
    <row r="1794" spans="1:4" x14ac:dyDescent="0.2">
      <c r="A1794" s="5">
        <v>1733</v>
      </c>
      <c r="B1794" s="138">
        <f>'Tax Sched 23'!F6</f>
        <v>276552</v>
      </c>
      <c r="C1794" s="2" t="s">
        <v>573</v>
      </c>
      <c r="D1794" s="2" t="str">
        <f t="shared" si="27"/>
        <v>Error?</v>
      </c>
    </row>
    <row r="1795" spans="1:4" x14ac:dyDescent="0.2">
      <c r="A1795" s="5">
        <v>1734</v>
      </c>
      <c r="B1795" s="138">
        <f>'Tax Sched 23'!F7</f>
        <v>78555</v>
      </c>
      <c r="C1795" s="2" t="s">
        <v>573</v>
      </c>
      <c r="D1795" s="2" t="str">
        <f t="shared" si="27"/>
        <v>Error?</v>
      </c>
    </row>
    <row r="1796" spans="1:4" x14ac:dyDescent="0.2">
      <c r="A1796" s="5">
        <v>1735</v>
      </c>
      <c r="B1796" s="138">
        <f>'Tax Sched 23'!F8</f>
        <v>30504</v>
      </c>
      <c r="C1796" s="2" t="s">
        <v>573</v>
      </c>
      <c r="D1796" s="2" t="str">
        <f t="shared" si="27"/>
        <v>Error?</v>
      </c>
    </row>
    <row r="1797" spans="1:4" x14ac:dyDescent="0.2">
      <c r="A1797" s="5">
        <v>1736</v>
      </c>
      <c r="B1797" s="138">
        <f>'Tax Sched 23'!F10</f>
        <v>19642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198000</v>
      </c>
      <c r="C1800" s="2" t="s">
        <v>573</v>
      </c>
      <c r="D1800" s="2" t="str">
        <f t="shared" si="27"/>
        <v>Error?</v>
      </c>
    </row>
    <row r="1801" spans="1:4" x14ac:dyDescent="0.2">
      <c r="A1801" s="5">
        <v>1740</v>
      </c>
      <c r="B1801" s="138">
        <f>'Tax Sched 23'!F12</f>
        <v>19642</v>
      </c>
      <c r="C1801" s="2" t="s">
        <v>573</v>
      </c>
      <c r="D1801" s="2" t="str">
        <f t="shared" si="27"/>
        <v>Error?</v>
      </c>
    </row>
    <row r="1802" spans="1:4" x14ac:dyDescent="0.2">
      <c r="A1802" s="5">
        <v>1741</v>
      </c>
      <c r="B1802" s="138">
        <f>'Tax Sched 23'!F14</f>
        <v>15714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2039133</v>
      </c>
      <c r="C1807" s="2" t="s">
        <v>573</v>
      </c>
      <c r="D1807" s="2" t="str">
        <f t="shared" si="27"/>
        <v>Error?</v>
      </c>
    </row>
    <row r="1808" spans="1:4" x14ac:dyDescent="0.2">
      <c r="A1808" s="5">
        <v>1747</v>
      </c>
      <c r="B1808" s="138">
        <f>'Tax Sched 23'!E4</f>
        <v>1115488</v>
      </c>
      <c r="D1808" s="2" t="str">
        <f t="shared" si="27"/>
        <v>Error?</v>
      </c>
    </row>
    <row r="1809" spans="1:4" x14ac:dyDescent="0.2">
      <c r="A1809" s="5">
        <v>1748</v>
      </c>
      <c r="B1809" s="138">
        <f>'Tax Sched 23'!E5</f>
        <v>196391</v>
      </c>
      <c r="D1809" s="2" t="str">
        <f t="shared" si="27"/>
        <v>Error?</v>
      </c>
    </row>
    <row r="1810" spans="1:4" x14ac:dyDescent="0.2">
      <c r="A1810" s="5">
        <v>1749</v>
      </c>
      <c r="B1810" s="138">
        <f>'Tax Sched 23'!E6</f>
        <v>276552</v>
      </c>
      <c r="D1810" s="2" t="str">
        <f t="shared" si="27"/>
        <v>Error?</v>
      </c>
    </row>
    <row r="1811" spans="1:4" x14ac:dyDescent="0.2">
      <c r="A1811" s="5">
        <v>1750</v>
      </c>
      <c r="B1811" s="138">
        <f>'Tax Sched 23'!E7</f>
        <v>78555</v>
      </c>
      <c r="D1811" s="2" t="str">
        <f t="shared" si="27"/>
        <v>Error?</v>
      </c>
    </row>
    <row r="1812" spans="1:4" x14ac:dyDescent="0.2">
      <c r="A1812" s="5">
        <v>1751</v>
      </c>
      <c r="B1812" s="138">
        <f>'Tax Sched 23'!E8</f>
        <v>30504</v>
      </c>
      <c r="D1812" s="2" t="str">
        <f t="shared" si="27"/>
        <v>Error?</v>
      </c>
    </row>
    <row r="1813" spans="1:4" x14ac:dyDescent="0.2">
      <c r="A1813" s="5">
        <v>1752</v>
      </c>
      <c r="B1813" s="138">
        <f>'Tax Sched 23'!E10</f>
        <v>19642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198000</v>
      </c>
      <c r="D1816" s="2" t="str">
        <f t="shared" si="27"/>
        <v>Error?</v>
      </c>
    </row>
    <row r="1817" spans="1:4" x14ac:dyDescent="0.2">
      <c r="A1817" s="5">
        <v>1756</v>
      </c>
      <c r="B1817" s="138">
        <f>'Tax Sched 23'!E12</f>
        <v>19642</v>
      </c>
      <c r="D1817" s="2" t="str">
        <f t="shared" si="27"/>
        <v>Error?</v>
      </c>
    </row>
    <row r="1818" spans="1:4" x14ac:dyDescent="0.2">
      <c r="A1818" s="5">
        <v>1757</v>
      </c>
      <c r="B1818" s="138">
        <f>'Tax Sched 23'!E14</f>
        <v>15714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2039133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1405000</v>
      </c>
      <c r="C1939" s="2" t="s">
        <v>573</v>
      </c>
      <c r="D1939" s="2" t="str">
        <f t="shared" si="29"/>
        <v>Error?</v>
      </c>
    </row>
    <row r="1940" spans="1:5" x14ac:dyDescent="0.2">
      <c r="A1940" s="5">
        <v>1879</v>
      </c>
      <c r="B1940" s="138">
        <f>'Short-Term Long-Term Debt 24'!F49</f>
        <v>760000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14867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14867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14867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34122</v>
      </c>
      <c r="D2008" s="2" t="str">
        <f t="shared" si="30"/>
        <v>Error?</v>
      </c>
    </row>
    <row r="2009" spans="1:4" x14ac:dyDescent="0.2">
      <c r="A2009" s="5">
        <v>1948</v>
      </c>
      <c r="B2009" s="138">
        <f>'Cap Outlay Deprec 26'!C8</f>
        <v>8067225</v>
      </c>
      <c r="D2009" s="2" t="str">
        <f t="shared" si="30"/>
        <v>Error?</v>
      </c>
    </row>
    <row r="2010" spans="1:4" x14ac:dyDescent="0.2">
      <c r="A2010" s="5">
        <v>1949</v>
      </c>
      <c r="B2010" s="138">
        <f>'Cap Outlay Deprec 26'!C10</f>
        <v>60200</v>
      </c>
      <c r="D2010" s="2" t="str">
        <f t="shared" si="30"/>
        <v>Error?</v>
      </c>
    </row>
    <row r="2011" spans="1:4" x14ac:dyDescent="0.2">
      <c r="A2011" s="5">
        <v>1950</v>
      </c>
      <c r="B2011" s="138">
        <f>'Cap Outlay Deprec 26'!C12</f>
        <v>531759</v>
      </c>
      <c r="D2011" s="2" t="str">
        <f t="shared" si="30"/>
        <v>Error?</v>
      </c>
    </row>
    <row r="2012" spans="1:4" x14ac:dyDescent="0.2">
      <c r="A2012" s="5">
        <v>1951</v>
      </c>
      <c r="B2012" s="138">
        <f>'Cap Outlay Deprec 26'!C13</f>
        <v>19500</v>
      </c>
      <c r="D2012" s="2" t="str">
        <f t="shared" si="30"/>
        <v>Error?</v>
      </c>
    </row>
    <row r="2013" spans="1:4" x14ac:dyDescent="0.2">
      <c r="A2013" s="5">
        <v>1952</v>
      </c>
      <c r="B2013" s="138">
        <f>'Cap Outlay Deprec 26'!C16</f>
        <v>8712806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73313</v>
      </c>
      <c r="D2017" s="2" t="str">
        <f t="shared" si="30"/>
        <v>Error?</v>
      </c>
    </row>
    <row r="2018" spans="1:4" x14ac:dyDescent="0.2">
      <c r="A2018" s="5">
        <v>1957</v>
      </c>
      <c r="B2018" s="138">
        <f>'Cap Outlay Deprec 26'!D13</f>
        <v>879</v>
      </c>
      <c r="D2018" s="2" t="str">
        <f t="shared" si="30"/>
        <v>Error?</v>
      </c>
    </row>
    <row r="2019" spans="1:4" x14ac:dyDescent="0.2">
      <c r="A2019" s="5">
        <v>1958</v>
      </c>
      <c r="B2019" s="138">
        <f>'Cap Outlay Deprec 26'!D16</f>
        <v>74192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9386</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99286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108672</v>
      </c>
      <c r="C2025" s="2" t="s">
        <v>573</v>
      </c>
      <c r="D2025" s="2" t="str">
        <f t="shared" si="30"/>
        <v>Error?</v>
      </c>
    </row>
    <row r="2026" spans="1:4" x14ac:dyDescent="0.2">
      <c r="A2026" s="5">
        <v>1965</v>
      </c>
      <c r="B2026" s="138">
        <f>'Cap Outlay Deprec 26'!F5</f>
        <v>34122</v>
      </c>
      <c r="C2026" s="2" t="s">
        <v>573</v>
      </c>
      <c r="D2026" s="2" t="str">
        <f t="shared" si="30"/>
        <v>Error?</v>
      </c>
    </row>
    <row r="2027" spans="1:4" x14ac:dyDescent="0.2">
      <c r="A2027" s="5">
        <v>1966</v>
      </c>
      <c r="B2027" s="138">
        <f>'Cap Outlay Deprec 26'!F8</f>
        <v>8057839</v>
      </c>
      <c r="C2027" s="2" t="s">
        <v>573</v>
      </c>
      <c r="D2027" s="2" t="str">
        <f t="shared" si="30"/>
        <v>Error?</v>
      </c>
    </row>
    <row r="2028" spans="1:4" x14ac:dyDescent="0.2">
      <c r="A2028" s="5">
        <v>1967</v>
      </c>
      <c r="B2028" s="138">
        <f>'Cap Outlay Deprec 26'!F10</f>
        <v>60200</v>
      </c>
      <c r="C2028" s="2" t="s">
        <v>573</v>
      </c>
      <c r="D2028" s="2" t="str">
        <f t="shared" si="30"/>
        <v>Error?</v>
      </c>
    </row>
    <row r="2029" spans="1:4" x14ac:dyDescent="0.2">
      <c r="A2029" s="5">
        <v>1968</v>
      </c>
      <c r="B2029" s="138">
        <f>'Cap Outlay Deprec 26'!F12</f>
        <v>505786</v>
      </c>
      <c r="C2029" s="2" t="s">
        <v>573</v>
      </c>
      <c r="D2029" s="2" t="str">
        <f t="shared" si="30"/>
        <v>Error?</v>
      </c>
    </row>
    <row r="2030" spans="1:4" x14ac:dyDescent="0.2">
      <c r="A2030" s="5">
        <v>1969</v>
      </c>
      <c r="B2030" s="138">
        <f>'Cap Outlay Deprec 26'!F13</f>
        <v>20379</v>
      </c>
      <c r="C2030" s="2" t="s">
        <v>573</v>
      </c>
      <c r="D2030" s="2" t="str">
        <f t="shared" si="30"/>
        <v>Error?</v>
      </c>
    </row>
    <row r="2031" spans="1:4" x14ac:dyDescent="0.2">
      <c r="A2031" s="5">
        <v>1970</v>
      </c>
      <c r="B2031" s="138">
        <f>'Cap Outlay Deprec 26'!F16</f>
        <v>8678326</v>
      </c>
      <c r="C2031" s="2" t="s">
        <v>573</v>
      </c>
      <c r="D2031" s="2" t="str">
        <f t="shared" si="30"/>
        <v>Error?</v>
      </c>
    </row>
    <row r="2032" spans="1:4" x14ac:dyDescent="0.2">
      <c r="A2032" s="10">
        <v>1971</v>
      </c>
      <c r="D2032" s="2" t="str">
        <f t="shared" si="30"/>
        <v>OK</v>
      </c>
    </row>
    <row r="2033" spans="1:4" x14ac:dyDescent="0.2">
      <c r="A2033" s="5">
        <v>1972</v>
      </c>
      <c r="B2033" s="138">
        <f>'Cap Outlay Deprec 26'!H8</f>
        <v>3037321</v>
      </c>
      <c r="D2033" s="2" t="str">
        <f t="shared" si="30"/>
        <v>Error?</v>
      </c>
    </row>
    <row r="2034" spans="1:4" x14ac:dyDescent="0.2">
      <c r="A2034" s="5">
        <v>1973</v>
      </c>
      <c r="B2034" s="138">
        <f>'Cap Outlay Deprec 26'!H10</f>
        <v>39965</v>
      </c>
      <c r="D2034" s="2" t="str">
        <f t="shared" si="30"/>
        <v>Error?</v>
      </c>
    </row>
    <row r="2035" spans="1:4" x14ac:dyDescent="0.2">
      <c r="A2035" s="5">
        <v>1974</v>
      </c>
      <c r="B2035" s="138">
        <f>'Cap Outlay Deprec 26'!H12</f>
        <v>276969</v>
      </c>
      <c r="D2035" s="2" t="str">
        <f t="shared" si="30"/>
        <v>Error?</v>
      </c>
    </row>
    <row r="2036" spans="1:4" x14ac:dyDescent="0.2">
      <c r="A2036" s="5">
        <v>1975</v>
      </c>
      <c r="B2036" s="138">
        <f>'Cap Outlay Deprec 26'!H13</f>
        <v>11700</v>
      </c>
      <c r="D2036" s="2" t="str">
        <f t="shared" si="30"/>
        <v>Error?</v>
      </c>
    </row>
    <row r="2037" spans="1:4" x14ac:dyDescent="0.2">
      <c r="A2037" s="5">
        <v>1976</v>
      </c>
      <c r="B2037" s="138">
        <f>'Cap Outlay Deprec 26'!H16</f>
        <v>3365955</v>
      </c>
      <c r="C2037" s="2" t="s">
        <v>573</v>
      </c>
      <c r="D2037" s="2" t="str">
        <f t="shared" si="30"/>
        <v>Error?</v>
      </c>
    </row>
    <row r="2038" spans="1:4" x14ac:dyDescent="0.2">
      <c r="A2038" s="10">
        <v>1977</v>
      </c>
      <c r="D2038" s="2" t="str">
        <f t="shared" si="30"/>
        <v>OK</v>
      </c>
    </row>
    <row r="2039" spans="1:4" x14ac:dyDescent="0.2">
      <c r="A2039" s="5">
        <v>1978</v>
      </c>
      <c r="B2039" s="138">
        <f>'Cap Outlay Deprec 26'!I8</f>
        <v>161335</v>
      </c>
      <c r="D2039" s="2" t="str">
        <f t="shared" si="30"/>
        <v>Error?</v>
      </c>
    </row>
    <row r="2040" spans="1:4" x14ac:dyDescent="0.2">
      <c r="A2040" s="5">
        <v>1979</v>
      </c>
      <c r="B2040" s="138">
        <f>'Cap Outlay Deprec 26'!I10</f>
        <v>3010</v>
      </c>
      <c r="D2040" s="2" t="str">
        <f t="shared" si="30"/>
        <v>Error?</v>
      </c>
    </row>
    <row r="2041" spans="1:4" x14ac:dyDescent="0.2">
      <c r="A2041" s="5">
        <v>1980</v>
      </c>
      <c r="B2041" s="138">
        <f>'Cap Outlay Deprec 26'!I12</f>
        <v>60513</v>
      </c>
      <c r="D2041" s="2" t="str">
        <f t="shared" si="30"/>
        <v>Error?</v>
      </c>
    </row>
    <row r="2042" spans="1:4" x14ac:dyDescent="0.2">
      <c r="A2042" s="5">
        <v>1981</v>
      </c>
      <c r="B2042" s="138">
        <f>'Cap Outlay Deprec 26'!I13</f>
        <v>4076</v>
      </c>
      <c r="D2042" s="2" t="str">
        <f t="shared" si="30"/>
        <v>Error?</v>
      </c>
    </row>
    <row r="2043" spans="1:4" x14ac:dyDescent="0.2">
      <c r="A2043" s="5">
        <v>1982</v>
      </c>
      <c r="B2043" s="138">
        <f>'Cap Outlay Deprec 26'!I16</f>
        <v>228934</v>
      </c>
      <c r="C2043" s="2" t="s">
        <v>573</v>
      </c>
      <c r="D2043" s="2" t="str">
        <f t="shared" si="30"/>
        <v>Error?</v>
      </c>
    </row>
    <row r="2044" spans="1:4" x14ac:dyDescent="0.2">
      <c r="A2044" s="10">
        <v>1983</v>
      </c>
      <c r="D2044" s="2" t="str">
        <f t="shared" si="30"/>
        <v>OK</v>
      </c>
    </row>
    <row r="2045" spans="1:4" x14ac:dyDescent="0.2">
      <c r="A2045" s="5">
        <v>1984</v>
      </c>
      <c r="B2045" s="138">
        <f>'Cap Outlay Deprec 26'!J8</f>
        <v>9386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99286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108672</v>
      </c>
      <c r="C2049" s="2" t="s">
        <v>573</v>
      </c>
      <c r="D2049" s="2" t="str">
        <f t="shared" si="31"/>
        <v>Error?</v>
      </c>
    </row>
    <row r="2050" spans="1:4" x14ac:dyDescent="0.2">
      <c r="A2050" s="10">
        <v>1989</v>
      </c>
      <c r="D2050" s="2" t="str">
        <f t="shared" si="31"/>
        <v>OK</v>
      </c>
    </row>
    <row r="2051" spans="1:4" x14ac:dyDescent="0.2">
      <c r="A2051" s="5">
        <v>1990</v>
      </c>
      <c r="B2051" s="138">
        <f>'Cap Outlay Deprec 26'!K8</f>
        <v>3189270</v>
      </c>
      <c r="C2051" s="2" t="s">
        <v>573</v>
      </c>
      <c r="D2051" s="2" t="str">
        <f t="shared" si="31"/>
        <v>Error?</v>
      </c>
    </row>
    <row r="2052" spans="1:4" x14ac:dyDescent="0.2">
      <c r="A2052" s="5">
        <v>1991</v>
      </c>
      <c r="B2052" s="138">
        <f>'Cap Outlay Deprec 26'!K10</f>
        <v>42975</v>
      </c>
      <c r="C2052" s="2" t="s">
        <v>573</v>
      </c>
      <c r="D2052" s="2" t="str">
        <f t="shared" si="31"/>
        <v>Error?</v>
      </c>
    </row>
    <row r="2053" spans="1:4" x14ac:dyDescent="0.2">
      <c r="A2053" s="5">
        <v>1992</v>
      </c>
      <c r="B2053" s="138">
        <f>'Cap Outlay Deprec 26'!K12</f>
        <v>238196</v>
      </c>
      <c r="C2053" s="2" t="s">
        <v>573</v>
      </c>
      <c r="D2053" s="2" t="str">
        <f t="shared" si="31"/>
        <v>Error?</v>
      </c>
    </row>
    <row r="2054" spans="1:4" x14ac:dyDescent="0.2">
      <c r="A2054" s="5">
        <v>1993</v>
      </c>
      <c r="B2054" s="138">
        <f>'Cap Outlay Deprec 26'!K13</f>
        <v>15776</v>
      </c>
      <c r="C2054" s="2" t="s">
        <v>573</v>
      </c>
      <c r="D2054" s="2" t="str">
        <f t="shared" si="31"/>
        <v>Error?</v>
      </c>
    </row>
    <row r="2055" spans="1:4" x14ac:dyDescent="0.2">
      <c r="A2055" s="5">
        <v>1994</v>
      </c>
      <c r="B2055" s="138">
        <f>'Cap Outlay Deprec 26'!K16</f>
        <v>3486217</v>
      </c>
      <c r="C2055" s="2" t="s">
        <v>573</v>
      </c>
      <c r="D2055" s="2" t="str">
        <f t="shared" si="31"/>
        <v>Error?</v>
      </c>
    </row>
    <row r="2056" spans="1:4" x14ac:dyDescent="0.2">
      <c r="A2056" s="5">
        <v>1995</v>
      </c>
      <c r="B2056" s="138">
        <f>'Cap Outlay Deprec 26'!L5</f>
        <v>34122</v>
      </c>
      <c r="C2056" s="2" t="s">
        <v>573</v>
      </c>
      <c r="D2056" s="2" t="str">
        <f t="shared" si="31"/>
        <v>Error?</v>
      </c>
    </row>
    <row r="2057" spans="1:4" x14ac:dyDescent="0.2">
      <c r="A2057" s="5">
        <v>1996</v>
      </c>
      <c r="B2057" s="138">
        <f>'Cap Outlay Deprec 26'!L8</f>
        <v>4868569</v>
      </c>
      <c r="C2057" s="2" t="s">
        <v>573</v>
      </c>
      <c r="D2057" s="2" t="str">
        <f t="shared" si="31"/>
        <v>Error?</v>
      </c>
    </row>
    <row r="2058" spans="1:4" x14ac:dyDescent="0.2">
      <c r="A2058" s="5">
        <v>1997</v>
      </c>
      <c r="B2058" s="138">
        <f>'Cap Outlay Deprec 26'!L10</f>
        <v>17225</v>
      </c>
      <c r="C2058" s="2" t="s">
        <v>573</v>
      </c>
      <c r="D2058" s="2" t="str">
        <f t="shared" si="31"/>
        <v>Error?</v>
      </c>
    </row>
    <row r="2059" spans="1:4" x14ac:dyDescent="0.2">
      <c r="A2059" s="5">
        <v>1998</v>
      </c>
      <c r="B2059" s="138">
        <f>'Cap Outlay Deprec 26'!L12</f>
        <v>267590</v>
      </c>
      <c r="C2059" s="2" t="s">
        <v>573</v>
      </c>
      <c r="D2059" s="2" t="str">
        <f t="shared" si="31"/>
        <v>Error?</v>
      </c>
    </row>
    <row r="2060" spans="1:4" x14ac:dyDescent="0.2">
      <c r="A2060" s="5">
        <v>1999</v>
      </c>
      <c r="B2060" s="138">
        <f>'Cap Outlay Deprec 26'!L13</f>
        <v>4603</v>
      </c>
      <c r="C2060" s="2" t="s">
        <v>573</v>
      </c>
      <c r="D2060" s="2" t="str">
        <f t="shared" si="31"/>
        <v>Error?</v>
      </c>
    </row>
    <row r="2061" spans="1:4" x14ac:dyDescent="0.2">
      <c r="A2061" s="5">
        <v>2000</v>
      </c>
      <c r="B2061" s="138">
        <f>'Cap Outlay Deprec 26'!L16</f>
        <v>5192109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9763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93051</v>
      </c>
      <c r="C2088" s="2" t="s">
        <v>573</v>
      </c>
      <c r="D2088" s="2" t="str">
        <f t="shared" si="31"/>
        <v>Error?</v>
      </c>
    </row>
    <row r="2089" spans="1:4" x14ac:dyDescent="0.2">
      <c r="A2089" s="5">
        <v>2028</v>
      </c>
      <c r="B2089" s="138">
        <f>'Expenditures 15-22'!K92</f>
        <v>358004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85031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100627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1781199</v>
      </c>
      <c r="C2551" s="2" t="s">
        <v>573</v>
      </c>
      <c r="D2551" s="2" t="str">
        <f t="shared" si="38"/>
        <v>Error?</v>
      </c>
    </row>
    <row r="2552" spans="1:4" x14ac:dyDescent="0.2">
      <c r="A2552" s="10">
        <v>2491</v>
      </c>
      <c r="D2552" s="2" t="str">
        <f t="shared" si="38"/>
        <v>OK</v>
      </c>
    </row>
    <row r="2553" spans="1:4" x14ac:dyDescent="0.2">
      <c r="A2553" s="5">
        <v>2492</v>
      </c>
      <c r="B2553" s="138">
        <f>'Acct Summary 7-8'!C6</f>
        <v>1523133</v>
      </c>
      <c r="C2553" s="2" t="s">
        <v>573</v>
      </c>
      <c r="D2553" s="2" t="str">
        <f t="shared" si="38"/>
        <v>Error?</v>
      </c>
    </row>
    <row r="2554" spans="1:4" x14ac:dyDescent="0.2">
      <c r="A2554" s="5">
        <v>2493</v>
      </c>
      <c r="B2554" s="138">
        <f>'Acct Summary 7-8'!C7</f>
        <v>242310</v>
      </c>
      <c r="C2554" s="2" t="s">
        <v>573</v>
      </c>
      <c r="D2554" s="2" t="str">
        <f t="shared" si="38"/>
        <v>Error?</v>
      </c>
    </row>
    <row r="2555" spans="1:4" x14ac:dyDescent="0.2">
      <c r="A2555" s="5">
        <v>2494</v>
      </c>
      <c r="B2555" s="138">
        <f>'Acct Summary 7-8'!C8</f>
        <v>3546642</v>
      </c>
      <c r="C2555" s="2" t="s">
        <v>573</v>
      </c>
      <c r="D2555" s="2" t="str">
        <f t="shared" si="38"/>
        <v>Error?</v>
      </c>
    </row>
    <row r="2556" spans="1:4" x14ac:dyDescent="0.2">
      <c r="A2556" s="5">
        <v>2495</v>
      </c>
      <c r="B2556" s="138">
        <f>'Acct Summary 7-8'!C12</f>
        <v>2245085</v>
      </c>
      <c r="C2556" s="2" t="s">
        <v>573</v>
      </c>
      <c r="D2556" s="2" t="str">
        <f t="shared" si="38"/>
        <v>Error?</v>
      </c>
    </row>
    <row r="2557" spans="1:4" x14ac:dyDescent="0.2">
      <c r="A2557" s="5">
        <v>2496</v>
      </c>
      <c r="B2557" s="138">
        <f>'Acct Summary 7-8'!C13</f>
        <v>620368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451055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3316508</v>
      </c>
      <c r="C2561" s="2" t="s">
        <v>573</v>
      </c>
      <c r="D2561" s="2" t="str">
        <f t="shared" si="39"/>
        <v>Error?</v>
      </c>
    </row>
    <row r="2562" spans="1:4" x14ac:dyDescent="0.2">
      <c r="A2562" s="5">
        <v>2501</v>
      </c>
      <c r="B2562" s="138">
        <f>'Acct Summary 7-8'!C20</f>
        <v>230134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199313</v>
      </c>
      <c r="C2564" s="2" t="s">
        <v>573</v>
      </c>
      <c r="D2564" s="2" t="str">
        <f t="shared" si="39"/>
        <v>Error?</v>
      </c>
    </row>
    <row r="2565" spans="1:4" x14ac:dyDescent="0.2">
      <c r="A2565" s="10">
        <v>2504</v>
      </c>
      <c r="D2565" s="2" t="str">
        <f t="shared" si="39"/>
        <v>OK</v>
      </c>
    </row>
    <row r="2566" spans="1:4" x14ac:dyDescent="0.2">
      <c r="A2566" s="5">
        <v>2505</v>
      </c>
      <c r="B2566" s="138">
        <f>'Acct Summary 7-8'!D6</f>
        <v>172776</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372089</v>
      </c>
      <c r="C2568" s="2" t="s">
        <v>573</v>
      </c>
      <c r="D2568" s="2" t="str">
        <f t="shared" si="39"/>
        <v>Error?</v>
      </c>
    </row>
    <row r="2569" spans="1:4" x14ac:dyDescent="0.2">
      <c r="A2569" s="5">
        <v>2508</v>
      </c>
      <c r="B2569" s="138">
        <f>'Acct Summary 7-8'!D13</f>
        <v>332106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332106</v>
      </c>
      <c r="C2573" s="2" t="s">
        <v>573</v>
      </c>
      <c r="D2573" s="2" t="str">
        <f t="shared" si="39"/>
        <v>Error?</v>
      </c>
    </row>
    <row r="2574" spans="1:4" x14ac:dyDescent="0.2">
      <c r="A2574" s="5">
        <v>2513</v>
      </c>
      <c r="B2574" s="138">
        <f>'Acct Summary 7-8'!D20</f>
        <v>39983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101668</v>
      </c>
      <c r="C2591" s="2" t="s">
        <v>573</v>
      </c>
      <c r="D2591" s="2" t="str">
        <f t="shared" si="39"/>
        <v>Error?</v>
      </c>
    </row>
    <row r="2592" spans="1:4" x14ac:dyDescent="0.2">
      <c r="A2592" s="10">
        <v>2531</v>
      </c>
      <c r="D2592" s="2" t="str">
        <f t="shared" si="39"/>
        <v>OK</v>
      </c>
    </row>
    <row r="2593" spans="1:4" x14ac:dyDescent="0.2">
      <c r="A2593" s="5">
        <v>2532</v>
      </c>
      <c r="B2593" s="138">
        <f>'Acct Summary 7-8'!F6</f>
        <v>328058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429726</v>
      </c>
      <c r="C2595" s="2" t="s">
        <v>573</v>
      </c>
      <c r="D2595" s="2" t="str">
        <f t="shared" si="39"/>
        <v>Error?</v>
      </c>
    </row>
    <row r="2596" spans="1:4" x14ac:dyDescent="0.2">
      <c r="A2596" s="5">
        <v>2535</v>
      </c>
      <c r="B2596" s="138">
        <f>'Acct Summary 7-8'!F13</f>
        <v>380056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380056</v>
      </c>
      <c r="C2600" s="2" t="s">
        <v>573</v>
      </c>
      <c r="D2600" s="2" t="str">
        <f t="shared" si="39"/>
        <v>Error?</v>
      </c>
    </row>
    <row r="2601" spans="1:4" x14ac:dyDescent="0.2">
      <c r="A2601" s="5">
        <v>2540</v>
      </c>
      <c r="B2601" s="138">
        <f>'Acct Summary 7-8'!F20</f>
        <v>49670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96687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96687</v>
      </c>
      <c r="C2606" s="2" t="s">
        <v>573</v>
      </c>
      <c r="D2606" s="2" t="str">
        <f t="shared" si="39"/>
        <v>Error?</v>
      </c>
    </row>
    <row r="2607" spans="1:4" x14ac:dyDescent="0.2">
      <c r="A2607" s="5">
        <v>2546</v>
      </c>
      <c r="B2607" s="138">
        <f>'Acct Summary 7-8'!G12</f>
        <v>31764</v>
      </c>
      <c r="C2607" s="2" t="s">
        <v>573</v>
      </c>
      <c r="D2607" s="2" t="str">
        <f t="shared" si="39"/>
        <v>Error?</v>
      </c>
    </row>
    <row r="2608" spans="1:4" x14ac:dyDescent="0.2">
      <c r="A2608" s="5">
        <v>2547</v>
      </c>
      <c r="B2608" s="138">
        <f>'Acct Summary 7-8'!G13</f>
        <v>56683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88447</v>
      </c>
      <c r="C2612" s="2" t="s">
        <v>573</v>
      </c>
      <c r="D2612" s="2" t="str">
        <f t="shared" si="39"/>
        <v>Error?</v>
      </c>
    </row>
    <row r="2613" spans="1:4" x14ac:dyDescent="0.2">
      <c r="A2613" s="5">
        <v>2552</v>
      </c>
      <c r="B2613" s="138">
        <f>'Acct Summary 7-8'!G20</f>
        <v>8240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272166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272166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1072695</v>
      </c>
      <c r="C2634" s="2" t="s">
        <v>573</v>
      </c>
      <c r="D2634" s="2" t="str">
        <f t="shared" si="40"/>
        <v>Error?</v>
      </c>
    </row>
    <row r="2635" spans="1:4" x14ac:dyDescent="0.2">
      <c r="A2635" s="5">
        <v>2574</v>
      </c>
      <c r="B2635" s="138">
        <f>'Acct Summary 7-8'!E17</f>
        <v>1072695</v>
      </c>
      <c r="C2635" s="2" t="s">
        <v>573</v>
      </c>
      <c r="D2635" s="2" t="str">
        <f t="shared" si="40"/>
        <v>Error?</v>
      </c>
    </row>
    <row r="2636" spans="1:4" x14ac:dyDescent="0.2">
      <c r="A2636" s="5">
        <v>2575</v>
      </c>
      <c r="B2636" s="138">
        <f>'Acct Summary 7-8'!E20</f>
        <v>-800529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83288</v>
      </c>
      <c r="C2789" s="2" t="s">
        <v>573</v>
      </c>
      <c r="D2789" s="2" t="str">
        <f t="shared" si="42"/>
        <v>Error?</v>
      </c>
    </row>
    <row r="2790" spans="1:4" x14ac:dyDescent="0.2">
      <c r="A2790" s="5">
        <v>2729</v>
      </c>
      <c r="B2790" s="138">
        <f>'Expenditures 15-22'!E102</f>
        <v>83288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87101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388203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506201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87101</v>
      </c>
      <c r="D2912" s="2" t="str">
        <f t="shared" si="44"/>
        <v>Error?</v>
      </c>
    </row>
    <row r="2913" spans="1:4" x14ac:dyDescent="0.2">
      <c r="A2913" s="5">
        <v>2852</v>
      </c>
      <c r="B2913" s="138">
        <f>'Assets-Liab 5-6'!I41</f>
        <v>87101</v>
      </c>
      <c r="C2913" s="2" t="s">
        <v>573</v>
      </c>
      <c r="D2913" s="2" t="str">
        <f t="shared" si="44"/>
        <v>Error?</v>
      </c>
    </row>
    <row r="2914" spans="1:4" x14ac:dyDescent="0.2">
      <c r="A2914" s="5">
        <v>2853</v>
      </c>
      <c r="B2914" s="138">
        <f>'Assets-Liab 5-6'!L33</f>
        <v>117998</v>
      </c>
      <c r="D2914" s="2" t="str">
        <f t="shared" si="44"/>
        <v>Error?</v>
      </c>
    </row>
    <row r="2915" spans="1:4" x14ac:dyDescent="0.2">
      <c r="A2915" s="10">
        <v>2854</v>
      </c>
      <c r="D2915" s="2" t="str">
        <f t="shared" si="44"/>
        <v>OK</v>
      </c>
    </row>
    <row r="2916" spans="1:4" x14ac:dyDescent="0.2">
      <c r="A2916" s="5">
        <v>2855</v>
      </c>
      <c r="B2916" s="138">
        <f>'Assets-Liab 5-6'!L34</f>
        <v>117998</v>
      </c>
      <c r="C2916" s="2" t="s">
        <v>573</v>
      </c>
      <c r="D2916" s="2" t="str">
        <f t="shared" si="44"/>
        <v>Error?</v>
      </c>
    </row>
    <row r="2917" spans="1:4" x14ac:dyDescent="0.2">
      <c r="A2917" s="5">
        <v>2856</v>
      </c>
      <c r="B2917" s="138">
        <f>'Assets-Liab 5-6'!L41</f>
        <v>506201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79688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3600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7263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86951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3600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44156</v>
      </c>
      <c r="D3055" s="2" t="str">
        <f t="shared" si="46"/>
        <v>Error?</v>
      </c>
    </row>
    <row r="3056" spans="1:4" x14ac:dyDescent="0.2">
      <c r="A3056" s="5">
        <v>2995</v>
      </c>
      <c r="B3056" s="138">
        <f>'Expenditures 15-22'!D10</f>
        <v>14596</v>
      </c>
      <c r="D3056" s="2" t="str">
        <f t="shared" si="46"/>
        <v>Error?</v>
      </c>
    </row>
    <row r="3057" spans="1:4" x14ac:dyDescent="0.2">
      <c r="A3057" s="5">
        <v>2996</v>
      </c>
      <c r="B3057" s="138">
        <f>'Expenditures 15-22'!E10</f>
        <v>4070</v>
      </c>
      <c r="D3057" s="2" t="str">
        <f t="shared" si="46"/>
        <v>Error?</v>
      </c>
    </row>
    <row r="3058" spans="1:4" x14ac:dyDescent="0.2">
      <c r="A3058" s="5">
        <v>2997</v>
      </c>
      <c r="B3058" s="138">
        <f>'Expenditures 15-22'!F10</f>
        <v>6912</v>
      </c>
      <c r="D3058" s="2" t="str">
        <f t="shared" si="46"/>
        <v>Error?</v>
      </c>
    </row>
    <row r="3059" spans="1:4" x14ac:dyDescent="0.2">
      <c r="A3059" s="5">
        <v>2998</v>
      </c>
      <c r="B3059" s="138">
        <f>'Expenditures 15-22'!G10</f>
        <v>3088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72822</v>
      </c>
      <c r="C3062" s="2" t="s">
        <v>573</v>
      </c>
      <c r="D3062" s="2" t="str">
        <f t="shared" si="46"/>
        <v>Error?</v>
      </c>
    </row>
    <row r="3063" spans="1:4" x14ac:dyDescent="0.2">
      <c r="A3063" s="10">
        <v>3002</v>
      </c>
      <c r="D3063" s="2" t="str">
        <f t="shared" si="46"/>
        <v>OK</v>
      </c>
    </row>
    <row r="3064" spans="1:4" x14ac:dyDescent="0.2">
      <c r="A3064" s="5">
        <v>3003</v>
      </c>
      <c r="B3064" s="138">
        <f>'Expenditures 15-22'!D219</f>
        <v>616</v>
      </c>
      <c r="D3064" s="2" t="str">
        <f t="shared" si="46"/>
        <v>Error?</v>
      </c>
    </row>
    <row r="3065" spans="1:4" x14ac:dyDescent="0.2">
      <c r="A3065" s="5">
        <v>3004</v>
      </c>
      <c r="B3065" s="138">
        <f>'Expenditures 15-22'!K219</f>
        <v>616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388203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760000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19357</v>
      </c>
      <c r="C3225" s="2" t="s">
        <v>573</v>
      </c>
      <c r="D3225" s="2" t="str">
        <f t="shared" si="49"/>
        <v>Error?</v>
      </c>
    </row>
    <row r="3226" spans="1:4" x14ac:dyDescent="0.2">
      <c r="A3226" s="5">
        <v>3165</v>
      </c>
      <c r="B3226" s="138">
        <f>'Acct Summary 7-8'!I8</f>
        <v>19357</v>
      </c>
      <c r="C3226" s="2" t="s">
        <v>573</v>
      </c>
      <c r="D3226" s="2" t="str">
        <f t="shared" si="49"/>
        <v>Error?</v>
      </c>
    </row>
    <row r="3227" spans="1:4" x14ac:dyDescent="0.2">
      <c r="A3227" s="5">
        <v>3166</v>
      </c>
      <c r="B3227" s="138">
        <f>'Acct Summary 7-8'!I20</f>
        <v>19357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200</v>
      </c>
      <c r="C3232" s="2" t="s">
        <v>573</v>
      </c>
      <c r="D3232" s="2" t="str">
        <f t="shared" si="49"/>
        <v>Error?</v>
      </c>
    </row>
    <row r="3233" spans="1:4" x14ac:dyDescent="0.2">
      <c r="A3233" s="5">
        <v>3172</v>
      </c>
      <c r="B3233" s="138">
        <f>'Acct Summary 7-8'!C78</f>
        <v>230334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217</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217</v>
      </c>
      <c r="C3238" s="2" t="s">
        <v>573</v>
      </c>
      <c r="D3238" s="2" t="str">
        <f t="shared" si="49"/>
        <v>Error?</v>
      </c>
    </row>
    <row r="3239" spans="1:4" x14ac:dyDescent="0.2">
      <c r="A3239" s="5">
        <v>3178</v>
      </c>
      <c r="B3239" s="138">
        <f>'Acct Summary 7-8'!D78</f>
        <v>40200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1800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1800</v>
      </c>
      <c r="C3255" s="2" t="s">
        <v>573</v>
      </c>
      <c r="D3255" s="2" t="str">
        <f t="shared" si="49"/>
        <v>Error?</v>
      </c>
    </row>
    <row r="3256" spans="1:4" x14ac:dyDescent="0.2">
      <c r="A3256" s="5">
        <v>3195</v>
      </c>
      <c r="B3256" s="138">
        <f>'Acct Summary 7-8'!F78</f>
        <v>51470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8240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803080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803080</v>
      </c>
      <c r="C3277" s="2" t="s">
        <v>573</v>
      </c>
      <c r="D3277" s="2" t="str">
        <f t="shared" si="50"/>
        <v>Error?</v>
      </c>
    </row>
    <row r="3278" spans="1:4" x14ac:dyDescent="0.2">
      <c r="A3278" s="5">
        <v>3217</v>
      </c>
      <c r="B3278" s="138">
        <f>'Acct Summary 7-8'!E78</f>
        <v>2551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19357</v>
      </c>
      <c r="C3320" s="2" t="s">
        <v>573</v>
      </c>
      <c r="D3320" s="2" t="str">
        <f t="shared" si="50"/>
        <v>Error?</v>
      </c>
    </row>
    <row r="3321" spans="1:4" x14ac:dyDescent="0.2">
      <c r="A3321" s="5">
        <v>3260</v>
      </c>
      <c r="B3321" s="138">
        <f>'Acct Summary 7-8'!I79</f>
        <v>67744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87101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182021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63143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246227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13005</v>
      </c>
      <c r="D3387" s="2" t="str">
        <f t="shared" si="51"/>
        <v>Error?</v>
      </c>
    </row>
    <row r="3388" spans="1:4" x14ac:dyDescent="0.2">
      <c r="A3388" s="5">
        <v>3327</v>
      </c>
      <c r="B3388" s="138">
        <f>'Expenditures 15-22'!D217</f>
        <v>6990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13005</v>
      </c>
      <c r="C3390" s="2" t="s">
        <v>573</v>
      </c>
      <c r="D3390" s="2" t="str">
        <f t="shared" si="51"/>
        <v>Error?</v>
      </c>
    </row>
    <row r="3391" spans="1:4" x14ac:dyDescent="0.2">
      <c r="A3391" s="5">
        <v>3330</v>
      </c>
      <c r="B3391" s="138">
        <f>'Expenditures 15-22'!K217</f>
        <v>6990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989535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185942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65742</v>
      </c>
      <c r="D3417" s="2" t="str">
        <f t="shared" si="52"/>
        <v>Error?</v>
      </c>
    </row>
    <row r="3418" spans="1:4" x14ac:dyDescent="0.2">
      <c r="A3418" s="10">
        <v>3357</v>
      </c>
      <c r="D3418" s="2" t="str">
        <f t="shared" si="52"/>
        <v>OK</v>
      </c>
    </row>
    <row r="3419" spans="1:4" x14ac:dyDescent="0.2">
      <c r="A3419" s="5">
        <v>3358</v>
      </c>
      <c r="B3419" s="138">
        <f>'Assets-Liab 5-6'!F4</f>
        <v>268012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86984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87101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117998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66248</v>
      </c>
      <c r="C3446" s="2" t="s">
        <v>573</v>
      </c>
      <c r="D3446" s="2" t="str">
        <f t="shared" si="52"/>
        <v>Error?</v>
      </c>
    </row>
    <row r="3447" spans="1:4" x14ac:dyDescent="0.2">
      <c r="A3447" s="5">
        <v>3386</v>
      </c>
      <c r="B3447" s="138">
        <f>'Tax Sched 23'!D16</f>
        <v>66248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69003</v>
      </c>
      <c r="C3449" s="2" t="s">
        <v>573</v>
      </c>
      <c r="D3449" s="2" t="str">
        <f t="shared" si="52"/>
        <v>Error?</v>
      </c>
    </row>
    <row r="3450" spans="1:4" x14ac:dyDescent="0.2">
      <c r="A3450" s="5">
        <v>3389</v>
      </c>
      <c r="B3450" s="138">
        <f>'Tax Sched 23'!E16</f>
        <v>69003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200</v>
      </c>
      <c r="D3530" s="2" t="str">
        <f t="shared" si="54"/>
        <v>Error?</v>
      </c>
    </row>
    <row r="3531" spans="1:4" x14ac:dyDescent="0.2">
      <c r="A3531" s="5">
        <v>3470</v>
      </c>
      <c r="B3531" s="138">
        <f>'Acct Summary 7-8'!D36</f>
        <v>217</v>
      </c>
      <c r="D3531" s="2" t="str">
        <f t="shared" si="54"/>
        <v>Error?</v>
      </c>
    </row>
    <row r="3532" spans="1:4" x14ac:dyDescent="0.2">
      <c r="A3532" s="5">
        <v>3471</v>
      </c>
      <c r="B3532" s="138">
        <f>'Acct Summary 7-8'!F36</f>
        <v>1800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141030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141030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141030</v>
      </c>
      <c r="D3567" s="2" t="str">
        <f t="shared" si="54"/>
        <v>Error?</v>
      </c>
    </row>
    <row r="3568" spans="1:4" x14ac:dyDescent="0.2">
      <c r="A3568" s="5">
        <v>3507</v>
      </c>
      <c r="B3568" s="138">
        <f>'Assets-Liab 5-6'!K41</f>
        <v>141030</v>
      </c>
      <c r="C3568" s="2" t="s">
        <v>573</v>
      </c>
      <c r="D3568" s="2" t="str">
        <f t="shared" si="54"/>
        <v>Error?</v>
      </c>
    </row>
    <row r="3569" spans="1:4" x14ac:dyDescent="0.2">
      <c r="A3569" s="5">
        <v>3508</v>
      </c>
      <c r="B3569" s="138">
        <f>'Acct Summary 7-8'!K4</f>
        <v>19862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19862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19862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19862</v>
      </c>
      <c r="C3588" s="2" t="s">
        <v>573</v>
      </c>
      <c r="D3588" s="2" t="str">
        <f t="shared" si="55"/>
        <v>Error?</v>
      </c>
    </row>
    <row r="3589" spans="1:4" x14ac:dyDescent="0.2">
      <c r="A3589" s="5">
        <v>3528</v>
      </c>
      <c r="B3589" s="138">
        <f>'Acct Summary 7-8'!K79</f>
        <v>121168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141030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19862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18583</v>
      </c>
      <c r="C3725" s="2" t="s">
        <v>573</v>
      </c>
      <c r="D3725" s="2" t="str">
        <f t="shared" si="57"/>
        <v>Error?</v>
      </c>
    </row>
    <row r="3726" spans="1:4" x14ac:dyDescent="0.2">
      <c r="A3726" s="5">
        <v>3665</v>
      </c>
      <c r="B3726" s="138">
        <f>'Tax Sched 23'!D13</f>
        <v>18583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19642</v>
      </c>
      <c r="C3728" s="2" t="s">
        <v>573</v>
      </c>
      <c r="D3728" s="2" t="str">
        <f t="shared" si="57"/>
        <v>Error?</v>
      </c>
    </row>
    <row r="3729" spans="1:4" x14ac:dyDescent="0.2">
      <c r="A3729" s="5">
        <v>3668</v>
      </c>
      <c r="B3729" s="138">
        <f>'Tax Sched 23'!E13</f>
        <v>19642</v>
      </c>
      <c r="D3729" s="2" t="str">
        <f t="shared" si="57"/>
        <v>Error?</v>
      </c>
    </row>
    <row r="3730" spans="1:4" x14ac:dyDescent="0.2">
      <c r="A3730" s="5">
        <v>3669</v>
      </c>
      <c r="B3730" s="138">
        <f>'ICR Computation 30'!E10</f>
        <v>104943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1214885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4761527</v>
      </c>
      <c r="C4122" s="2" t="s">
        <v>573</v>
      </c>
      <c r="D4122" s="2" t="str">
        <f t="shared" si="63"/>
        <v>Error?</v>
      </c>
    </row>
    <row r="4123" spans="1:4" x14ac:dyDescent="0.2">
      <c r="A4123" s="5">
        <v>4062</v>
      </c>
      <c r="B4123" s="138">
        <f>'Acct Summary 7-8'!D10</f>
        <v>372089</v>
      </c>
      <c r="C4123" s="2" t="s">
        <v>573</v>
      </c>
      <c r="D4123" s="2" t="str">
        <f t="shared" si="63"/>
        <v>Error?</v>
      </c>
    </row>
    <row r="4124" spans="1:4" x14ac:dyDescent="0.2">
      <c r="A4124" s="5">
        <v>4063</v>
      </c>
      <c r="B4124" s="138">
        <f>'Acct Summary 7-8'!E10</f>
        <v>272166</v>
      </c>
      <c r="C4124" s="2" t="s">
        <v>573</v>
      </c>
      <c r="D4124" s="2" t="str">
        <f t="shared" si="63"/>
        <v>Error?</v>
      </c>
    </row>
    <row r="4125" spans="1:4" x14ac:dyDescent="0.2">
      <c r="A4125" s="5">
        <v>4064</v>
      </c>
      <c r="B4125" s="138">
        <f>'Acct Summary 7-8'!F10</f>
        <v>429726</v>
      </c>
      <c r="C4125" s="2" t="s">
        <v>573</v>
      </c>
      <c r="D4125" s="2" t="str">
        <f t="shared" si="63"/>
        <v>Error?</v>
      </c>
    </row>
    <row r="4126" spans="1:4" x14ac:dyDescent="0.2">
      <c r="A4126" s="5">
        <v>4065</v>
      </c>
      <c r="B4126" s="138">
        <f>'Acct Summary 7-8'!G10</f>
        <v>96687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19357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19862</v>
      </c>
      <c r="C4130" s="2" t="s">
        <v>573</v>
      </c>
      <c r="D4130" s="2" t="str">
        <f t="shared" si="63"/>
        <v>Error?</v>
      </c>
    </row>
    <row r="4131" spans="1:4" x14ac:dyDescent="0.2">
      <c r="A4131" s="5">
        <v>4070</v>
      </c>
      <c r="B4131" s="138">
        <f>'Acct Summary 7-8'!C18</f>
        <v>1214885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4531393</v>
      </c>
      <c r="C4136" s="2" t="s">
        <v>573</v>
      </c>
      <c r="D4136" s="2" t="str">
        <f t="shared" si="63"/>
        <v>Error?</v>
      </c>
    </row>
    <row r="4137" spans="1:4" x14ac:dyDescent="0.2">
      <c r="A4137" s="5">
        <v>4076</v>
      </c>
      <c r="B4137" s="138">
        <f>'Acct Summary 7-8'!D19</f>
        <v>332106</v>
      </c>
      <c r="C4137" s="2" t="s">
        <v>573</v>
      </c>
      <c r="D4137" s="2" t="str">
        <f t="shared" si="63"/>
        <v>Error?</v>
      </c>
    </row>
    <row r="4138" spans="1:4" x14ac:dyDescent="0.2">
      <c r="A4138" s="5">
        <v>4077</v>
      </c>
      <c r="B4138" s="138">
        <f>'Acct Summary 7-8'!E19</f>
        <v>1072695</v>
      </c>
      <c r="C4138" s="2" t="s">
        <v>573</v>
      </c>
      <c r="D4138" s="2" t="str">
        <f t="shared" si="63"/>
        <v>Error?</v>
      </c>
    </row>
    <row r="4139" spans="1:4" x14ac:dyDescent="0.2">
      <c r="A4139" s="5">
        <v>4078</v>
      </c>
      <c r="B4139" s="138">
        <f>'Acct Summary 7-8'!F19</f>
        <v>380056</v>
      </c>
      <c r="C4139" s="2" t="s">
        <v>573</v>
      </c>
      <c r="D4139" s="2" t="str">
        <f t="shared" si="63"/>
        <v>Error?</v>
      </c>
    </row>
    <row r="4140" spans="1:4" x14ac:dyDescent="0.2">
      <c r="A4140" s="5">
        <v>4079</v>
      </c>
      <c r="B4140" s="138">
        <f>'Acct Summary 7-8'!G19</f>
        <v>88447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1200000</v>
      </c>
      <c r="C4171" s="2" t="s">
        <v>573</v>
      </c>
      <c r="D4171" s="2" t="str">
        <f t="shared" si="64"/>
        <v>Error?</v>
      </c>
    </row>
    <row r="4172" spans="1:4" x14ac:dyDescent="0.2">
      <c r="A4172" s="5">
        <v>4111</v>
      </c>
      <c r="B4172" s="138">
        <f>'Short-Term Long-Term Debt 24'!J49</f>
        <v>1134258</v>
      </c>
      <c r="C4172" s="2" t="s">
        <v>573</v>
      </c>
      <c r="D4172" s="2" t="str">
        <f t="shared" si="64"/>
        <v>Error?</v>
      </c>
    </row>
    <row r="4173" spans="1:4" x14ac:dyDescent="0.2">
      <c r="A4173" s="5">
        <v>4112</v>
      </c>
      <c r="B4173" s="138">
        <f>'Short-Term Long-Term Debt 24'!H49</f>
        <v>965000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95</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2786.18</v>
      </c>
      <c r="C4265" s="2" t="s">
        <v>573</v>
      </c>
      <c r="D4265" s="2" t="str">
        <f t="shared" si="65"/>
        <v>Error?</v>
      </c>
      <c r="E4265" s="128"/>
    </row>
    <row r="4266" spans="1:5" x14ac:dyDescent="0.2">
      <c r="A4266" s="12">
        <v>4205</v>
      </c>
      <c r="B4266" s="138">
        <f>('FP Info 3'!F10)*100000</f>
        <v>490.53</v>
      </c>
      <c r="C4266" s="2" t="s">
        <v>573</v>
      </c>
      <c r="D4266" s="2" t="str">
        <f t="shared" si="65"/>
        <v>Error?</v>
      </c>
      <c r="E4266" s="128"/>
    </row>
    <row r="4267" spans="1:5" x14ac:dyDescent="0.2">
      <c r="A4267" s="12">
        <v>4206</v>
      </c>
      <c r="B4267" s="138">
        <f>('FP Info 3'!H10)*100000</f>
        <v>196.21</v>
      </c>
      <c r="C4267" s="2" t="s">
        <v>573</v>
      </c>
      <c r="D4267" s="2" t="str">
        <f t="shared" si="65"/>
        <v>Error?</v>
      </c>
      <c r="E4267" s="128"/>
    </row>
    <row r="4268" spans="1:5" x14ac:dyDescent="0.2">
      <c r="A4268" s="12">
        <v>4207</v>
      </c>
      <c r="B4268" s="138">
        <f>('FP Info 3'!J10)*100000</f>
        <v>3472.9999999999995</v>
      </c>
      <c r="C4268" s="2" t="s">
        <v>573</v>
      </c>
      <c r="D4268" s="2" t="str">
        <f t="shared" si="65"/>
        <v>Error?</v>
      </c>
    </row>
    <row r="4269" spans="1:5" x14ac:dyDescent="0.2">
      <c r="A4269" s="12">
        <v>4208</v>
      </c>
      <c r="B4269" s="138">
        <f>'FP Info 3'!J16</f>
        <v>1531210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5036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11313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37726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37726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938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40036456</v>
      </c>
      <c r="D4995" s="2" t="str">
        <f t="shared" si="77"/>
        <v>Error?</v>
      </c>
    </row>
    <row r="4996" spans="1:4" x14ac:dyDescent="0.2">
      <c r="A4996" s="12">
        <v>4935</v>
      </c>
      <c r="B4996" s="138">
        <f>'FP Info 3'!H31</f>
        <v>5525030.9280000003</v>
      </c>
      <c r="D4996" s="2" t="str">
        <f t="shared" si="77"/>
        <v>Error?</v>
      </c>
    </row>
    <row r="4997" spans="1:4" x14ac:dyDescent="0.2">
      <c r="A4997" s="12">
        <v>4936</v>
      </c>
      <c r="B4997" s="138">
        <f>'FP Info 3'!H37</f>
        <v>1200000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18583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1055558</v>
      </c>
      <c r="D5061" s="2" t="str">
        <f t="shared" si="78"/>
        <v>Error?</v>
      </c>
    </row>
    <row r="5062" spans="1:4" x14ac:dyDescent="0.2">
      <c r="A5062" s="10">
        <v>5001</v>
      </c>
      <c r="D5062" s="2" t="str">
        <f t="shared" si="78"/>
        <v>OK</v>
      </c>
    </row>
    <row r="5063" spans="1:4" x14ac:dyDescent="0.2">
      <c r="A5063" s="5">
        <v>5002</v>
      </c>
      <c r="B5063" s="138">
        <f>'Revenues 9-14'!C7</f>
        <v>14867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1089008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28396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28396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451520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451520</v>
      </c>
      <c r="C5087" s="2" t="s">
        <v>573</v>
      </c>
      <c r="D5087" s="2" t="str">
        <f t="shared" si="78"/>
        <v>Error?</v>
      </c>
    </row>
    <row r="5088" spans="1:4" x14ac:dyDescent="0.2">
      <c r="A5088" s="5">
        <v>5027</v>
      </c>
      <c r="B5088" s="138">
        <f>'Revenues 9-14'!C65</f>
        <v>9971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9971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3322</v>
      </c>
      <c r="D5094" s="2" t="str">
        <f t="shared" si="78"/>
        <v>Error?</v>
      </c>
    </row>
    <row r="5095" spans="1:4" x14ac:dyDescent="0.2">
      <c r="A5095" s="5">
        <v>5034</v>
      </c>
      <c r="B5095" s="138">
        <f>'Revenues 9-14'!C74</f>
        <v>75</v>
      </c>
      <c r="D5095" s="2" t="str">
        <f t="shared" si="78"/>
        <v>Error?</v>
      </c>
    </row>
    <row r="5096" spans="1:4" x14ac:dyDescent="0.2">
      <c r="A5096" s="5">
        <v>5035</v>
      </c>
      <c r="B5096" s="138">
        <f>'Revenues 9-14'!C75</f>
        <v>53268</v>
      </c>
      <c r="C5096" s="2" t="s">
        <v>573</v>
      </c>
      <c r="D5096" s="2" t="str">
        <f t="shared" si="78"/>
        <v>Error?</v>
      </c>
    </row>
    <row r="5097" spans="1:4" x14ac:dyDescent="0.2">
      <c r="A5097" s="5">
        <v>5036</v>
      </c>
      <c r="B5097" s="138">
        <f>'Revenues 9-14'!C77</f>
        <v>7350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10185</v>
      </c>
      <c r="C5102" s="2" t="s">
        <v>573</v>
      </c>
      <c r="D5102" s="2" t="str">
        <f t="shared" si="78"/>
        <v>Error?</v>
      </c>
    </row>
    <row r="5103" spans="1:4" x14ac:dyDescent="0.2">
      <c r="A5103" s="5">
        <v>5042</v>
      </c>
      <c r="B5103" s="138">
        <f>'Revenues 9-14'!C84</f>
        <v>18625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18625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38667</v>
      </c>
      <c r="D5114" s="2" t="str">
        <f t="shared" si="78"/>
        <v>Error?</v>
      </c>
    </row>
    <row r="5115" spans="1:4" x14ac:dyDescent="0.2">
      <c r="A5115" s="5">
        <v>5054</v>
      </c>
      <c r="B5115" s="138">
        <f>'Revenues 9-14'!C98</f>
        <v>40022</v>
      </c>
      <c r="D5115" s="2" t="str">
        <f t="shared" si="78"/>
        <v>Error?</v>
      </c>
    </row>
    <row r="5116" spans="1:4" x14ac:dyDescent="0.2">
      <c r="A5116" s="5">
        <v>5055</v>
      </c>
      <c r="B5116" s="138">
        <f>'Revenues 9-14'!C99</f>
        <v>16145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17000</v>
      </c>
      <c r="D5118" s="2" t="str">
        <f t="shared" si="78"/>
        <v>Error?</v>
      </c>
    </row>
    <row r="5119" spans="1:4" x14ac:dyDescent="0.2">
      <c r="A5119" s="5">
        <v>5058</v>
      </c>
      <c r="B5119" s="138">
        <f>'Revenues 9-14'!C107</f>
        <v>1291</v>
      </c>
      <c r="D5119" s="2" t="str">
        <f t="shared" ref="D5119:D5182" si="79">IF(ISBLANK(B5119),"OK",IF(A5119-B5119=0,"OK","Error?"))</f>
        <v>Error?</v>
      </c>
    </row>
    <row r="5120" spans="1:4" x14ac:dyDescent="0.2">
      <c r="A5120" s="5">
        <v>5059</v>
      </c>
      <c r="B5120" s="138">
        <f>'Revenues 9-14'!C108</f>
        <v>120226</v>
      </c>
      <c r="C5120" s="2" t="s">
        <v>573</v>
      </c>
      <c r="D5120" s="2" t="str">
        <f t="shared" si="79"/>
        <v>Error?</v>
      </c>
    </row>
    <row r="5121" spans="1:4" x14ac:dyDescent="0.2">
      <c r="A5121" s="5">
        <v>5060</v>
      </c>
      <c r="B5121" s="138">
        <f>'Revenues 9-14'!C109</f>
        <v>1781199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1345018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1345018</v>
      </c>
      <c r="C5132" s="2" t="s">
        <v>573</v>
      </c>
      <c r="D5132" s="2" t="str">
        <f t="shared" si="79"/>
        <v>Error?</v>
      </c>
    </row>
    <row r="5133" spans="1:4" x14ac:dyDescent="0.2">
      <c r="A5133" s="5">
        <v>5072</v>
      </c>
      <c r="B5133" s="138">
        <f>'Revenues 9-14'!C125</f>
        <v>45687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45687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44724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60533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1577</v>
      </c>
      <c r="D5167" s="2" t="str">
        <f t="shared" si="79"/>
        <v>Error?</v>
      </c>
    </row>
    <row r="5168" spans="1:4" x14ac:dyDescent="0.2">
      <c r="A5168" s="5">
        <v>5107</v>
      </c>
      <c r="B5168" s="138">
        <f>'Revenues 9-14'!C148</f>
        <v>9352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60028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178115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1523133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68438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19241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87679</v>
      </c>
      <c r="C5246" s="2" t="s">
        <v>573</v>
      </c>
      <c r="D5246" s="2" t="str">
        <f t="shared" si="80"/>
        <v>Error?</v>
      </c>
    </row>
    <row r="5247" spans="1:4" x14ac:dyDescent="0.2">
      <c r="A5247" s="5">
        <v>5186</v>
      </c>
      <c r="B5247" s="138">
        <f>'Revenues 9-14'!C200</f>
        <v>62721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62721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34581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34581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242310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242310</v>
      </c>
      <c r="C5326" s="2" t="s">
        <v>573</v>
      </c>
      <c r="D5326" s="2" t="str">
        <f t="shared" si="82"/>
        <v>Error?</v>
      </c>
    </row>
    <row r="5327" spans="1:5" x14ac:dyDescent="0.2">
      <c r="A5327" s="5">
        <v>5266</v>
      </c>
      <c r="B5327" s="138">
        <f>'Revenues 9-14'!C268</f>
        <v>3546642</v>
      </c>
      <c r="C5327" s="2" t="s">
        <v>573</v>
      </c>
      <c r="D5327" s="2" t="str">
        <f t="shared" si="82"/>
        <v>Error?</v>
      </c>
    </row>
    <row r="5328" spans="1:5" x14ac:dyDescent="0.2">
      <c r="A5328" s="5">
        <v>5267</v>
      </c>
      <c r="B5328" s="138">
        <f>'Revenues 9-14'!D5</f>
        <v>185837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185837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1476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1476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12000</v>
      </c>
      <c r="C5355" s="2" t="s">
        <v>573</v>
      </c>
      <c r="D5355" s="2" t="str">
        <f t="shared" si="82"/>
        <v>Error?</v>
      </c>
    </row>
    <row r="5356" spans="1:4" x14ac:dyDescent="0.2">
      <c r="A5356" s="5">
        <v>5295</v>
      </c>
      <c r="B5356" s="138">
        <f>'Revenues 9-14'!D109</f>
        <v>199313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172776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172776</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172776</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372089</v>
      </c>
      <c r="C5508" s="2" t="s">
        <v>573</v>
      </c>
      <c r="D5508" s="2" t="str">
        <f t="shared" si="85"/>
        <v>Error?</v>
      </c>
    </row>
    <row r="5509" spans="1:4" x14ac:dyDescent="0.2">
      <c r="A5509" s="5">
        <v>5448</v>
      </c>
      <c r="B5509" s="138">
        <f>'Revenues 9-14'!E5</f>
        <v>271486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271486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272166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272166</v>
      </c>
      <c r="C5552" s="2" t="s">
        <v>573</v>
      </c>
      <c r="D5552" s="2" t="str">
        <f t="shared" si="85"/>
        <v>Error?</v>
      </c>
    </row>
    <row r="5553" spans="1:4" x14ac:dyDescent="0.2">
      <c r="A5553" s="5">
        <v>5492</v>
      </c>
      <c r="B5553" s="138">
        <f>'Revenues 9-14'!F5</f>
        <v>74334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74334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25125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25125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2209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101668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116332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116332</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189999</v>
      </c>
      <c r="D5615" s="2" t="str">
        <f t="shared" si="86"/>
        <v>Error?</v>
      </c>
    </row>
    <row r="5616" spans="1:4" x14ac:dyDescent="0.2">
      <c r="A5616" s="10">
        <v>5555</v>
      </c>
      <c r="D5616" s="2" t="str">
        <f t="shared" si="86"/>
        <v>OK</v>
      </c>
    </row>
    <row r="5617" spans="1:5" x14ac:dyDescent="0.2">
      <c r="A5617" s="5">
        <v>5556</v>
      </c>
      <c r="B5617" s="138">
        <f>'Revenues 9-14'!F153</f>
        <v>21727</v>
      </c>
      <c r="D5617" s="2" t="str">
        <f t="shared" si="86"/>
        <v>Error?</v>
      </c>
    </row>
    <row r="5618" spans="1:5" x14ac:dyDescent="0.2">
      <c r="A5618" s="5">
        <v>5557</v>
      </c>
      <c r="B5618" s="138">
        <f>'Revenues 9-14'!F155</f>
        <v>211726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211726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328058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429726</v>
      </c>
      <c r="C5720" s="2" t="s">
        <v>573</v>
      </c>
      <c r="D5720" s="2" t="str">
        <f t="shared" si="88"/>
        <v>Error?</v>
      </c>
    </row>
    <row r="5721" spans="1:4" x14ac:dyDescent="0.2">
      <c r="A5721" s="5">
        <v>5660</v>
      </c>
      <c r="B5721" s="138">
        <f>'Revenues 9-14'!G5</f>
        <v>28347</v>
      </c>
      <c r="D5721" s="2" t="str">
        <f t="shared" si="88"/>
        <v>Error?</v>
      </c>
    </row>
    <row r="5722" spans="1:4" x14ac:dyDescent="0.2">
      <c r="A5722" s="5">
        <v>5661</v>
      </c>
      <c r="B5722" s="138">
        <f>'Revenues 9-14'!G7</f>
        <v>0</v>
      </c>
      <c r="D5722" s="2" t="str">
        <f t="shared" si="88"/>
        <v>Error?</v>
      </c>
    </row>
    <row r="5723" spans="1:4" x14ac:dyDescent="0.2">
      <c r="A5723" s="5">
        <v>5662</v>
      </c>
      <c r="B5723" s="138">
        <f>'Revenues 9-14'!G8</f>
        <v>66248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94595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v>
      </c>
      <c r="C5730" s="2" t="s">
        <v>573</v>
      </c>
      <c r="D5730" s="2" t="str">
        <f t="shared" si="88"/>
        <v>Error?</v>
      </c>
    </row>
    <row r="5731" spans="1:4" x14ac:dyDescent="0.2">
      <c r="A5731" s="5">
        <v>5670</v>
      </c>
      <c r="B5731" s="138">
        <f>'Revenues 9-14'!G65</f>
        <v>992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96687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18583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18583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774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19357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18583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18583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19862</v>
      </c>
      <c r="C6023" s="2" t="s">
        <v>573</v>
      </c>
      <c r="D6023" s="2" t="str">
        <f t="shared" si="93"/>
        <v>Error?</v>
      </c>
    </row>
    <row r="6024" spans="1:5" x14ac:dyDescent="0.2">
      <c r="A6024" s="5">
        <v>5963</v>
      </c>
      <c r="B6024" s="138">
        <f>'Revenues 9-14'!G109</f>
        <v>96687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19357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19862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49871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13799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367.8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77860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77860</v>
      </c>
      <c r="D6215" s="2" t="str">
        <f t="shared" si="96"/>
        <v>Error?</v>
      </c>
      <c r="E6215" s="2" t="s">
        <v>190</v>
      </c>
    </row>
    <row r="6216" spans="1:5" x14ac:dyDescent="0.2">
      <c r="A6216">
        <v>6155</v>
      </c>
      <c r="B6216" s="138">
        <f>'Assets-Liab 5-6'!J41</f>
        <v>77860</v>
      </c>
      <c r="D6216" s="2" t="str">
        <f t="shared" si="96"/>
        <v>Error?</v>
      </c>
      <c r="E6216" s="2" t="s">
        <v>190</v>
      </c>
    </row>
    <row r="6217" spans="1:5" x14ac:dyDescent="0.2">
      <c r="A6217">
        <v>6156</v>
      </c>
      <c r="B6217" s="138">
        <f>'Assets-Liab 5-6'!J4</f>
        <v>77860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192041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192041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192041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172865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172865</v>
      </c>
      <c r="D6229" s="2" t="str">
        <f t="shared" si="96"/>
        <v>Error?</v>
      </c>
      <c r="E6229" s="2" t="s">
        <v>190</v>
      </c>
    </row>
    <row r="6230" spans="1:5" x14ac:dyDescent="0.2">
      <c r="A6230">
        <v>6169</v>
      </c>
      <c r="B6230" s="138">
        <f>'Acct Summary 7-8'!J20</f>
        <v>19176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19176</v>
      </c>
      <c r="D6263" s="2" t="str">
        <f t="shared" si="96"/>
        <v>Error?</v>
      </c>
      <c r="E6263" s="2" t="s">
        <v>190</v>
      </c>
    </row>
    <row r="6264" spans="1:5" x14ac:dyDescent="0.2">
      <c r="A6264">
        <v>6203</v>
      </c>
      <c r="B6264" s="138">
        <f>'Acct Summary 7-8'!J79</f>
        <v>58684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77860</v>
      </c>
      <c r="D6266" s="2" t="str">
        <f t="shared" si="96"/>
        <v>Error?</v>
      </c>
      <c r="E6266" s="2" t="s">
        <v>190</v>
      </c>
    </row>
    <row r="6267" spans="1:5" x14ac:dyDescent="0.2">
      <c r="A6267">
        <v>6206</v>
      </c>
      <c r="B6267" s="138">
        <f>'Acct Summary 7-8'!C82</f>
        <v>230334</v>
      </c>
      <c r="D6267" s="2" t="str">
        <f t="shared" si="96"/>
        <v>Error?</v>
      </c>
      <c r="E6267" s="2" t="s">
        <v>190</v>
      </c>
    </row>
    <row r="6268" spans="1:5" x14ac:dyDescent="0.2">
      <c r="A6268">
        <v>6207</v>
      </c>
      <c r="B6268" s="138">
        <f>'Acct Summary 7-8'!D82</f>
        <v>40200</v>
      </c>
      <c r="D6268" s="2" t="str">
        <f t="shared" si="96"/>
        <v>Error?</v>
      </c>
      <c r="E6268" s="2" t="s">
        <v>190</v>
      </c>
    </row>
    <row r="6269" spans="1:5" x14ac:dyDescent="0.2">
      <c r="A6269">
        <v>6208</v>
      </c>
      <c r="B6269" s="138">
        <f>'Acct Summary 7-8'!E82</f>
        <v>2551</v>
      </c>
      <c r="D6269" s="2" t="str">
        <f t="shared" si="96"/>
        <v>Error?</v>
      </c>
      <c r="E6269" s="2" t="s">
        <v>190</v>
      </c>
    </row>
    <row r="6270" spans="1:5" x14ac:dyDescent="0.2">
      <c r="A6270">
        <v>6209</v>
      </c>
      <c r="B6270" s="138">
        <f>'Acct Summary 7-8'!F82</f>
        <v>51470</v>
      </c>
      <c r="D6270" s="2" t="str">
        <f t="shared" si="96"/>
        <v>Error?</v>
      </c>
      <c r="E6270" s="2" t="s">
        <v>190</v>
      </c>
    </row>
    <row r="6271" spans="1:5" x14ac:dyDescent="0.2">
      <c r="A6271">
        <v>6210</v>
      </c>
      <c r="B6271" s="138">
        <f>'Acct Summary 7-8'!G82</f>
        <v>8240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19357</v>
      </c>
      <c r="D6273" s="2" t="str">
        <f t="shared" si="97"/>
        <v>Error?</v>
      </c>
      <c r="E6273" s="2" t="s">
        <v>190</v>
      </c>
    </row>
    <row r="6274" spans="1:5" x14ac:dyDescent="0.2">
      <c r="A6274">
        <v>6213</v>
      </c>
      <c r="B6274" s="138">
        <f>'Acct Summary 7-8'!J82</f>
        <v>19176</v>
      </c>
      <c r="D6274" s="2" t="str">
        <f t="shared" si="97"/>
        <v>Error?</v>
      </c>
      <c r="E6274" s="2" t="s">
        <v>190</v>
      </c>
    </row>
    <row r="6275" spans="1:5" x14ac:dyDescent="0.2">
      <c r="A6275">
        <v>6214</v>
      </c>
      <c r="B6275" s="138">
        <f>'Acct Summary 7-8'!K82</f>
        <v>19862</v>
      </c>
      <c r="D6275" s="2" t="str">
        <f t="shared" si="97"/>
        <v>Error?</v>
      </c>
      <c r="E6275" s="2" t="s">
        <v>190</v>
      </c>
    </row>
    <row r="6276" spans="1:5" x14ac:dyDescent="0.2">
      <c r="A6276">
        <v>6215</v>
      </c>
      <c r="B6276" s="138">
        <f>'Acct Summary 7-8'!C83</f>
        <v>0.23262418510233246</v>
      </c>
      <c r="D6276" s="2" t="str">
        <f t="shared" si="97"/>
        <v>Error?</v>
      </c>
      <c r="E6276" s="2" t="s">
        <v>190</v>
      </c>
    </row>
    <row r="6277" spans="1:5" x14ac:dyDescent="0.2">
      <c r="A6277">
        <v>6216</v>
      </c>
      <c r="B6277" s="138">
        <f>'Acct Summary 7-8'!D83</f>
        <v>0.21619644835486335</v>
      </c>
      <c r="D6277" s="2" t="str">
        <f t="shared" si="97"/>
        <v>Error?</v>
      </c>
      <c r="E6277" s="2" t="s">
        <v>190</v>
      </c>
    </row>
    <row r="6278" spans="1:5" x14ac:dyDescent="0.2">
      <c r="A6278">
        <v>6217</v>
      </c>
      <c r="B6278" s="138">
        <f>'Acct Summary 7-8'!E83</f>
        <v>3.8803200389400994E-2</v>
      </c>
      <c r="D6278" s="2" t="str">
        <f t="shared" si="97"/>
        <v>Error?</v>
      </c>
      <c r="E6278" s="2" t="s">
        <v>190</v>
      </c>
    </row>
    <row r="6279" spans="1:5" x14ac:dyDescent="0.2">
      <c r="A6279">
        <v>6218</v>
      </c>
      <c r="B6279" s="138">
        <f>'Acct Summary 7-8'!F83</f>
        <v>0.19204363983702222</v>
      </c>
      <c r="D6279" s="2" t="str">
        <f t="shared" si="97"/>
        <v>Error?</v>
      </c>
      <c r="E6279" s="2" t="s">
        <v>190</v>
      </c>
    </row>
    <row r="6280" spans="1:5" x14ac:dyDescent="0.2">
      <c r="A6280">
        <v>6219</v>
      </c>
      <c r="B6280" s="138">
        <f>'Acct Summary 7-8'!G83</f>
        <v>9.4730065299365396E-2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0.22223625446320938</v>
      </c>
      <c r="D6282" s="2" t="str">
        <f t="shared" si="97"/>
        <v>Error?</v>
      </c>
      <c r="E6282" s="2" t="s">
        <v>190</v>
      </c>
    </row>
    <row r="6283" spans="1:5" x14ac:dyDescent="0.2">
      <c r="A6283">
        <v>6222</v>
      </c>
      <c r="B6283" s="138">
        <f>'Acct Summary 7-8'!J83</f>
        <v>0.24628820960698691</v>
      </c>
      <c r="D6283" s="2" t="str">
        <f t="shared" si="97"/>
        <v>Error?</v>
      </c>
      <c r="E6283" s="2" t="s">
        <v>190</v>
      </c>
    </row>
    <row r="6284" spans="1:5" x14ac:dyDescent="0.2">
      <c r="A6284">
        <v>6223</v>
      </c>
      <c r="B6284" s="138">
        <f>'Acct Summary 7-8'!K83</f>
        <v>0.14083528327306247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191006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191006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1035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1035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7101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192041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15714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69436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94264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71777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114831</v>
      </c>
      <c r="D6880" s="2" t="str">
        <f t="shared" si="106"/>
        <v>Error?</v>
      </c>
    </row>
    <row r="6881" spans="1:4" x14ac:dyDescent="0.2">
      <c r="A6881">
        <v>6820</v>
      </c>
      <c r="B6881" s="138">
        <f>'Expenditures 15-22'!K22</f>
        <v>114831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351797</v>
      </c>
      <c r="D6981" s="2" t="str">
        <f t="shared" si="108"/>
        <v>Error?</v>
      </c>
    </row>
    <row r="6982" spans="1:4" x14ac:dyDescent="0.2">
      <c r="A6982">
        <v>6921</v>
      </c>
      <c r="B6982" s="138">
        <f>'Expenditures 15-22'!K85</f>
        <v>351797</v>
      </c>
      <c r="D6982" s="2" t="str">
        <f t="shared" si="108"/>
        <v>Error?</v>
      </c>
    </row>
    <row r="6983" spans="1:4" x14ac:dyDescent="0.2">
      <c r="A6983">
        <v>6922</v>
      </c>
      <c r="B6983" s="138">
        <f>'Expenditures 15-22'!H86</f>
        <v>6207</v>
      </c>
      <c r="D6983" s="2" t="str">
        <f t="shared" si="108"/>
        <v>Error?</v>
      </c>
    </row>
    <row r="6984" spans="1:4" x14ac:dyDescent="0.2">
      <c r="A6984">
        <v>6923</v>
      </c>
      <c r="B6984" s="138">
        <f>'Expenditures 15-22'!K86</f>
        <v>6207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358004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172865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192041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6961</v>
      </c>
      <c r="D7073" s="2" t="str">
        <f t="shared" si="109"/>
        <v>Error?</v>
      </c>
    </row>
    <row r="7074" spans="1:4" x14ac:dyDescent="0.2">
      <c r="A7074">
        <v>7013</v>
      </c>
      <c r="B7074" s="138">
        <f>'Expenditures 15-22'!K216</f>
        <v>6961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790</v>
      </c>
      <c r="D7079" s="2" t="str">
        <f t="shared" si="109"/>
        <v>Error?</v>
      </c>
    </row>
    <row r="7080" spans="1:4" x14ac:dyDescent="0.2">
      <c r="A7080">
        <v>7019</v>
      </c>
      <c r="B7080" s="138">
        <f>'Expenditures 15-22'!K226</f>
        <v>790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1445</v>
      </c>
      <c r="D7093" s="2" t="str">
        <f t="shared" si="109"/>
        <v>Error?</v>
      </c>
    </row>
    <row r="7094" spans="1:4" x14ac:dyDescent="0.2">
      <c r="A7094">
        <v>7033</v>
      </c>
      <c r="B7094" s="138">
        <f>'Expenditures 15-22'!K254</f>
        <v>1445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18569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18569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2050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2050</v>
      </c>
      <c r="D7171" s="2" t="str">
        <f t="shared" si="111"/>
        <v>Error?</v>
      </c>
    </row>
    <row r="7172" spans="1:4" x14ac:dyDescent="0.2">
      <c r="A7172">
        <v>7111</v>
      </c>
      <c r="B7172" s="138">
        <f>'Expenditures 15-22'!C325</f>
        <v>49783</v>
      </c>
      <c r="D7172" s="2" t="str">
        <f t="shared" si="111"/>
        <v>Error?</v>
      </c>
    </row>
    <row r="7173" spans="1:4" x14ac:dyDescent="0.2">
      <c r="A7173">
        <v>7112</v>
      </c>
      <c r="B7173" s="138">
        <f>'Expenditures 15-22'!D325</f>
        <v>17680</v>
      </c>
      <c r="D7173" s="2" t="str">
        <f t="shared" si="111"/>
        <v>Error?</v>
      </c>
    </row>
    <row r="7174" spans="1:4" x14ac:dyDescent="0.2">
      <c r="A7174">
        <v>7113</v>
      </c>
      <c r="B7174" s="138">
        <f>'Expenditures 15-22'!E325</f>
        <v>26685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549</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94697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4987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4987</v>
      </c>
      <c r="D7198" s="2" t="str">
        <f t="shared" si="111"/>
        <v>Error?</v>
      </c>
    </row>
    <row r="7199" spans="1:4" x14ac:dyDescent="0.2">
      <c r="A7199">
        <v>7138</v>
      </c>
      <c r="B7199" s="138">
        <f>'Expenditures 15-22'!C330</f>
        <v>49783</v>
      </c>
      <c r="D7199" s="2" t="str">
        <f t="shared" si="111"/>
        <v>Error?</v>
      </c>
    </row>
    <row r="7200" spans="1:4" x14ac:dyDescent="0.2">
      <c r="A7200">
        <v>7139</v>
      </c>
      <c r="B7200" s="138">
        <f>'Expenditures 15-22'!D330</f>
        <v>17680</v>
      </c>
      <c r="D7200" s="2" t="str">
        <f t="shared" si="111"/>
        <v>Error?</v>
      </c>
    </row>
    <row r="7201" spans="1:4" x14ac:dyDescent="0.2">
      <c r="A7201">
        <v>7140</v>
      </c>
      <c r="B7201" s="138">
        <f>'Expenditures 15-22'!E330</f>
        <v>104853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549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172865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49783</v>
      </c>
      <c r="D7216" s="2" t="str">
        <f t="shared" si="111"/>
        <v>Error?</v>
      </c>
    </row>
    <row r="7217" spans="1:4" x14ac:dyDescent="0.2">
      <c r="A7217">
        <v>7156</v>
      </c>
      <c r="B7217" s="138">
        <f>'Expenditures 15-22'!D342</f>
        <v>17680</v>
      </c>
      <c r="D7217" s="2" t="str">
        <f t="shared" si="111"/>
        <v>Error?</v>
      </c>
    </row>
    <row r="7218" spans="1:4" x14ac:dyDescent="0.2">
      <c r="A7218">
        <v>7157</v>
      </c>
      <c r="B7218" s="138">
        <f>'Expenditures 15-22'!E342</f>
        <v>104853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549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172865</v>
      </c>
      <c r="D7224" s="2" t="str">
        <f t="shared" si="111"/>
        <v>Error?</v>
      </c>
    </row>
    <row r="7225" spans="1:4" x14ac:dyDescent="0.2">
      <c r="A7225">
        <v>7164</v>
      </c>
      <c r="B7225" s="138">
        <f>'Expenditures 15-22'!K343</f>
        <v>19176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19529</v>
      </c>
      <c r="D7246" s="2" t="str">
        <f t="shared" si="112"/>
        <v>Error?</v>
      </c>
    </row>
    <row r="7247" spans="1:4" x14ac:dyDescent="0.2">
      <c r="A7247">
        <f t="shared" si="113"/>
        <v>7186</v>
      </c>
      <c r="B7247" s="138">
        <f>'Expenditures 15-22'!E7</f>
        <v>444</v>
      </c>
      <c r="D7247" s="2" t="str">
        <f t="shared" si="112"/>
        <v>Error?</v>
      </c>
    </row>
    <row r="7248" spans="1:4" x14ac:dyDescent="0.2">
      <c r="A7248">
        <f t="shared" si="113"/>
        <v>7187</v>
      </c>
      <c r="B7248" s="138">
        <f>'Expenditures 15-22'!F7</f>
        <v>1767</v>
      </c>
      <c r="D7248" s="2" t="str">
        <f t="shared" si="112"/>
        <v>Error?</v>
      </c>
    </row>
    <row r="7249" spans="1:4" x14ac:dyDescent="0.2">
      <c r="A7249">
        <f t="shared" si="113"/>
        <v>7188</v>
      </c>
      <c r="B7249" s="138">
        <f>'Expenditures 15-22'!G7</f>
        <v>3088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56550</v>
      </c>
      <c r="D7263" s="2" t="str">
        <f t="shared" si="112"/>
        <v>Error?</v>
      </c>
    </row>
    <row r="7264" spans="1:4" x14ac:dyDescent="0.2">
      <c r="A7264">
        <f t="shared" si="113"/>
        <v>7203</v>
      </c>
      <c r="B7264" s="138">
        <f>'Expenditures 15-22'!D17</f>
        <v>15088</v>
      </c>
      <c r="D7264" s="2" t="str">
        <f t="shared" si="112"/>
        <v>Error?</v>
      </c>
    </row>
    <row r="7265" spans="1:5" x14ac:dyDescent="0.2">
      <c r="A7265">
        <f t="shared" si="113"/>
        <v>7204</v>
      </c>
      <c r="B7265" s="138">
        <f>'Expenditures 15-22'!E17</f>
        <v>139</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228934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38480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38480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8412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8412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7101</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9352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16453</v>
      </c>
      <c r="D7719" s="2" t="str">
        <f t="shared" si="126"/>
        <v>Error?</v>
      </c>
      <c r="E7719" s="2" t="s">
        <v>827</v>
      </c>
    </row>
    <row r="7720" spans="1:6" x14ac:dyDescent="0.2">
      <c r="A7720">
        <v>7659</v>
      </c>
      <c r="B7720" s="138">
        <f>'Rest Tax Levies-Tort Im 25'!H14</f>
        <v>14867</v>
      </c>
      <c r="D7720" s="2" t="str">
        <f t="shared" si="126"/>
        <v>Error?</v>
      </c>
      <c r="E7720" s="2" t="s">
        <v>827</v>
      </c>
    </row>
    <row r="7721" spans="1:6" x14ac:dyDescent="0.2">
      <c r="A7721">
        <v>7660</v>
      </c>
      <c r="B7721" s="138">
        <f>'Rest Tax Levies-Tort Im 25'!K14</f>
        <v>16453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176825</v>
      </c>
      <c r="D7797" s="2" t="str">
        <f t="shared" si="127"/>
        <v>Error?</v>
      </c>
      <c r="E7797" s="4" t="s">
        <v>1904</v>
      </c>
    </row>
    <row r="7798" spans="1:5" x14ac:dyDescent="0.2">
      <c r="A7798">
        <v>7737</v>
      </c>
      <c r="B7798" s="138">
        <f>'Contracts Paid in CY 29'!F141</f>
        <v>65394</v>
      </c>
      <c r="D7798" s="2" t="str">
        <f t="shared" si="127"/>
        <v>Error?</v>
      </c>
      <c r="E7798" s="4" t="s">
        <v>1904</v>
      </c>
    </row>
    <row r="7799" spans="1:5" x14ac:dyDescent="0.2">
      <c r="A7799">
        <v>7738</v>
      </c>
      <c r="B7799" s="138">
        <f>'Contracts Paid in CY 29'!G141</f>
        <v>111431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1989</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Warsaw CUSD 316</v>
      </c>
      <c r="B7" s="2409"/>
      <c r="C7" s="2409"/>
      <c r="D7" s="2410"/>
      <c r="E7" s="2411">
        <f>COVER!A13</f>
        <v>26034316026</v>
      </c>
      <c r="F7" s="2412"/>
      <c r="G7" s="2418" t="str">
        <f>COVER!T23</f>
        <v>066-003689</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GRAY HUNTER STENN LLP</v>
      </c>
      <c r="H9" s="2424"/>
      <c r="I9" s="2424"/>
      <c r="J9" s="2424"/>
      <c r="K9" s="2424"/>
      <c r="L9" s="2425"/>
    </row>
    <row r="10" spans="1:29" ht="13.5" customHeight="1" x14ac:dyDescent="0.2">
      <c r="A10" s="2398" t="str">
        <f>COVER!A38</f>
        <v>ROBERT GOUND</v>
      </c>
      <c r="B10" s="2399"/>
      <c r="C10" s="2399"/>
      <c r="D10" s="2399"/>
      <c r="E10" s="2399"/>
      <c r="F10" s="2400"/>
      <c r="G10" s="2392" t="str">
        <f>COVER!T17</f>
        <v>500 MAINE STREET, PO BOX 32</v>
      </c>
      <c r="H10" s="2393"/>
      <c r="I10" s="2393"/>
      <c r="J10" s="2393"/>
      <c r="K10" s="2393"/>
      <c r="L10" s="2394"/>
    </row>
    <row r="11" spans="1:29" ht="13.5" customHeight="1" x14ac:dyDescent="0.2">
      <c r="A11" s="1184" t="s">
        <v>1519</v>
      </c>
      <c r="B11" s="1185"/>
      <c r="C11" s="1186"/>
      <c r="D11" s="1191"/>
      <c r="E11" s="1186"/>
      <c r="F11" s="1190"/>
      <c r="G11" s="2392" t="str">
        <f>COVER!T19</f>
        <v>QUINCY</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JAM@GRAY-HUNTER-STENN.COM</v>
      </c>
      <c r="J13" s="2405"/>
      <c r="K13" s="2405"/>
      <c r="L13" s="2406"/>
    </row>
    <row r="14" spans="1:29" ht="13.5" customHeight="1" x14ac:dyDescent="0.2">
      <c r="A14" s="2392" t="str">
        <f>COVER!A19</f>
        <v>340 SOUTH 11TH STREET</v>
      </c>
      <c r="B14" s="2393"/>
      <c r="C14" s="2393"/>
      <c r="D14" s="2393"/>
      <c r="E14" s="2393"/>
      <c r="F14" s="2394"/>
      <c r="G14" s="1195" t="s">
        <v>1185</v>
      </c>
      <c r="H14" s="1193"/>
      <c r="I14" s="1193"/>
      <c r="J14" s="1193"/>
      <c r="K14" s="1193"/>
      <c r="L14" s="1194"/>
    </row>
    <row r="15" spans="1:29" ht="13.5" customHeight="1" x14ac:dyDescent="0.2">
      <c r="A15" s="2392" t="str">
        <f>COVER!A21</f>
        <v>WARSAW</v>
      </c>
      <c r="B15" s="2393"/>
      <c r="C15" s="2393"/>
      <c r="D15" s="2393"/>
      <c r="E15" s="2393"/>
      <c r="F15" s="2394"/>
      <c r="G15" s="2389" t="str">
        <f>COVER!T15</f>
        <v>JEFFREY A. MCPHERSON</v>
      </c>
      <c r="H15" s="2390"/>
      <c r="I15" s="2390"/>
      <c r="J15" s="2390"/>
      <c r="K15" s="2390"/>
      <c r="L15" s="2391"/>
    </row>
    <row r="16" spans="1:29" ht="12.2" customHeight="1" x14ac:dyDescent="0.2">
      <c r="A16" s="2414" t="str">
        <f>COVER!A25</f>
        <v>62379-1499</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217-222-0304</v>
      </c>
      <c r="H18" s="2409"/>
      <c r="I18" s="2409"/>
      <c r="J18" s="2409"/>
      <c r="K18" s="2408" t="str">
        <f>COVER!X21</f>
        <v>217-222-1691</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Warsaw CUSD 316</v>
      </c>
      <c r="B1" s="2407"/>
      <c r="C1" s="2407"/>
      <c r="D1" s="2407"/>
    </row>
    <row r="2" spans="1:11" s="1212" customFormat="1" ht="12.75" x14ac:dyDescent="0.2">
      <c r="A2" s="2431">
        <f>'Single Audit Cover'!E7</f>
        <v>26034316026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Warsaw CUSD 316</v>
      </c>
      <c r="B1" s="2434"/>
      <c r="C1" s="2434"/>
      <c r="D1" s="2434"/>
      <c r="E1" s="2434"/>
    </row>
    <row r="2" spans="1:5" x14ac:dyDescent="0.2">
      <c r="A2" s="2435">
        <f>'Single Audit Cover'!E7</f>
        <v>26034316026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242310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13799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-11313</v>
      </c>
    </row>
    <row r="19" spans="1:4" ht="13.5" thickBot="1" x14ac:dyDescent="0.25">
      <c r="A19" s="1262" t="s">
        <v>1235</v>
      </c>
      <c r="D19" s="1263">
        <f>SUM(D10:D17)</f>
        <v>244796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244796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244796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Warsaw CUSD 316</v>
      </c>
      <c r="C1" s="2438"/>
      <c r="D1" s="2438"/>
      <c r="E1" s="2438"/>
      <c r="F1" s="2438"/>
      <c r="G1" s="2438"/>
      <c r="H1" s="2438"/>
      <c r="I1" s="2438"/>
      <c r="J1" s="2438"/>
      <c r="K1" s="2438"/>
      <c r="L1" s="2438"/>
      <c r="M1" s="2438"/>
    </row>
    <row r="2" spans="2:14" ht="15" x14ac:dyDescent="0.2">
      <c r="B2" s="2439">
        <f>'Single Audit Cover'!E7</f>
        <v>26034316026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Warsaw CUSD 316</v>
      </c>
      <c r="B1" s="2451"/>
      <c r="C1" s="2451"/>
      <c r="D1" s="2451"/>
      <c r="E1" s="2451"/>
      <c r="F1" s="2451"/>
    </row>
    <row r="2" spans="1:7" ht="13.5" customHeight="1" x14ac:dyDescent="0.2">
      <c r="A2" s="2439">
        <f>'Single Audit Cover'!E7</f>
        <v>26034316026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6" colorId="8" zoomScale="110" zoomScaleNormal="110" workbookViewId="0">
      <selection activeCell="M85" sqref="M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2074</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Warsaw CUSD 316</v>
      </c>
      <c r="C1" s="2466"/>
      <c r="D1" s="2466"/>
      <c r="E1" s="2466"/>
      <c r="F1" s="2466"/>
      <c r="G1" s="2466"/>
      <c r="H1" s="2466"/>
      <c r="I1" s="2466"/>
      <c r="J1" s="1406"/>
    </row>
    <row r="2" spans="2:10" s="317" customFormat="1" ht="12.75" customHeight="1" x14ac:dyDescent="0.2">
      <c r="B2" s="2467">
        <f>'Single Audit Cover'!E7</f>
        <v>26034316026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1841</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Warsaw CUSD 316</v>
      </c>
      <c r="C1" s="2465"/>
      <c r="D1" s="2465"/>
      <c r="E1" s="2465"/>
      <c r="F1" s="2465"/>
      <c r="G1" s="2465"/>
      <c r="H1" s="2465"/>
      <c r="I1" s="2465"/>
      <c r="J1" s="2465"/>
      <c r="K1" s="2465"/>
      <c r="L1" s="1371"/>
      <c r="M1" s="1371"/>
    </row>
    <row r="2" spans="1:13" ht="12" customHeight="1" x14ac:dyDescent="0.2">
      <c r="B2" s="2467">
        <f>'Single Audit Cover'!E7</f>
        <v>26034316026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Warsaw CUSD 316</v>
      </c>
      <c r="C1" s="2488"/>
      <c r="D1" s="2488"/>
      <c r="E1" s="2488"/>
      <c r="F1" s="2488"/>
      <c r="G1" s="2488"/>
      <c r="H1" s="2488"/>
      <c r="I1" s="2488"/>
      <c r="J1" s="2488"/>
      <c r="K1" s="2488"/>
      <c r="L1" s="1449"/>
    </row>
    <row r="2" spans="1:12" ht="12.75" customHeight="1" x14ac:dyDescent="0.2">
      <c r="B2" s="2489">
        <f>'Single Audit Cover'!E7</f>
        <v>26034316026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Warsaw CUSD 316</v>
      </c>
      <c r="C1" s="2465"/>
      <c r="D1" s="2465"/>
      <c r="E1" s="1469"/>
    </row>
    <row r="2" spans="2:5" s="1279" customFormat="1" ht="12.75" customHeight="1" x14ac:dyDescent="0.2">
      <c r="B2" s="2467">
        <f>'Single Audit Cover'!E7</f>
        <v>26034316026</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N49" sqref="N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40036456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2.7861799999999999E-2</v>
      </c>
      <c r="E10" s="356" t="s">
        <v>1005</v>
      </c>
      <c r="F10" s="355">
        <v>4.9052999999999996E-3</v>
      </c>
      <c r="G10" s="356" t="s">
        <v>1005</v>
      </c>
      <c r="H10" s="355">
        <v>1.9621E-3</v>
      </c>
      <c r="I10" s="356" t="s">
        <v>1006</v>
      </c>
      <c r="J10" s="1732">
        <f>ROUND(D10+F10+H10,5)</f>
        <v>3.4729999999999997E-2</v>
      </c>
      <c r="K10" s="222"/>
      <c r="L10" s="355">
        <v>4.906E-4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4367814</v>
      </c>
      <c r="E16" s="356"/>
      <c r="F16" s="1733">
        <f>SUM('Acct Summary 7-8'!C17,'Acct Summary 7-8'!D17,'Acct Summary 7-8'!F17)</f>
        <v>4028670</v>
      </c>
      <c r="G16" s="356"/>
      <c r="H16" s="1733">
        <f>SUM(D16-F16)</f>
        <v>339144</v>
      </c>
      <c r="I16" s="222"/>
      <c r="J16" s="1733">
        <f>SUM('Acct Summary 7-8'!C81,'Acct Summary 7-8'!D81,'Acct Summary 7-8'!F81,'Acct Summary 7-8'!I81)</f>
        <v>1531210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5525030.9280000003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Warsaw CUSD 316</v>
      </c>
      <c r="E7" s="391"/>
      <c r="G7" s="252"/>
      <c r="H7" s="387"/>
      <c r="I7" s="387"/>
      <c r="J7" s="387"/>
      <c r="K7" s="387"/>
      <c r="L7" s="329"/>
      <c r="M7" s="329"/>
      <c r="N7" s="329"/>
      <c r="O7" s="329"/>
      <c r="P7" s="329"/>
    </row>
    <row r="8" spans="1:18" ht="12.75" x14ac:dyDescent="0.2">
      <c r="A8" s="329"/>
      <c r="B8" s="329"/>
      <c r="C8" s="389" t="s">
        <v>1125</v>
      </c>
      <c r="D8" s="392">
        <f>COVER!A13</f>
        <v>26034316026</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1531210</v>
      </c>
      <c r="I12" s="404"/>
      <c r="J12" s="404"/>
      <c r="K12" s="405">
        <f>TRUNC((H12/H13*100000),5)/100000</f>
        <v>0.35056666790000002</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4367814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4028670</v>
      </c>
      <c r="I17" s="404"/>
      <c r="J17" s="416"/>
      <c r="K17" s="405">
        <f>TRUNC((H17/H18*100000),5)/100000</f>
        <v>0.92235383640000002</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4367814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1530590</v>
      </c>
      <c r="I24" s="422"/>
      <c r="J24" s="422"/>
      <c r="K24" s="423">
        <f>TRUNC(((H24/H25*100000)/100000),2)</f>
        <v>136.77000000000001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11190.75</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1181896.1993499999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1200000</v>
      </c>
      <c r="I32" s="420"/>
      <c r="J32" s="420"/>
      <c r="K32" s="423">
        <f>TRUNC(100-((((H32/H33*100))*100)/100),2)</f>
        <v>78.28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5525030.9280000003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8" zoomScaleNormal="98" workbookViewId="0">
      <pane ySplit="2" topLeftCell="A27" activePane="bottomLeft" state="frozen"/>
      <selection pane="bottomLeft" activeCell="C38" sqref="C38: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989535</v>
      </c>
      <c r="D4" s="466">
        <v>185942</v>
      </c>
      <c r="E4" s="466">
        <v>65742</v>
      </c>
      <c r="F4" s="466">
        <v>268012</v>
      </c>
      <c r="G4" s="466">
        <v>86984</v>
      </c>
      <c r="H4" s="466"/>
      <c r="I4" s="466">
        <v>87101</v>
      </c>
      <c r="J4" s="467">
        <v>77860</v>
      </c>
      <c r="K4" s="466">
        <v>141030</v>
      </c>
      <c r="L4" s="466">
        <v>117998</v>
      </c>
      <c r="M4" s="468"/>
      <c r="N4" s="469"/>
    </row>
    <row r="5" spans="1:14" x14ac:dyDescent="0.2">
      <c r="A5" s="463" t="s">
        <v>992</v>
      </c>
      <c r="B5" s="470">
        <v>120</v>
      </c>
      <c r="C5" s="465"/>
      <c r="D5" s="466"/>
      <c r="E5" s="466"/>
      <c r="F5" s="466"/>
      <c r="G5" s="466"/>
      <c r="H5" s="466"/>
      <c r="I5" s="466"/>
      <c r="J5" s="467"/>
      <c r="K5" s="471"/>
      <c r="L5" s="472">
        <v>388203</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665</v>
      </c>
      <c r="D12" s="466"/>
      <c r="E12" s="466"/>
      <c r="F12" s="466"/>
      <c r="G12" s="466"/>
      <c r="H12" s="466"/>
      <c r="I12" s="466"/>
      <c r="J12" s="467"/>
      <c r="K12" s="466"/>
      <c r="L12" s="466"/>
      <c r="M12" s="469"/>
      <c r="N12" s="469"/>
    </row>
    <row r="13" spans="1:14" ht="13.5" customHeight="1" thickBot="1" x14ac:dyDescent="0.25">
      <c r="A13" s="1736" t="s">
        <v>644</v>
      </c>
      <c r="B13" s="1709"/>
      <c r="C13" s="1737">
        <f>SUM(C4:C12)</f>
        <v>990200</v>
      </c>
      <c r="D13" s="1737">
        <f t="shared" ref="D13:L13" si="0">SUM(D4:D12)</f>
        <v>185942</v>
      </c>
      <c r="E13" s="1737">
        <f t="shared" si="0"/>
        <v>65742</v>
      </c>
      <c r="F13" s="1737">
        <f t="shared" si="0"/>
        <v>268012</v>
      </c>
      <c r="G13" s="1737">
        <f t="shared" si="0"/>
        <v>86984</v>
      </c>
      <c r="H13" s="1737">
        <f t="shared" si="0"/>
        <v>0</v>
      </c>
      <c r="I13" s="1737">
        <f t="shared" si="0"/>
        <v>87101</v>
      </c>
      <c r="J13" s="1737">
        <f t="shared" si="0"/>
        <v>77860</v>
      </c>
      <c r="K13" s="1737">
        <f t="shared" si="0"/>
        <v>141030</v>
      </c>
      <c r="L13" s="1737">
        <f t="shared" si="0"/>
        <v>506201</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34122</v>
      </c>
      <c r="N16" s="484"/>
    </row>
    <row r="17" spans="1:14" s="485" customFormat="1" ht="12.75" customHeight="1" x14ac:dyDescent="0.2">
      <c r="A17" s="482" t="s">
        <v>1403</v>
      </c>
      <c r="B17" s="483">
        <v>230</v>
      </c>
      <c r="C17" s="477"/>
      <c r="D17" s="477"/>
      <c r="E17" s="477"/>
      <c r="F17" s="477"/>
      <c r="G17" s="477"/>
      <c r="H17" s="477"/>
      <c r="I17" s="477"/>
      <c r="J17" s="477"/>
      <c r="K17" s="477"/>
      <c r="L17" s="477"/>
      <c r="M17" s="467">
        <v>8057839</v>
      </c>
      <c r="N17" s="484"/>
    </row>
    <row r="18" spans="1:14" s="485" customFormat="1" ht="12.75" customHeight="1" x14ac:dyDescent="0.2">
      <c r="A18" s="482" t="s">
        <v>1404</v>
      </c>
      <c r="B18" s="483">
        <v>240</v>
      </c>
      <c r="C18" s="477"/>
      <c r="D18" s="477"/>
      <c r="E18" s="477"/>
      <c r="F18" s="477"/>
      <c r="G18" s="477"/>
      <c r="H18" s="477"/>
      <c r="I18" s="477"/>
      <c r="J18" s="477"/>
      <c r="K18" s="477"/>
      <c r="L18" s="477"/>
      <c r="M18" s="467">
        <v>60200</v>
      </c>
      <c r="N18" s="484"/>
    </row>
    <row r="19" spans="1:14" s="485" customFormat="1" ht="12.75" customHeight="1" x14ac:dyDescent="0.2">
      <c r="A19" s="482" t="s">
        <v>1405</v>
      </c>
      <c r="B19" s="483">
        <v>250</v>
      </c>
      <c r="C19" s="477"/>
      <c r="D19" s="477"/>
      <c r="E19" s="477"/>
      <c r="F19" s="477"/>
      <c r="G19" s="477"/>
      <c r="H19" s="477"/>
      <c r="I19" s="477"/>
      <c r="J19" s="477"/>
      <c r="K19" s="477"/>
      <c r="L19" s="477"/>
      <c r="M19" s="467">
        <v>526165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65742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1134258</v>
      </c>
    </row>
    <row r="23" spans="1:14" ht="13.5" customHeight="1" thickBot="1" x14ac:dyDescent="0.25">
      <c r="A23" s="1736" t="s">
        <v>643</v>
      </c>
      <c r="B23" s="1741"/>
      <c r="C23" s="468"/>
      <c r="D23" s="468"/>
      <c r="E23" s="468"/>
      <c r="F23" s="468"/>
      <c r="G23" s="468"/>
      <c r="H23" s="468"/>
      <c r="I23" s="468"/>
      <c r="J23" s="468"/>
      <c r="K23" s="468"/>
      <c r="L23" s="468"/>
      <c r="M23" s="1688">
        <f>SUM(M15:M22)</f>
        <v>8678326</v>
      </c>
      <c r="N23" s="1688">
        <f>SUM(N21:N22)</f>
        <v>1200000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117998</v>
      </c>
      <c r="M33" s="468"/>
      <c r="N33" s="469"/>
    </row>
    <row r="34" spans="1:14" ht="13.5" customHeight="1" thickBot="1" x14ac:dyDescent="0.25">
      <c r="A34" s="1738" t="s">
        <v>654</v>
      </c>
      <c r="B34" s="1739"/>
      <c r="C34" s="1740">
        <f>SUM(C25:C33)</f>
        <v>45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117998</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1200000</v>
      </c>
    </row>
    <row r="37" spans="1:14" ht="13.5" thickBot="1" x14ac:dyDescent="0.25">
      <c r="A37" s="1736" t="s">
        <v>653</v>
      </c>
      <c r="B37" s="1741"/>
      <c r="C37" s="477"/>
      <c r="D37" s="477"/>
      <c r="E37" s="477"/>
      <c r="F37" s="477"/>
      <c r="G37" s="477"/>
      <c r="H37" s="477"/>
      <c r="I37" s="477"/>
      <c r="J37" s="477"/>
      <c r="K37" s="477"/>
      <c r="L37" s="480"/>
      <c r="M37" s="468"/>
      <c r="N37" s="1688">
        <f>SUM(N36:N36)</f>
        <v>1200000</v>
      </c>
    </row>
    <row r="38" spans="1:14" s="329" customFormat="1" ht="13.5" customHeight="1" thickTop="1" x14ac:dyDescent="0.2">
      <c r="A38" s="496" t="s">
        <v>420</v>
      </c>
      <c r="B38" s="483">
        <v>714</v>
      </c>
      <c r="C38" s="466">
        <v>85031</v>
      </c>
      <c r="D38" s="466"/>
      <c r="E38" s="466"/>
      <c r="F38" s="466"/>
      <c r="G38" s="466">
        <v>100627</v>
      </c>
      <c r="H38" s="466"/>
      <c r="I38" s="466"/>
      <c r="J38" s="467"/>
      <c r="K38" s="466"/>
      <c r="L38" s="481">
        <v>388203</v>
      </c>
      <c r="M38" s="497"/>
      <c r="N38" s="497"/>
    </row>
    <row r="39" spans="1:14" s="329" customFormat="1" ht="13.5" customHeight="1" x14ac:dyDescent="0.2">
      <c r="A39" s="496" t="s">
        <v>342</v>
      </c>
      <c r="B39" s="483">
        <v>730</v>
      </c>
      <c r="C39" s="466">
        <v>905124</v>
      </c>
      <c r="D39" s="466">
        <v>185942</v>
      </c>
      <c r="E39" s="466">
        <v>65742</v>
      </c>
      <c r="F39" s="466">
        <v>268012</v>
      </c>
      <c r="G39" s="466">
        <v>-13643</v>
      </c>
      <c r="H39" s="466"/>
      <c r="I39" s="466">
        <v>87101</v>
      </c>
      <c r="J39" s="467">
        <v>77860</v>
      </c>
      <c r="K39" s="466">
        <v>141030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8678326</v>
      </c>
      <c r="N40" s="497"/>
    </row>
    <row r="41" spans="1:14" ht="13.5" customHeight="1" thickBot="1" x14ac:dyDescent="0.25">
      <c r="A41" s="1736" t="s">
        <v>655</v>
      </c>
      <c r="B41" s="1706"/>
      <c r="C41" s="1688">
        <f>(SUM(C34,C37,C38,C39))</f>
        <v>990200</v>
      </c>
      <c r="D41" s="1688">
        <f t="shared" ref="D41:L41" si="2">SUM(D34,D37,D38:D39)</f>
        <v>185942</v>
      </c>
      <c r="E41" s="1688">
        <f t="shared" si="2"/>
        <v>65742</v>
      </c>
      <c r="F41" s="1688">
        <f t="shared" si="2"/>
        <v>268012</v>
      </c>
      <c r="G41" s="1688">
        <f t="shared" si="2"/>
        <v>86984</v>
      </c>
      <c r="H41" s="1688">
        <f t="shared" si="2"/>
        <v>0</v>
      </c>
      <c r="I41" s="1688">
        <f t="shared" si="2"/>
        <v>87101</v>
      </c>
      <c r="J41" s="1688">
        <f t="shared" si="2"/>
        <v>77860</v>
      </c>
      <c r="K41" s="1688">
        <f t="shared" si="2"/>
        <v>141030</v>
      </c>
      <c r="L41" s="1688">
        <f t="shared" si="2"/>
        <v>506201</v>
      </c>
      <c r="M41" s="1688">
        <f>SUM(M40)</f>
        <v>8678326</v>
      </c>
      <c r="N41" s="1688">
        <f>SUM(N37)</f>
        <v>1200000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1781199</v>
      </c>
      <c r="D4" s="1742">
        <f>'Revenues 9-14'!D109</f>
        <v>199313</v>
      </c>
      <c r="E4" s="1742">
        <f>'Revenues 9-14'!E109</f>
        <v>272166</v>
      </c>
      <c r="F4" s="1742">
        <f>'Revenues 9-14'!F109</f>
        <v>101668</v>
      </c>
      <c r="G4" s="1742">
        <f>'Revenues 9-14'!G109</f>
        <v>96687</v>
      </c>
      <c r="H4" s="1742">
        <f>'Revenues 9-14'!H109</f>
        <v>0</v>
      </c>
      <c r="I4" s="1742">
        <f>'Revenues 9-14'!I109</f>
        <v>19357</v>
      </c>
      <c r="J4" s="1742">
        <f>'Revenues 9-14'!J109</f>
        <v>192041</v>
      </c>
      <c r="K4" s="1742">
        <f>'Revenues 9-14'!K109</f>
        <v>19862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1523133</v>
      </c>
      <c r="D6" s="1743">
        <f>'Revenues 9-14'!D170</f>
        <v>172776</v>
      </c>
      <c r="E6" s="1743">
        <f>'Revenues 9-14'!E170</f>
        <v>0</v>
      </c>
      <c r="F6" s="1743">
        <f>'Revenues 9-14'!F170</f>
        <v>328058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242310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3546642</v>
      </c>
      <c r="D8" s="1688">
        <f t="shared" ref="D8:K8" si="0">SUM(D4:D7)</f>
        <v>372089</v>
      </c>
      <c r="E8" s="1688">
        <f t="shared" si="0"/>
        <v>272166</v>
      </c>
      <c r="F8" s="1688">
        <f t="shared" si="0"/>
        <v>429726</v>
      </c>
      <c r="G8" s="1688">
        <f t="shared" si="0"/>
        <v>96687</v>
      </c>
      <c r="H8" s="1688">
        <f t="shared" si="0"/>
        <v>0</v>
      </c>
      <c r="I8" s="1688">
        <f t="shared" si="0"/>
        <v>19357</v>
      </c>
      <c r="J8" s="1688">
        <f t="shared" si="0"/>
        <v>192041</v>
      </c>
      <c r="K8" s="1688">
        <f t="shared" si="0"/>
        <v>19862</v>
      </c>
      <c r="L8" s="347"/>
    </row>
    <row r="9" spans="1:13" ht="15.75" thickTop="1" x14ac:dyDescent="0.2">
      <c r="A9" s="514" t="s">
        <v>1653</v>
      </c>
      <c r="B9" s="515">
        <v>3998</v>
      </c>
      <c r="C9" s="481">
        <v>1214885</v>
      </c>
      <c r="D9" s="516"/>
      <c r="E9" s="481"/>
      <c r="F9" s="481"/>
      <c r="G9" s="517"/>
      <c r="H9" s="481"/>
      <c r="I9" s="509" t="s">
        <v>1169</v>
      </c>
      <c r="J9" s="478"/>
      <c r="K9" s="481"/>
      <c r="L9" s="347"/>
    </row>
    <row r="10" spans="1:13" s="519" customFormat="1" ht="13.5" thickBot="1" x14ac:dyDescent="0.25">
      <c r="A10" s="1736" t="s">
        <v>1173</v>
      </c>
      <c r="B10" s="1709"/>
      <c r="C10" s="1688">
        <f>SUM(C8:C9)</f>
        <v>4761527</v>
      </c>
      <c r="D10" s="1688">
        <f t="shared" ref="D10:K10" si="1">SUM(D8:D9)</f>
        <v>372089</v>
      </c>
      <c r="E10" s="1688">
        <f t="shared" si="1"/>
        <v>272166</v>
      </c>
      <c r="F10" s="1688">
        <f t="shared" si="1"/>
        <v>429726</v>
      </c>
      <c r="G10" s="1688">
        <f t="shared" si="1"/>
        <v>96687</v>
      </c>
      <c r="H10" s="1688">
        <f t="shared" si="1"/>
        <v>0</v>
      </c>
      <c r="I10" s="1688">
        <f t="shared" si="1"/>
        <v>19357</v>
      </c>
      <c r="J10" s="1688">
        <f t="shared" si="1"/>
        <v>192041</v>
      </c>
      <c r="K10" s="1688">
        <f t="shared" si="1"/>
        <v>19862</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2245085</v>
      </c>
      <c r="D12" s="520" t="s">
        <v>1169</v>
      </c>
      <c r="E12" s="468" t="s">
        <v>1169</v>
      </c>
      <c r="F12" s="468" t="s">
        <v>1169</v>
      </c>
      <c r="G12" s="1742">
        <f>'Expenditures 15-22'!K229</f>
        <v>31764</v>
      </c>
      <c r="H12" s="521"/>
      <c r="I12" s="468" t="s">
        <v>1169</v>
      </c>
      <c r="J12" s="468" t="s">
        <v>1169</v>
      </c>
      <c r="K12" s="521" t="s">
        <v>1169</v>
      </c>
      <c r="L12" s="347"/>
    </row>
    <row r="13" spans="1:13" ht="15.75" customHeight="1" x14ac:dyDescent="0.2">
      <c r="A13" s="1576" t="s">
        <v>457</v>
      </c>
      <c r="B13" s="1578">
        <v>2000</v>
      </c>
      <c r="C13" s="1743">
        <f>'Expenditures 15-22'!K74</f>
        <v>620368</v>
      </c>
      <c r="D13" s="1743">
        <f>'Expenditures 15-22'!K129</f>
        <v>332106</v>
      </c>
      <c r="E13" s="469" t="s">
        <v>1169</v>
      </c>
      <c r="F13" s="1743">
        <f>'Expenditures 15-22'!K184</f>
        <v>380056</v>
      </c>
      <c r="G13" s="1743">
        <f>'Expenditures 15-22'!K279</f>
        <v>56683</v>
      </c>
      <c r="H13" s="1743">
        <f>'Expenditures 15-22'!K303</f>
        <v>0</v>
      </c>
      <c r="I13" s="468" t="s">
        <v>1169</v>
      </c>
      <c r="J13" s="1743">
        <f>'Expenditures 15-22'!K330</f>
        <v>172865</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451055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1072695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3316508</v>
      </c>
      <c r="D17" s="1688">
        <f t="shared" si="2"/>
        <v>332106</v>
      </c>
      <c r="E17" s="1688">
        <f t="shared" si="2"/>
        <v>1072695</v>
      </c>
      <c r="F17" s="1688">
        <f t="shared" si="2"/>
        <v>380056</v>
      </c>
      <c r="G17" s="1688">
        <f t="shared" si="2"/>
        <v>88447</v>
      </c>
      <c r="H17" s="1688">
        <f t="shared" si="2"/>
        <v>0</v>
      </c>
      <c r="I17" s="468"/>
      <c r="J17" s="1688">
        <f>SUM(J12:J16)</f>
        <v>172865</v>
      </c>
      <c r="K17" s="1688">
        <f>SUM(K12:K16)</f>
        <v>0</v>
      </c>
      <c r="L17" s="347"/>
    </row>
    <row r="18" spans="1:12" ht="15" customHeight="1" thickTop="1" x14ac:dyDescent="0.2">
      <c r="A18" s="1744" t="s">
        <v>1654</v>
      </c>
      <c r="B18" s="1745">
        <v>4180</v>
      </c>
      <c r="C18" s="1742">
        <f t="shared" ref="C18:H18" si="3">C9</f>
        <v>1214885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4531393</v>
      </c>
      <c r="D19" s="1688">
        <f t="shared" si="4"/>
        <v>332106</v>
      </c>
      <c r="E19" s="1688">
        <f t="shared" si="4"/>
        <v>1072695</v>
      </c>
      <c r="F19" s="1688">
        <f t="shared" si="4"/>
        <v>380056</v>
      </c>
      <c r="G19" s="1688">
        <f t="shared" si="4"/>
        <v>88447</v>
      </c>
      <c r="H19" s="1688">
        <f t="shared" si="4"/>
        <v>0</v>
      </c>
      <c r="I19" s="468"/>
      <c r="J19" s="1688">
        <f>SUM(J17:J18)</f>
        <v>172865</v>
      </c>
      <c r="K19" s="1688">
        <f>SUM(K17:K18)</f>
        <v>0</v>
      </c>
      <c r="L19" s="347"/>
    </row>
    <row r="20" spans="1:12" ht="16.5" thickTop="1" thickBot="1" x14ac:dyDescent="0.25">
      <c r="A20" s="2131" t="s">
        <v>1655</v>
      </c>
      <c r="B20" s="2132"/>
      <c r="C20" s="1746">
        <f>C8-C17</f>
        <v>230134</v>
      </c>
      <c r="D20" s="1746">
        <f t="shared" ref="D20:K20" si="5">D8-D17</f>
        <v>39983</v>
      </c>
      <c r="E20" s="1746">
        <f t="shared" si="5"/>
        <v>-800529</v>
      </c>
      <c r="F20" s="1746">
        <f t="shared" si="5"/>
        <v>49670</v>
      </c>
      <c r="G20" s="1746">
        <f t="shared" si="5"/>
        <v>8240</v>
      </c>
      <c r="H20" s="1746">
        <f t="shared" si="5"/>
        <v>0</v>
      </c>
      <c r="I20" s="1746">
        <f t="shared" si="5"/>
        <v>19357</v>
      </c>
      <c r="J20" s="1746">
        <f t="shared" si="5"/>
        <v>19176</v>
      </c>
      <c r="K20" s="1746">
        <f t="shared" si="5"/>
        <v>19862</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v>760000</v>
      </c>
      <c r="F33" s="467"/>
      <c r="G33" s="477"/>
      <c r="H33" s="467"/>
      <c r="I33" s="467"/>
      <c r="J33" s="467"/>
      <c r="K33" s="467"/>
      <c r="L33" s="524"/>
    </row>
    <row r="34" spans="1:12" s="485" customFormat="1" x14ac:dyDescent="0.2">
      <c r="A34" s="1489" t="s">
        <v>1001</v>
      </c>
      <c r="B34" s="525">
        <v>7220</v>
      </c>
      <c r="C34" s="467"/>
      <c r="D34" s="467"/>
      <c r="E34" s="467">
        <v>43080</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200</v>
      </c>
      <c r="D36" s="467">
        <v>217</v>
      </c>
      <c r="E36" s="467"/>
      <c r="F36" s="467">
        <v>1800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200</v>
      </c>
      <c r="D44" s="1703">
        <f t="shared" ref="D44:K44" si="6">SUM(D24:D43)</f>
        <v>217</v>
      </c>
      <c r="E44" s="1703">
        <f t="shared" si="6"/>
        <v>803080</v>
      </c>
      <c r="F44" s="1703">
        <f t="shared" si="6"/>
        <v>1800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200</v>
      </c>
      <c r="D77" s="1703">
        <f t="shared" si="8"/>
        <v>217</v>
      </c>
      <c r="E77" s="1703">
        <f t="shared" si="8"/>
        <v>803080</v>
      </c>
      <c r="F77" s="1703">
        <f t="shared" si="8"/>
        <v>1800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230334</v>
      </c>
      <c r="D78" s="1702">
        <f t="shared" si="9"/>
        <v>40200</v>
      </c>
      <c r="E78" s="1702">
        <f t="shared" si="9"/>
        <v>2551</v>
      </c>
      <c r="F78" s="1702">
        <f t="shared" si="9"/>
        <v>51470</v>
      </c>
      <c r="G78" s="1702">
        <f t="shared" si="9"/>
        <v>8240</v>
      </c>
      <c r="H78" s="1702">
        <f t="shared" si="9"/>
        <v>0</v>
      </c>
      <c r="I78" s="1702">
        <f t="shared" si="9"/>
        <v>19357</v>
      </c>
      <c r="J78" s="1702">
        <f t="shared" si="9"/>
        <v>19176</v>
      </c>
      <c r="K78" s="1702">
        <f t="shared" si="9"/>
        <v>19862</v>
      </c>
      <c r="L78" s="533"/>
    </row>
    <row r="79" spans="1:12" ht="13.5" thickTop="1" x14ac:dyDescent="0.2">
      <c r="A79" s="1494" t="s">
        <v>1949</v>
      </c>
      <c r="B79" s="534"/>
      <c r="C79" s="478">
        <v>759821</v>
      </c>
      <c r="D79" s="535">
        <v>145742</v>
      </c>
      <c r="E79" s="535">
        <v>63191</v>
      </c>
      <c r="F79" s="535">
        <v>216542</v>
      </c>
      <c r="G79" s="535">
        <v>78744</v>
      </c>
      <c r="H79" s="535">
        <v>0</v>
      </c>
      <c r="I79" s="535">
        <v>67744</v>
      </c>
      <c r="J79" s="535">
        <v>58684</v>
      </c>
      <c r="K79" s="535">
        <v>121168</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990155</v>
      </c>
      <c r="D81" s="1688">
        <f>SUM(D78:D80)</f>
        <v>185942</v>
      </c>
      <c r="E81" s="1688">
        <f t="shared" ref="E81:K81" si="10">SUM(E78:E80)</f>
        <v>65742</v>
      </c>
      <c r="F81" s="1688">
        <f t="shared" si="10"/>
        <v>268012</v>
      </c>
      <c r="G81" s="1688">
        <f t="shared" si="10"/>
        <v>86984</v>
      </c>
      <c r="H81" s="1688">
        <f t="shared" si="10"/>
        <v>0</v>
      </c>
      <c r="I81" s="1688">
        <f t="shared" si="10"/>
        <v>87101</v>
      </c>
      <c r="J81" s="1688">
        <f t="shared" si="10"/>
        <v>77860</v>
      </c>
      <c r="K81" s="1688">
        <f t="shared" si="10"/>
        <v>141030</v>
      </c>
      <c r="L81" s="347"/>
    </row>
    <row r="82" spans="1:12" ht="0.75" customHeight="1" thickTop="1" thickBot="1" x14ac:dyDescent="0.25">
      <c r="A82" s="536" t="s">
        <v>343</v>
      </c>
      <c r="B82" s="537"/>
      <c r="C82" s="538">
        <f>(C81-C79)</f>
        <v>230334</v>
      </c>
      <c r="D82" s="538">
        <f t="shared" ref="D82:K82" si="11">(D81-D79)</f>
        <v>40200</v>
      </c>
      <c r="E82" s="538">
        <f t="shared" si="11"/>
        <v>2551</v>
      </c>
      <c r="F82" s="538">
        <f t="shared" si="11"/>
        <v>51470</v>
      </c>
      <c r="G82" s="538">
        <f t="shared" si="11"/>
        <v>8240</v>
      </c>
      <c r="H82" s="538">
        <f t="shared" si="11"/>
        <v>0</v>
      </c>
      <c r="I82" s="538">
        <f t="shared" si="11"/>
        <v>19357</v>
      </c>
      <c r="J82" s="538">
        <f t="shared" si="11"/>
        <v>19176</v>
      </c>
      <c r="K82" s="538">
        <f t="shared" si="11"/>
        <v>19862</v>
      </c>
    </row>
    <row r="83" spans="1:12" ht="14.25" hidden="1" thickTop="1" thickBot="1" x14ac:dyDescent="0.25">
      <c r="A83" s="539" t="s">
        <v>344</v>
      </c>
      <c r="B83" s="464"/>
      <c r="C83" s="540">
        <f>C82/C81</f>
        <v>0.23262418510233246</v>
      </c>
      <c r="D83" s="540">
        <f t="shared" ref="D83:K83" si="12">D82/D81</f>
        <v>0.21619644835486335</v>
      </c>
      <c r="E83" s="540">
        <f t="shared" si="12"/>
        <v>3.8803200389400994E-2</v>
      </c>
      <c r="F83" s="540">
        <f t="shared" si="12"/>
        <v>0.19204363983702222</v>
      </c>
      <c r="G83" s="540">
        <f t="shared" si="12"/>
        <v>9.4730065299365396E-2</v>
      </c>
      <c r="H83" s="540" t="e">
        <f t="shared" si="12"/>
        <v>#DIV/0!</v>
      </c>
      <c r="I83" s="540">
        <f t="shared" si="12"/>
        <v>0.22223625446320938</v>
      </c>
      <c r="J83" s="540">
        <f t="shared" si="12"/>
        <v>0.24628820960698691</v>
      </c>
      <c r="K83" s="540">
        <f t="shared" si="12"/>
        <v>0.14083528327306247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&amp;F&amp;C&amp;"Franklin Gothic Book,Regular"&amp;8The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1055558</v>
      </c>
      <c r="D5" s="481">
        <v>185837</v>
      </c>
      <c r="E5" s="466">
        <v>271486</v>
      </c>
      <c r="F5" s="548">
        <v>74334</v>
      </c>
      <c r="G5" s="466">
        <v>28347</v>
      </c>
      <c r="H5" s="466"/>
      <c r="I5" s="466">
        <v>18583</v>
      </c>
      <c r="J5" s="467">
        <v>191006</v>
      </c>
      <c r="K5" s="466">
        <v>18583</v>
      </c>
    </row>
    <row r="6" spans="1:12" ht="15" x14ac:dyDescent="0.2">
      <c r="A6" s="463" t="s">
        <v>1662</v>
      </c>
      <c r="B6" s="470">
        <v>1130</v>
      </c>
      <c r="C6" s="466">
        <v>18583</v>
      </c>
      <c r="D6" s="466"/>
      <c r="E6" s="475"/>
      <c r="F6" s="475"/>
      <c r="G6" s="468"/>
      <c r="H6" s="468"/>
      <c r="I6" s="468"/>
      <c r="J6" s="468"/>
      <c r="K6" s="468"/>
    </row>
    <row r="7" spans="1:12" x14ac:dyDescent="0.2">
      <c r="A7" s="463" t="s">
        <v>110</v>
      </c>
      <c r="B7" s="549">
        <v>1140</v>
      </c>
      <c r="C7" s="466">
        <v>14867</v>
      </c>
      <c r="D7" s="466"/>
      <c r="E7" s="468"/>
      <c r="F7" s="467"/>
      <c r="G7" s="467"/>
      <c r="H7" s="467"/>
      <c r="I7" s="468"/>
      <c r="J7" s="468"/>
      <c r="K7" s="468"/>
    </row>
    <row r="8" spans="1:12" x14ac:dyDescent="0.2">
      <c r="A8" s="463" t="s">
        <v>413</v>
      </c>
      <c r="B8" s="470">
        <v>1150</v>
      </c>
      <c r="C8" s="475"/>
      <c r="D8" s="475"/>
      <c r="E8" s="477"/>
      <c r="F8" s="477"/>
      <c r="G8" s="481">
        <v>66248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1089008</v>
      </c>
      <c r="D12" s="1707">
        <f t="shared" si="0"/>
        <v>185837</v>
      </c>
      <c r="E12" s="1707">
        <f t="shared" si="0"/>
        <v>271486</v>
      </c>
      <c r="F12" s="1707">
        <f t="shared" si="0"/>
        <v>74334</v>
      </c>
      <c r="G12" s="1707">
        <f t="shared" si="0"/>
        <v>94595</v>
      </c>
      <c r="H12" s="1707">
        <f t="shared" si="0"/>
        <v>0</v>
      </c>
      <c r="I12" s="1707">
        <f t="shared" si="0"/>
        <v>18583</v>
      </c>
      <c r="J12" s="1707">
        <f t="shared" si="0"/>
        <v>191006</v>
      </c>
      <c r="K12" s="1688">
        <f t="shared" si="0"/>
        <v>18583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28396</v>
      </c>
      <c r="D16" s="466"/>
      <c r="E16" s="466"/>
      <c r="F16" s="466">
        <v>25125</v>
      </c>
      <c r="G16" s="466">
        <v>1100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28396</v>
      </c>
      <c r="D18" s="1710">
        <f t="shared" ref="D18:K18" si="1">SUM(D14:D17)</f>
        <v>0</v>
      </c>
      <c r="E18" s="1710">
        <f t="shared" si="1"/>
        <v>0</v>
      </c>
      <c r="F18" s="1710">
        <f t="shared" si="1"/>
        <v>25125</v>
      </c>
      <c r="G18" s="1710">
        <f t="shared" si="1"/>
        <v>1100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451520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451520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9971</v>
      </c>
      <c r="D65" s="466">
        <v>1476</v>
      </c>
      <c r="E65" s="466">
        <v>680</v>
      </c>
      <c r="F65" s="467">
        <v>2209</v>
      </c>
      <c r="G65" s="466">
        <v>992</v>
      </c>
      <c r="H65" s="466"/>
      <c r="I65" s="466">
        <v>774</v>
      </c>
      <c r="J65" s="467">
        <v>1035</v>
      </c>
      <c r="K65" s="466">
        <v>1279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9971</v>
      </c>
      <c r="D67" s="1688">
        <f t="shared" ref="D67:K67" si="2">SUM(D65:D66)</f>
        <v>1476</v>
      </c>
      <c r="E67" s="1688">
        <f t="shared" si="2"/>
        <v>680</v>
      </c>
      <c r="F67" s="1688">
        <f t="shared" si="2"/>
        <v>2209</v>
      </c>
      <c r="G67" s="1688">
        <f t="shared" si="2"/>
        <v>992</v>
      </c>
      <c r="H67" s="1688">
        <f t="shared" si="2"/>
        <v>0</v>
      </c>
      <c r="I67" s="1688">
        <f t="shared" si="2"/>
        <v>774</v>
      </c>
      <c r="J67" s="1688">
        <f t="shared" si="2"/>
        <v>1035</v>
      </c>
      <c r="K67" s="1688">
        <f t="shared" si="2"/>
        <v>1279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49871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3322</v>
      </c>
      <c r="D73" s="468"/>
      <c r="E73" s="468"/>
      <c r="F73" s="468"/>
      <c r="G73" s="468"/>
      <c r="H73" s="468"/>
      <c r="I73" s="468"/>
      <c r="J73" s="468"/>
      <c r="K73" s="468"/>
    </row>
    <row r="74" spans="1:11" ht="12.75" customHeight="1" x14ac:dyDescent="0.2">
      <c r="A74" s="463" t="s">
        <v>25</v>
      </c>
      <c r="B74" s="470">
        <v>1690</v>
      </c>
      <c r="C74" s="551">
        <v>75</v>
      </c>
      <c r="D74" s="468"/>
      <c r="E74" s="468"/>
      <c r="F74" s="468"/>
      <c r="G74" s="468"/>
      <c r="H74" s="468"/>
      <c r="I74" s="468"/>
      <c r="J74" s="468"/>
      <c r="K74" s="468"/>
    </row>
    <row r="75" spans="1:11" ht="12.75" customHeight="1" thickBot="1" x14ac:dyDescent="0.25">
      <c r="A75" s="1708" t="s">
        <v>548</v>
      </c>
      <c r="B75" s="1709"/>
      <c r="C75" s="1688">
        <f>SUM(C69:C74)</f>
        <v>53268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7350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2835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10185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18625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18625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12000</v>
      </c>
      <c r="E95" s="521"/>
      <c r="F95" s="521"/>
      <c r="G95" s="521"/>
      <c r="H95" s="521"/>
      <c r="I95" s="521"/>
      <c r="J95" s="521"/>
      <c r="K95" s="521"/>
    </row>
    <row r="96" spans="1:11" ht="12.75" customHeight="1" x14ac:dyDescent="0.2">
      <c r="A96" s="463" t="s">
        <v>391</v>
      </c>
      <c r="B96" s="470">
        <v>1920</v>
      </c>
      <c r="C96" s="551">
        <v>38667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40022</v>
      </c>
      <c r="D98" s="466"/>
      <c r="E98" s="512"/>
      <c r="F98" s="466"/>
      <c r="G98" s="512"/>
      <c r="H98" s="512"/>
      <c r="I98" s="510"/>
      <c r="J98" s="512"/>
      <c r="K98" s="512"/>
    </row>
    <row r="99" spans="1:12" ht="12.75" customHeight="1" x14ac:dyDescent="0.2">
      <c r="A99" s="463" t="s">
        <v>821</v>
      </c>
      <c r="B99" s="470">
        <v>1950</v>
      </c>
      <c r="C99" s="489">
        <v>16145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7101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17000</v>
      </c>
      <c r="D106" s="489"/>
      <c r="E106" s="467"/>
      <c r="F106" s="467"/>
      <c r="G106" s="467"/>
      <c r="H106" s="467"/>
      <c r="I106" s="521"/>
      <c r="J106" s="467"/>
      <c r="K106" s="467"/>
    </row>
    <row r="107" spans="1:12" ht="12.75" customHeight="1" x14ac:dyDescent="0.2">
      <c r="A107" s="463" t="s">
        <v>78</v>
      </c>
      <c r="B107" s="470">
        <v>1999</v>
      </c>
      <c r="C107" s="551">
        <v>1291</v>
      </c>
      <c r="D107" s="466"/>
      <c r="E107" s="466"/>
      <c r="F107" s="466"/>
      <c r="G107" s="466"/>
      <c r="H107" s="466"/>
      <c r="I107" s="466"/>
      <c r="J107" s="467"/>
      <c r="K107" s="466"/>
    </row>
    <row r="108" spans="1:12" ht="12.75" customHeight="1" thickBot="1" x14ac:dyDescent="0.25">
      <c r="A108" s="1708" t="s">
        <v>487</v>
      </c>
      <c r="B108" s="1712"/>
      <c r="C108" s="1707">
        <f>SUM(C95:C107)</f>
        <v>120226</v>
      </c>
      <c r="D108" s="1707">
        <f t="shared" ref="D108:K108" si="3">SUM(D95:D107)</f>
        <v>12000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1781199</v>
      </c>
      <c r="D109" s="1715">
        <f t="shared" si="4"/>
        <v>199313</v>
      </c>
      <c r="E109" s="1715">
        <f t="shared" si="4"/>
        <v>272166</v>
      </c>
      <c r="F109" s="1715">
        <f t="shared" si="4"/>
        <v>101668</v>
      </c>
      <c r="G109" s="1715">
        <f t="shared" si="4"/>
        <v>96687</v>
      </c>
      <c r="H109" s="1715">
        <f t="shared" si="4"/>
        <v>0</v>
      </c>
      <c r="I109" s="1715">
        <f t="shared" si="4"/>
        <v>19357</v>
      </c>
      <c r="J109" s="1715">
        <f t="shared" si="4"/>
        <v>192041</v>
      </c>
      <c r="K109" s="1702">
        <f t="shared" si="4"/>
        <v>19862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1345018</v>
      </c>
      <c r="D117" s="481">
        <v>172776</v>
      </c>
      <c r="E117" s="466"/>
      <c r="F117" s="481">
        <v>116332</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1345018</v>
      </c>
      <c r="D122" s="1707">
        <f t="shared" si="5"/>
        <v>172776</v>
      </c>
      <c r="E122" s="1707">
        <f t="shared" si="5"/>
        <v>0</v>
      </c>
      <c r="F122" s="1707">
        <f t="shared" si="5"/>
        <v>116332</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45687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45687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44724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15714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95</v>
      </c>
      <c r="D140" s="466"/>
      <c r="E140" s="561"/>
      <c r="F140" s="477"/>
      <c r="G140" s="467"/>
      <c r="H140" s="468"/>
      <c r="I140" s="468"/>
      <c r="J140" s="468"/>
      <c r="K140" s="468"/>
    </row>
    <row r="141" spans="1:11" ht="12.75" customHeight="1" thickBot="1" x14ac:dyDescent="0.25">
      <c r="A141" s="1708" t="s">
        <v>603</v>
      </c>
      <c r="B141" s="1720"/>
      <c r="C141" s="1707">
        <f>SUM(C134:C140)</f>
        <v>60533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1577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9352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189999</v>
      </c>
      <c r="G152" s="467"/>
      <c r="H152" s="468"/>
      <c r="I152" s="468"/>
      <c r="J152" s="468"/>
      <c r="K152" s="468"/>
    </row>
    <row r="153" spans="1:11" ht="12.75" customHeight="1" x14ac:dyDescent="0.2">
      <c r="A153" s="463" t="s">
        <v>1057</v>
      </c>
      <c r="B153" s="562">
        <v>3510</v>
      </c>
      <c r="C153" s="551"/>
      <c r="D153" s="466"/>
      <c r="E153" s="561"/>
      <c r="F153" s="466">
        <v>21727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211726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60028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938</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178115</v>
      </c>
      <c r="D169" s="1722">
        <f t="shared" si="6"/>
        <v>0</v>
      </c>
      <c r="E169" s="1722">
        <f t="shared" si="6"/>
        <v>0</v>
      </c>
      <c r="F169" s="1722">
        <f t="shared" si="6"/>
        <v>211726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1523133</v>
      </c>
      <c r="D170" s="1715">
        <f t="shared" si="7"/>
        <v>172776</v>
      </c>
      <c r="E170" s="1715">
        <f t="shared" si="7"/>
        <v>0</v>
      </c>
      <c r="F170" s="1715">
        <f t="shared" si="7"/>
        <v>328058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37726</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37726</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68438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19241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87679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62721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62721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34581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34581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3254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5036</v>
      </c>
      <c r="D263" s="576"/>
      <c r="E263" s="468"/>
      <c r="F263" s="576"/>
      <c r="G263" s="576"/>
      <c r="H263" s="468"/>
      <c r="I263" s="468"/>
      <c r="J263" s="468"/>
      <c r="K263" s="468"/>
    </row>
    <row r="264" spans="1:11" ht="12.75" customHeight="1" thickTop="1" thickBot="1" x14ac:dyDescent="0.25">
      <c r="A264" s="463" t="s">
        <v>377</v>
      </c>
      <c r="B264" s="470">
        <v>4992</v>
      </c>
      <c r="C264" s="575">
        <v>11313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242310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242310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3546642</v>
      </c>
      <c r="D268" s="1715">
        <f t="shared" si="12"/>
        <v>372089</v>
      </c>
      <c r="E268" s="1715">
        <f t="shared" si="12"/>
        <v>272166</v>
      </c>
      <c r="F268" s="1715">
        <f t="shared" si="12"/>
        <v>429726</v>
      </c>
      <c r="G268" s="1715">
        <f t="shared" si="12"/>
        <v>96687</v>
      </c>
      <c r="H268" s="1715">
        <f t="shared" si="12"/>
        <v>0</v>
      </c>
      <c r="I268" s="1715">
        <f t="shared" si="12"/>
        <v>19357</v>
      </c>
      <c r="J268" s="1715">
        <f t="shared" si="12"/>
        <v>192041</v>
      </c>
      <c r="K268" s="1702">
        <f t="shared" si="12"/>
        <v>19862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&amp;F&amp;C&amp;"Franklin Gothic Book,Regular"&amp;8The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7" activePane="bottomLeft" state="frozen"/>
      <selection pane="bottomLeft" activeCell="H51" sqref="H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954616</v>
      </c>
      <c r="D5" s="466">
        <v>275313</v>
      </c>
      <c r="E5" s="466">
        <v>71147</v>
      </c>
      <c r="F5" s="466">
        <v>95570</v>
      </c>
      <c r="G5" s="466">
        <v>15276</v>
      </c>
      <c r="H5" s="466">
        <v>1703</v>
      </c>
      <c r="I5" s="467"/>
      <c r="J5" s="467"/>
      <c r="K5" s="1671">
        <f>SUM(C5:J5)</f>
        <v>1413625</v>
      </c>
      <c r="L5" s="466">
        <v>1379750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69436</v>
      </c>
      <c r="D7" s="467">
        <v>19529</v>
      </c>
      <c r="E7" s="467">
        <v>444</v>
      </c>
      <c r="F7" s="467">
        <v>1767</v>
      </c>
      <c r="G7" s="467">
        <v>3088</v>
      </c>
      <c r="H7" s="467"/>
      <c r="I7" s="467"/>
      <c r="J7" s="467"/>
      <c r="K7" s="1671">
        <f t="shared" ref="K7:K32" si="0">SUM(C7:J7)</f>
        <v>94264</v>
      </c>
      <c r="L7" s="466">
        <v>95400</v>
      </c>
    </row>
    <row r="8" spans="1:14" x14ac:dyDescent="0.2">
      <c r="A8" s="1504" t="s">
        <v>164</v>
      </c>
      <c r="B8" s="614">
        <v>1200</v>
      </c>
      <c r="C8" s="466">
        <v>182021</v>
      </c>
      <c r="D8" s="466">
        <v>63143</v>
      </c>
      <c r="E8" s="466">
        <v>206</v>
      </c>
      <c r="F8" s="466">
        <v>857</v>
      </c>
      <c r="G8" s="466"/>
      <c r="H8" s="466"/>
      <c r="I8" s="467"/>
      <c r="J8" s="467"/>
      <c r="K8" s="1671">
        <f t="shared" si="0"/>
        <v>246227</v>
      </c>
      <c r="L8" s="466">
        <v>247250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44156</v>
      </c>
      <c r="D10" s="466">
        <v>14596</v>
      </c>
      <c r="E10" s="466">
        <v>4070</v>
      </c>
      <c r="F10" s="466">
        <v>6912</v>
      </c>
      <c r="G10" s="466">
        <v>3088</v>
      </c>
      <c r="H10" s="466"/>
      <c r="I10" s="467"/>
      <c r="J10" s="467"/>
      <c r="K10" s="1671">
        <f t="shared" si="0"/>
        <v>72822</v>
      </c>
      <c r="L10" s="466">
        <v>75000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85345</v>
      </c>
      <c r="D13" s="466">
        <v>15341</v>
      </c>
      <c r="E13" s="466">
        <v>275</v>
      </c>
      <c r="F13" s="466">
        <v>14870</v>
      </c>
      <c r="G13" s="466">
        <v>31099</v>
      </c>
      <c r="H13" s="466"/>
      <c r="I13" s="467"/>
      <c r="J13" s="467"/>
      <c r="K13" s="1671">
        <f t="shared" si="0"/>
        <v>146930</v>
      </c>
      <c r="L13" s="466">
        <v>132800</v>
      </c>
    </row>
    <row r="14" spans="1:14" x14ac:dyDescent="0.2">
      <c r="A14" s="1504" t="s">
        <v>963</v>
      </c>
      <c r="B14" s="614">
        <v>1500</v>
      </c>
      <c r="C14" s="466">
        <v>56904</v>
      </c>
      <c r="D14" s="466">
        <v>10571</v>
      </c>
      <c r="E14" s="466">
        <v>8062</v>
      </c>
      <c r="F14" s="466">
        <v>5652</v>
      </c>
      <c r="G14" s="466"/>
      <c r="H14" s="466">
        <v>3420</v>
      </c>
      <c r="I14" s="467"/>
      <c r="J14" s="467"/>
      <c r="K14" s="1671">
        <f t="shared" si="0"/>
        <v>84609</v>
      </c>
      <c r="L14" s="466">
        <v>85592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56550</v>
      </c>
      <c r="D17" s="467">
        <v>15088</v>
      </c>
      <c r="E17" s="467">
        <v>139</v>
      </c>
      <c r="F17" s="467"/>
      <c r="G17" s="467"/>
      <c r="H17" s="467"/>
      <c r="I17" s="467"/>
      <c r="J17" s="467"/>
      <c r="K17" s="1671">
        <f t="shared" si="0"/>
        <v>71777</v>
      </c>
      <c r="L17" s="466">
        <v>72650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114831</v>
      </c>
      <c r="I22" s="616"/>
      <c r="J22" s="477"/>
      <c r="K22" s="1671">
        <f t="shared" si="0"/>
        <v>114831</v>
      </c>
      <c r="L22" s="471">
        <v>115000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1449028</v>
      </c>
      <c r="D33" s="1670">
        <f t="shared" ref="D33:L33" si="1">SUM(D5:D32)</f>
        <v>413581</v>
      </c>
      <c r="E33" s="1670">
        <f t="shared" si="1"/>
        <v>84343</v>
      </c>
      <c r="F33" s="1670">
        <f t="shared" si="1"/>
        <v>125628</v>
      </c>
      <c r="G33" s="1670">
        <f t="shared" si="1"/>
        <v>52551</v>
      </c>
      <c r="H33" s="1670">
        <f t="shared" si="1"/>
        <v>119954</v>
      </c>
      <c r="I33" s="1670">
        <f t="shared" si="1"/>
        <v>0</v>
      </c>
      <c r="J33" s="1670">
        <f t="shared" si="1"/>
        <v>0</v>
      </c>
      <c r="K33" s="1670">
        <f t="shared" si="1"/>
        <v>2245085</v>
      </c>
      <c r="L33" s="1670">
        <f t="shared" si="1"/>
        <v>2203442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46883</v>
      </c>
      <c r="D37" s="466"/>
      <c r="E37" s="466">
        <v>206</v>
      </c>
      <c r="F37" s="466">
        <v>89</v>
      </c>
      <c r="G37" s="466"/>
      <c r="H37" s="466"/>
      <c r="I37" s="467"/>
      <c r="J37" s="467"/>
      <c r="K37" s="1671">
        <f t="shared" si="2"/>
        <v>47178</v>
      </c>
      <c r="L37" s="466">
        <v>47400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v>2300</v>
      </c>
    </row>
    <row r="40" spans="1:14" x14ac:dyDescent="0.2">
      <c r="A40" s="1504" t="s">
        <v>200</v>
      </c>
      <c r="B40" s="614">
        <v>2150</v>
      </c>
      <c r="C40" s="466">
        <v>48421</v>
      </c>
      <c r="D40" s="466">
        <v>13958</v>
      </c>
      <c r="E40" s="466"/>
      <c r="F40" s="466">
        <v>190</v>
      </c>
      <c r="G40" s="466"/>
      <c r="H40" s="466"/>
      <c r="I40" s="467"/>
      <c r="J40" s="467"/>
      <c r="K40" s="1671">
        <f t="shared" si="2"/>
        <v>62569</v>
      </c>
      <c r="L40" s="466">
        <v>62700</v>
      </c>
    </row>
    <row r="41" spans="1:14" x14ac:dyDescent="0.2">
      <c r="A41" s="1504" t="s">
        <v>1669</v>
      </c>
      <c r="B41" s="614">
        <v>2190</v>
      </c>
      <c r="C41" s="466"/>
      <c r="D41" s="466"/>
      <c r="E41" s="466">
        <v>899</v>
      </c>
      <c r="F41" s="466"/>
      <c r="G41" s="466"/>
      <c r="H41" s="466"/>
      <c r="I41" s="467"/>
      <c r="J41" s="467"/>
      <c r="K41" s="1671">
        <f t="shared" si="2"/>
        <v>899</v>
      </c>
      <c r="L41" s="466">
        <v>12100</v>
      </c>
    </row>
    <row r="42" spans="1:14" ht="12.75" customHeight="1" thickBot="1" x14ac:dyDescent="0.25">
      <c r="A42" s="1668" t="s">
        <v>560</v>
      </c>
      <c r="B42" s="1669" t="s">
        <v>716</v>
      </c>
      <c r="C42" s="1670">
        <f>SUM(C36:C41)</f>
        <v>95304</v>
      </c>
      <c r="D42" s="1670">
        <f t="shared" ref="D42:L42" si="3">SUM(D36:D41)</f>
        <v>13958</v>
      </c>
      <c r="E42" s="1670">
        <f t="shared" si="3"/>
        <v>1105</v>
      </c>
      <c r="F42" s="1670">
        <f t="shared" si="3"/>
        <v>279</v>
      </c>
      <c r="G42" s="1670">
        <f t="shared" si="3"/>
        <v>0</v>
      </c>
      <c r="H42" s="1670">
        <f t="shared" si="3"/>
        <v>0</v>
      </c>
      <c r="I42" s="1670">
        <f t="shared" si="3"/>
        <v>0</v>
      </c>
      <c r="J42" s="1670">
        <f t="shared" si="3"/>
        <v>0</v>
      </c>
      <c r="K42" s="1670">
        <f t="shared" si="3"/>
        <v>110646</v>
      </c>
      <c r="L42" s="1670">
        <f t="shared" si="3"/>
        <v>124500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5269</v>
      </c>
      <c r="F44" s="481"/>
      <c r="G44" s="481"/>
      <c r="H44" s="481"/>
      <c r="I44" s="467"/>
      <c r="J44" s="467"/>
      <c r="K44" s="1672">
        <f>SUM(C44:J44)</f>
        <v>5269</v>
      </c>
      <c r="L44" s="481">
        <v>5300</v>
      </c>
    </row>
    <row r="45" spans="1:14" x14ac:dyDescent="0.2">
      <c r="A45" s="1504" t="s">
        <v>815</v>
      </c>
      <c r="B45" s="614">
        <v>2220</v>
      </c>
      <c r="C45" s="466"/>
      <c r="D45" s="466"/>
      <c r="E45" s="466">
        <v>14430</v>
      </c>
      <c r="F45" s="466"/>
      <c r="G45" s="466"/>
      <c r="H45" s="466"/>
      <c r="I45" s="467"/>
      <c r="J45" s="467"/>
      <c r="K45" s="1672">
        <f>SUM(C45:J45)</f>
        <v>14430</v>
      </c>
      <c r="L45" s="466">
        <v>14500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19699</v>
      </c>
      <c r="F47" s="1670">
        <f t="shared" si="4"/>
        <v>0</v>
      </c>
      <c r="G47" s="1670">
        <f t="shared" si="4"/>
        <v>0</v>
      </c>
      <c r="H47" s="1670">
        <f t="shared" si="4"/>
        <v>0</v>
      </c>
      <c r="I47" s="1670">
        <f t="shared" si="4"/>
        <v>0</v>
      </c>
      <c r="J47" s="1670">
        <f t="shared" si="4"/>
        <v>0</v>
      </c>
      <c r="K47" s="1670">
        <f t="shared" si="4"/>
        <v>19699</v>
      </c>
      <c r="L47" s="1670">
        <f>SUM(L44:L46)</f>
        <v>19800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2100</v>
      </c>
      <c r="D49" s="481"/>
      <c r="E49" s="481">
        <v>8077</v>
      </c>
      <c r="F49" s="481">
        <v>47</v>
      </c>
      <c r="G49" s="481"/>
      <c r="H49" s="481">
        <v>11514</v>
      </c>
      <c r="I49" s="467"/>
      <c r="J49" s="467"/>
      <c r="K49" s="1672">
        <f>SUM(C49:J49)</f>
        <v>21738</v>
      </c>
      <c r="L49" s="481">
        <v>21900</v>
      </c>
    </row>
    <row r="50" spans="1:14" x14ac:dyDescent="0.2">
      <c r="A50" s="1504" t="s">
        <v>818</v>
      </c>
      <c r="B50" s="614">
        <v>2320</v>
      </c>
      <c r="C50" s="466">
        <v>39535</v>
      </c>
      <c r="D50" s="466">
        <v>15075</v>
      </c>
      <c r="E50" s="466">
        <v>125</v>
      </c>
      <c r="F50" s="466">
        <v>84</v>
      </c>
      <c r="G50" s="466"/>
      <c r="H50" s="466">
        <v>760</v>
      </c>
      <c r="I50" s="467"/>
      <c r="J50" s="467"/>
      <c r="K50" s="1672">
        <f>SUM(C50:J50)</f>
        <v>55579</v>
      </c>
      <c r="L50" s="466">
        <v>55750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41635</v>
      </c>
      <c r="D53" s="1670">
        <f t="shared" ref="D53:L53" si="5">SUM(D49:D52)</f>
        <v>15075</v>
      </c>
      <c r="E53" s="1670">
        <f t="shared" si="5"/>
        <v>8202</v>
      </c>
      <c r="F53" s="1670">
        <f t="shared" si="5"/>
        <v>131</v>
      </c>
      <c r="G53" s="1670">
        <f t="shared" si="5"/>
        <v>0</v>
      </c>
      <c r="H53" s="1670">
        <f t="shared" si="5"/>
        <v>12274</v>
      </c>
      <c r="I53" s="1670">
        <f t="shared" si="5"/>
        <v>0</v>
      </c>
      <c r="J53" s="1670">
        <f t="shared" si="5"/>
        <v>0</v>
      </c>
      <c r="K53" s="1670">
        <f t="shared" si="5"/>
        <v>77317</v>
      </c>
      <c r="L53" s="1670">
        <f t="shared" si="5"/>
        <v>77650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143647</v>
      </c>
      <c r="D55" s="481">
        <v>45278</v>
      </c>
      <c r="E55" s="481">
        <v>645</v>
      </c>
      <c r="F55" s="481"/>
      <c r="G55" s="481"/>
      <c r="H55" s="481">
        <v>639</v>
      </c>
      <c r="I55" s="467"/>
      <c r="J55" s="467"/>
      <c r="K55" s="1672">
        <f>SUM(C55:J55)</f>
        <v>190209</v>
      </c>
      <c r="L55" s="481">
        <v>190900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143647</v>
      </c>
      <c r="D57" s="1674">
        <f t="shared" ref="D57:K57" si="6">SUM(D55:D56)</f>
        <v>45278</v>
      </c>
      <c r="E57" s="1674">
        <f t="shared" si="6"/>
        <v>645</v>
      </c>
      <c r="F57" s="1674">
        <f t="shared" si="6"/>
        <v>0</v>
      </c>
      <c r="G57" s="1674">
        <f t="shared" si="6"/>
        <v>0</v>
      </c>
      <c r="H57" s="1674">
        <f t="shared" si="6"/>
        <v>639</v>
      </c>
      <c r="I57" s="1674">
        <f t="shared" si="6"/>
        <v>0</v>
      </c>
      <c r="J57" s="1674">
        <f t="shared" si="6"/>
        <v>0</v>
      </c>
      <c r="K57" s="1674">
        <f t="shared" si="6"/>
        <v>190209</v>
      </c>
      <c r="L57" s="1670">
        <f>SUM(L55:L56)</f>
        <v>190900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30806</v>
      </c>
      <c r="D60" s="466">
        <v>11</v>
      </c>
      <c r="E60" s="466">
        <v>1807</v>
      </c>
      <c r="F60" s="466">
        <v>748</v>
      </c>
      <c r="G60" s="466"/>
      <c r="H60" s="466">
        <v>1875</v>
      </c>
      <c r="I60" s="467"/>
      <c r="J60" s="467"/>
      <c r="K60" s="1672">
        <f t="shared" si="7"/>
        <v>35247</v>
      </c>
      <c r="L60" s="466">
        <v>34500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51862</v>
      </c>
      <c r="D63" s="466">
        <v>6983</v>
      </c>
      <c r="E63" s="466">
        <v>11699</v>
      </c>
      <c r="F63" s="466">
        <v>112291</v>
      </c>
      <c r="G63" s="466">
        <v>3682</v>
      </c>
      <c r="H63" s="466"/>
      <c r="I63" s="467"/>
      <c r="J63" s="467"/>
      <c r="K63" s="1672">
        <f t="shared" si="7"/>
        <v>186517</v>
      </c>
      <c r="L63" s="466">
        <v>187200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82668</v>
      </c>
      <c r="D65" s="1670">
        <f t="shared" ref="D65:L65" si="8">SUM(D59:D64)</f>
        <v>6994</v>
      </c>
      <c r="E65" s="1670">
        <f t="shared" si="8"/>
        <v>13506</v>
      </c>
      <c r="F65" s="1670">
        <f t="shared" si="8"/>
        <v>113039</v>
      </c>
      <c r="G65" s="1670">
        <f t="shared" si="8"/>
        <v>3682</v>
      </c>
      <c r="H65" s="1670">
        <f t="shared" si="8"/>
        <v>1875</v>
      </c>
      <c r="I65" s="1670">
        <f t="shared" si="8"/>
        <v>0</v>
      </c>
      <c r="J65" s="1670">
        <f t="shared" si="8"/>
        <v>0</v>
      </c>
      <c r="K65" s="1670">
        <f t="shared" si="8"/>
        <v>221764</v>
      </c>
      <c r="L65" s="1670">
        <f t="shared" si="8"/>
        <v>221700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733</v>
      </c>
      <c r="F70" s="466"/>
      <c r="G70" s="466"/>
      <c r="H70" s="466"/>
      <c r="I70" s="467"/>
      <c r="J70" s="467"/>
      <c r="K70" s="1672">
        <f>SUM(C70:J70)</f>
        <v>733</v>
      </c>
      <c r="L70" s="466">
        <v>750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733</v>
      </c>
      <c r="F72" s="1670">
        <f t="shared" si="9"/>
        <v>0</v>
      </c>
      <c r="G72" s="1670">
        <f t="shared" si="9"/>
        <v>0</v>
      </c>
      <c r="H72" s="1670">
        <f t="shared" si="9"/>
        <v>0</v>
      </c>
      <c r="I72" s="1670">
        <f t="shared" si="9"/>
        <v>0</v>
      </c>
      <c r="J72" s="1670">
        <f t="shared" si="9"/>
        <v>0</v>
      </c>
      <c r="K72" s="1670">
        <f t="shared" si="9"/>
        <v>733</v>
      </c>
      <c r="L72" s="1670">
        <f>SUM(L67:L71)</f>
        <v>750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363254</v>
      </c>
      <c r="D74" s="1677">
        <f t="shared" ref="D74:K74" si="10">SUM(D42,D47,D53,D57,D65,D72,D73)</f>
        <v>81305</v>
      </c>
      <c r="E74" s="1677">
        <f t="shared" si="10"/>
        <v>43890</v>
      </c>
      <c r="F74" s="1677">
        <f t="shared" si="10"/>
        <v>113449</v>
      </c>
      <c r="G74" s="1677">
        <f t="shared" si="10"/>
        <v>3682</v>
      </c>
      <c r="H74" s="1677">
        <f t="shared" si="10"/>
        <v>14788</v>
      </c>
      <c r="I74" s="1677">
        <f t="shared" si="10"/>
        <v>0</v>
      </c>
      <c r="J74" s="1677">
        <f t="shared" si="10"/>
        <v>0</v>
      </c>
      <c r="K74" s="1677">
        <f t="shared" si="10"/>
        <v>620368</v>
      </c>
      <c r="L74" s="1677">
        <f>SUM(L42,L47,L53,L57,L65,L72,L73)</f>
        <v>635300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79688</v>
      </c>
      <c r="F79" s="616"/>
      <c r="G79" s="616"/>
      <c r="H79" s="466">
        <v>7263</v>
      </c>
      <c r="I79" s="477"/>
      <c r="J79" s="477"/>
      <c r="K79" s="1671">
        <f t="shared" si="11"/>
        <v>86951</v>
      </c>
      <c r="L79" s="466">
        <v>85000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2500</v>
      </c>
      <c r="I81" s="477"/>
      <c r="J81" s="477"/>
      <c r="K81" s="1671">
        <f t="shared" si="11"/>
        <v>2500</v>
      </c>
      <c r="L81" s="466">
        <v>2500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3600</v>
      </c>
      <c r="F83" s="616"/>
      <c r="G83" s="616"/>
      <c r="H83" s="466"/>
      <c r="I83" s="477"/>
      <c r="J83" s="477"/>
      <c r="K83" s="1671">
        <f t="shared" si="11"/>
        <v>3600</v>
      </c>
      <c r="L83" s="466">
        <v>3600</v>
      </c>
    </row>
    <row r="84" spans="1:12" ht="13.5" thickBot="1" x14ac:dyDescent="0.25">
      <c r="A84" s="1668" t="s">
        <v>1485</v>
      </c>
      <c r="B84" s="1678">
        <v>4100</v>
      </c>
      <c r="C84" s="616"/>
      <c r="D84" s="616"/>
      <c r="E84" s="1670">
        <f>SUM(E78:E83)</f>
        <v>83288</v>
      </c>
      <c r="F84" s="616"/>
      <c r="G84" s="616"/>
      <c r="H84" s="1670">
        <f>SUM(H78:H83)</f>
        <v>9763</v>
      </c>
      <c r="I84" s="477"/>
      <c r="J84" s="477"/>
      <c r="K84" s="1670">
        <f>SUM(K78:K83)</f>
        <v>93051</v>
      </c>
      <c r="L84" s="1670">
        <f>SUM(L78:L83)</f>
        <v>91100</v>
      </c>
    </row>
    <row r="85" spans="1:12" ht="12.75" customHeight="1" thickTop="1" thickBot="1" x14ac:dyDescent="0.25">
      <c r="A85" s="1511" t="s">
        <v>255</v>
      </c>
      <c r="B85" s="635">
        <v>4210</v>
      </c>
      <c r="C85" s="616"/>
      <c r="D85" s="616"/>
      <c r="E85" s="636"/>
      <c r="F85" s="616"/>
      <c r="G85" s="616"/>
      <c r="H85" s="535">
        <v>351797</v>
      </c>
      <c r="I85" s="477"/>
      <c r="J85" s="477"/>
      <c r="K85" s="1677">
        <f>H85</f>
        <v>351797</v>
      </c>
      <c r="L85" s="530">
        <v>352000</v>
      </c>
    </row>
    <row r="86" spans="1:12" ht="12.75" customHeight="1" thickTop="1" thickBot="1" x14ac:dyDescent="0.25">
      <c r="A86" s="1512" t="s">
        <v>699</v>
      </c>
      <c r="B86" s="637">
        <v>4220</v>
      </c>
      <c r="C86" s="616"/>
      <c r="D86" s="616"/>
      <c r="E86" s="638"/>
      <c r="F86" s="616"/>
      <c r="G86" s="616"/>
      <c r="H86" s="467">
        <v>6207</v>
      </c>
      <c r="I86" s="477"/>
      <c r="J86" s="477"/>
      <c r="K86" s="1677">
        <f t="shared" ref="K86:K98" si="12">H86</f>
        <v>6207</v>
      </c>
      <c r="L86" s="530">
        <v>6500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358004</v>
      </c>
      <c r="I92" s="477"/>
      <c r="J92" s="477"/>
      <c r="K92" s="1677">
        <f t="shared" si="12"/>
        <v>358004</v>
      </c>
      <c r="L92" s="1670">
        <f>SUM(L85:L91)</f>
        <v>358500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83288</v>
      </c>
      <c r="F102" s="616"/>
      <c r="G102" s="616"/>
      <c r="H102" s="1677">
        <f>SUM(H84,H92,H100,H101)</f>
        <v>367767</v>
      </c>
      <c r="I102" s="477"/>
      <c r="J102" s="477"/>
      <c r="K102" s="1677">
        <f>SUM(K84,K92,K100,K101)</f>
        <v>451055</v>
      </c>
      <c r="L102" s="1677">
        <f>SUM(L84,L92,L100,L101)</f>
        <v>449600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1812282</v>
      </c>
      <c r="D114" s="1670">
        <f t="shared" ref="D114:K114" si="13">SUM(D33,D74,D75,D102,D112,D113)</f>
        <v>494886</v>
      </c>
      <c r="E114" s="1670">
        <f t="shared" si="13"/>
        <v>211521</v>
      </c>
      <c r="F114" s="1670">
        <f t="shared" si="13"/>
        <v>239077</v>
      </c>
      <c r="G114" s="1670">
        <f t="shared" si="13"/>
        <v>56233</v>
      </c>
      <c r="H114" s="1670">
        <f>SUM(H33,H74,H75,H102,H112,H113)</f>
        <v>502509</v>
      </c>
      <c r="I114" s="1670">
        <f t="shared" si="13"/>
        <v>0</v>
      </c>
      <c r="J114" s="1670">
        <f t="shared" si="13"/>
        <v>0</v>
      </c>
      <c r="K114" s="1670">
        <f t="shared" si="13"/>
        <v>3316508</v>
      </c>
      <c r="L114" s="1670">
        <f>SUM(L33,L74,L75,L102,L112,L113)</f>
        <v>3288342</v>
      </c>
    </row>
    <row r="115" spans="1:14" ht="13.5" thickTop="1" x14ac:dyDescent="0.2">
      <c r="A115" s="2186" t="s">
        <v>996</v>
      </c>
      <c r="B115" s="2187"/>
      <c r="C115" s="618"/>
      <c r="D115" s="618"/>
      <c r="E115" s="618"/>
      <c r="F115" s="618"/>
      <c r="G115" s="618"/>
      <c r="H115" s="618"/>
      <c r="I115" s="618"/>
      <c r="J115" s="618"/>
      <c r="K115" s="1684">
        <f>'Revenues 9-14'!C268-'Expenditures 15-22'!K114</f>
        <v>230134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91406</v>
      </c>
      <c r="D124" s="466">
        <v>8586</v>
      </c>
      <c r="E124" s="466">
        <v>50601</v>
      </c>
      <c r="F124" s="466">
        <v>164982</v>
      </c>
      <c r="G124" s="466">
        <v>16531</v>
      </c>
      <c r="H124" s="466"/>
      <c r="I124" s="467"/>
      <c r="J124" s="467"/>
      <c r="K124" s="1670">
        <f>SUM(C124:J124)</f>
        <v>332106</v>
      </c>
      <c r="L124" s="466">
        <v>334500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91406</v>
      </c>
      <c r="D127" s="1670">
        <f t="shared" ref="D127:L127" si="14">SUM(D122:D126)</f>
        <v>8586</v>
      </c>
      <c r="E127" s="1670">
        <f t="shared" si="14"/>
        <v>50601</v>
      </c>
      <c r="F127" s="1670">
        <f t="shared" si="14"/>
        <v>164982</v>
      </c>
      <c r="G127" s="1670">
        <f t="shared" si="14"/>
        <v>16531</v>
      </c>
      <c r="H127" s="1670">
        <f t="shared" si="14"/>
        <v>0</v>
      </c>
      <c r="I127" s="1670">
        <f t="shared" si="14"/>
        <v>0</v>
      </c>
      <c r="J127" s="1670">
        <f t="shared" si="14"/>
        <v>0</v>
      </c>
      <c r="K127" s="1670">
        <f t="shared" si="14"/>
        <v>332106</v>
      </c>
      <c r="L127" s="1670">
        <f t="shared" si="14"/>
        <v>334500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91406</v>
      </c>
      <c r="D129" s="1677">
        <f t="shared" ref="D129:L129" si="15">SUM(D120,D127,D128)</f>
        <v>8586</v>
      </c>
      <c r="E129" s="1677">
        <f t="shared" si="15"/>
        <v>50601</v>
      </c>
      <c r="F129" s="1677">
        <f t="shared" si="15"/>
        <v>164982</v>
      </c>
      <c r="G129" s="1677">
        <f t="shared" si="15"/>
        <v>16531</v>
      </c>
      <c r="H129" s="1677">
        <f t="shared" si="15"/>
        <v>0</v>
      </c>
      <c r="I129" s="1677">
        <f t="shared" si="15"/>
        <v>0</v>
      </c>
      <c r="J129" s="1677">
        <f t="shared" si="15"/>
        <v>0</v>
      </c>
      <c r="K129" s="1677">
        <f t="shared" si="15"/>
        <v>332106</v>
      </c>
      <c r="L129" s="1677">
        <f t="shared" si="15"/>
        <v>334500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8"/>
      <c r="C151" s="1670">
        <f>SUM(C129,C130,C139,C149,C150)</f>
        <v>91406</v>
      </c>
      <c r="D151" s="1670">
        <f t="shared" ref="D151:K151" si="16">SUM(D129,D130,D139,D149,D150)</f>
        <v>8586</v>
      </c>
      <c r="E151" s="1670">
        <f t="shared" si="16"/>
        <v>50601</v>
      </c>
      <c r="F151" s="1670">
        <f t="shared" si="16"/>
        <v>164982</v>
      </c>
      <c r="G151" s="1670">
        <f t="shared" si="16"/>
        <v>16531</v>
      </c>
      <c r="H151" s="1670">
        <f t="shared" si="16"/>
        <v>0</v>
      </c>
      <c r="I151" s="1670">
        <f t="shared" si="16"/>
        <v>0</v>
      </c>
      <c r="J151" s="1670">
        <f t="shared" si="16"/>
        <v>0</v>
      </c>
      <c r="K151" s="1670">
        <f t="shared" si="16"/>
        <v>332106</v>
      </c>
      <c r="L151" s="1670">
        <f>SUM(L129,L130,L139,L149,L150)</f>
        <v>334500</v>
      </c>
    </row>
    <row r="152" spans="1:14" ht="12.75" customHeight="1" thickTop="1" x14ac:dyDescent="0.2">
      <c r="A152" s="2179" t="s">
        <v>1178</v>
      </c>
      <c r="B152" s="2180"/>
      <c r="C152" s="618"/>
      <c r="D152" s="618"/>
      <c r="E152" s="618"/>
      <c r="F152" s="618"/>
      <c r="G152" s="618"/>
      <c r="H152" s="618"/>
      <c r="I152" s="618"/>
      <c r="J152" s="616"/>
      <c r="K152" s="1684">
        <f>'Revenues 9-14'!D268-'Expenditures 15-22'!K151</f>
        <v>39983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63365</v>
      </c>
      <c r="I169" s="616"/>
      <c r="J169" s="616"/>
      <c r="K169" s="1671">
        <f>SUM(C169:H169)</f>
        <v>63365</v>
      </c>
      <c r="L169" s="656">
        <v>63500</v>
      </c>
    </row>
    <row r="170" spans="1:14" ht="33.75" customHeight="1" x14ac:dyDescent="0.2">
      <c r="A170" s="669" t="s">
        <v>1670</v>
      </c>
      <c r="B170" s="671" t="s">
        <v>31</v>
      </c>
      <c r="C170" s="616"/>
      <c r="D170" s="616"/>
      <c r="E170" s="616"/>
      <c r="F170" s="616"/>
      <c r="G170" s="616"/>
      <c r="H170" s="569">
        <v>965000</v>
      </c>
      <c r="I170" s="616"/>
      <c r="J170" s="616"/>
      <c r="K170" s="1671">
        <f>SUM(C170:J170)</f>
        <v>965000</v>
      </c>
      <c r="L170" s="569">
        <v>206500</v>
      </c>
    </row>
    <row r="171" spans="1:14" ht="15.75" customHeight="1" x14ac:dyDescent="0.2">
      <c r="A171" s="621" t="s">
        <v>766</v>
      </c>
      <c r="B171" s="672" t="s">
        <v>84</v>
      </c>
      <c r="C171" s="616"/>
      <c r="D171" s="616"/>
      <c r="E171" s="466"/>
      <c r="F171" s="616"/>
      <c r="G171" s="616"/>
      <c r="H171" s="569">
        <v>44330</v>
      </c>
      <c r="I171" s="477"/>
      <c r="J171" s="616"/>
      <c r="K171" s="1671">
        <f>SUM(C171:J171)</f>
        <v>44330</v>
      </c>
      <c r="L171" s="569"/>
    </row>
    <row r="172" spans="1:14" ht="12.75" customHeight="1" thickBot="1" x14ac:dyDescent="0.25">
      <c r="A172" s="1668" t="s">
        <v>638</v>
      </c>
      <c r="B172" s="1669" t="s">
        <v>492</v>
      </c>
      <c r="C172" s="616"/>
      <c r="D172" s="616"/>
      <c r="E172" s="1677">
        <f>SUM(E168,E169,E170,E171)</f>
        <v>0</v>
      </c>
      <c r="F172" s="616"/>
      <c r="G172" s="616"/>
      <c r="H172" s="1677">
        <f>SUM(H168,H169,H170,H171)</f>
        <v>1072695</v>
      </c>
      <c r="I172" s="638"/>
      <c r="J172" s="616"/>
      <c r="K172" s="1677">
        <f>SUM(K168,K169,K170,K171)</f>
        <v>1072695</v>
      </c>
      <c r="L172" s="1677">
        <f>SUM(L168,L169,L170,L171)</f>
        <v>270000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1072695</v>
      </c>
      <c r="I174" s="638"/>
      <c r="J174" s="616"/>
      <c r="K174" s="1677">
        <f>SUM(K160,K172,K173)</f>
        <v>1072695</v>
      </c>
      <c r="L174" s="1677">
        <f>SUM(L160,L172,L173)</f>
        <v>270000</v>
      </c>
    </row>
    <row r="175" spans="1:14" ht="13.5" thickTop="1" x14ac:dyDescent="0.2">
      <c r="A175" s="2186" t="s">
        <v>996</v>
      </c>
      <c r="B175" s="2187"/>
      <c r="C175" s="616"/>
      <c r="D175" s="616"/>
      <c r="E175" s="616"/>
      <c r="F175" s="616"/>
      <c r="G175" s="616"/>
      <c r="H175" s="618"/>
      <c r="I175" s="616"/>
      <c r="J175" s="616"/>
      <c r="K175" s="1684">
        <f>'Revenues 9-14'!E268-'Expenditures 15-22'!K174</f>
        <v>-800529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152981</v>
      </c>
      <c r="D182" s="466">
        <v>17856</v>
      </c>
      <c r="E182" s="466">
        <v>168921</v>
      </c>
      <c r="F182" s="466">
        <v>39419</v>
      </c>
      <c r="G182" s="466">
        <v>879</v>
      </c>
      <c r="H182" s="466"/>
      <c r="I182" s="467"/>
      <c r="J182" s="467"/>
      <c r="K182" s="1671">
        <f>SUM(C182:J182)</f>
        <v>380056</v>
      </c>
      <c r="L182" s="466">
        <v>382500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152981</v>
      </c>
      <c r="D184" s="1677">
        <f t="shared" ref="D184:J184" si="17">SUM(D180,D182,D183)</f>
        <v>17856</v>
      </c>
      <c r="E184" s="1677">
        <f t="shared" si="17"/>
        <v>168921</v>
      </c>
      <c r="F184" s="1677">
        <f t="shared" si="17"/>
        <v>39419</v>
      </c>
      <c r="G184" s="1677">
        <f t="shared" si="17"/>
        <v>879</v>
      </c>
      <c r="H184" s="1677">
        <f t="shared" si="17"/>
        <v>0</v>
      </c>
      <c r="I184" s="1677">
        <f t="shared" si="17"/>
        <v>0</v>
      </c>
      <c r="J184" s="1677">
        <f t="shared" si="17"/>
        <v>0</v>
      </c>
      <c r="K184" s="1677">
        <f>SUM(K180,K182,K183)</f>
        <v>380056</v>
      </c>
      <c r="L184" s="1677">
        <f>SUM(L180, L182:L183)</f>
        <v>382500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152981</v>
      </c>
      <c r="D210" s="1670">
        <f>SUM(D184,D185)</f>
        <v>17856</v>
      </c>
      <c r="E210" s="1670">
        <f>SUM(E184,E185,E196)</f>
        <v>168921</v>
      </c>
      <c r="F210" s="1670">
        <f>SUM(F184,F185)</f>
        <v>39419</v>
      </c>
      <c r="G210" s="1670">
        <f>SUM(G184,G185)</f>
        <v>879</v>
      </c>
      <c r="H210" s="1670">
        <f>SUM(H184,H185,H196,H208,H209)</f>
        <v>0</v>
      </c>
      <c r="I210" s="1670">
        <f>SUM(I184,I185)</f>
        <v>0</v>
      </c>
      <c r="J210" s="1670">
        <f>SUM(J184,J185)</f>
        <v>0</v>
      </c>
      <c r="K210" s="1671">
        <f>SUM(K184,K185,K196,K208,K209)</f>
        <v>380056</v>
      </c>
      <c r="L210" s="1670">
        <f>SUM(L184,L185,L196,L208,L209)</f>
        <v>382500</v>
      </c>
    </row>
    <row r="211" spans="1:14" ht="13.5" thickTop="1" x14ac:dyDescent="0.2">
      <c r="A211" s="2186" t="s">
        <v>996</v>
      </c>
      <c r="B211" s="2187"/>
      <c r="C211" s="618"/>
      <c r="D211" s="618"/>
      <c r="E211" s="618"/>
      <c r="F211" s="618"/>
      <c r="G211" s="618"/>
      <c r="H211" s="618"/>
      <c r="I211" s="616"/>
      <c r="J211" s="616"/>
      <c r="K211" s="1684">
        <f>'Revenues 9-14'!F268-'Expenditures 15-22'!K210</f>
        <v>49670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13005</v>
      </c>
      <c r="E215" s="616"/>
      <c r="F215" s="616"/>
      <c r="G215" s="616"/>
      <c r="H215" s="616"/>
      <c r="I215" s="616"/>
      <c r="J215" s="616"/>
      <c r="K215" s="1671">
        <f>D215</f>
        <v>13005</v>
      </c>
      <c r="L215" s="466">
        <v>13500</v>
      </c>
    </row>
    <row r="216" spans="1:14" x14ac:dyDescent="0.2">
      <c r="A216" s="1504" t="s">
        <v>163</v>
      </c>
      <c r="B216" s="614" t="s">
        <v>967</v>
      </c>
      <c r="C216" s="616"/>
      <c r="D216" s="467">
        <v>6961</v>
      </c>
      <c r="E216" s="616"/>
      <c r="F216" s="616"/>
      <c r="G216" s="616"/>
      <c r="H216" s="616"/>
      <c r="I216" s="616"/>
      <c r="J216" s="616"/>
      <c r="K216" s="1671">
        <f t="shared" ref="K216:K228" si="19">D216</f>
        <v>6961</v>
      </c>
      <c r="L216" s="466">
        <v>7000</v>
      </c>
    </row>
    <row r="217" spans="1:14" x14ac:dyDescent="0.2">
      <c r="A217" s="1504" t="s">
        <v>164</v>
      </c>
      <c r="B217" s="614">
        <v>1200</v>
      </c>
      <c r="C217" s="616"/>
      <c r="D217" s="466">
        <v>6990</v>
      </c>
      <c r="E217" s="616"/>
      <c r="F217" s="616"/>
      <c r="G217" s="616"/>
      <c r="H217" s="616"/>
      <c r="I217" s="616"/>
      <c r="J217" s="616"/>
      <c r="K217" s="1671">
        <f t="shared" si="19"/>
        <v>6990</v>
      </c>
      <c r="L217" s="466">
        <v>7000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616</v>
      </c>
      <c r="E219" s="616"/>
      <c r="F219" s="616"/>
      <c r="G219" s="616"/>
      <c r="H219" s="616"/>
      <c r="I219" s="616"/>
      <c r="J219" s="616"/>
      <c r="K219" s="1671">
        <f t="shared" si="19"/>
        <v>616</v>
      </c>
      <c r="L219" s="466">
        <v>650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1218</v>
      </c>
      <c r="E222" s="616"/>
      <c r="F222" s="616"/>
      <c r="G222" s="616"/>
      <c r="H222" s="616"/>
      <c r="I222" s="616"/>
      <c r="J222" s="616"/>
      <c r="K222" s="1671">
        <f t="shared" si="19"/>
        <v>1218</v>
      </c>
      <c r="L222" s="466">
        <v>1250</v>
      </c>
    </row>
    <row r="223" spans="1:14" x14ac:dyDescent="0.2">
      <c r="A223" s="1504" t="s">
        <v>963</v>
      </c>
      <c r="B223" s="614">
        <v>1500</v>
      </c>
      <c r="C223" s="616"/>
      <c r="D223" s="466">
        <v>2184</v>
      </c>
      <c r="E223" s="616"/>
      <c r="F223" s="616"/>
      <c r="G223" s="616"/>
      <c r="H223" s="616"/>
      <c r="I223" s="616"/>
      <c r="J223" s="616"/>
      <c r="K223" s="1671">
        <f t="shared" si="19"/>
        <v>2184</v>
      </c>
      <c r="L223" s="466">
        <v>2200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790</v>
      </c>
      <c r="E226" s="616"/>
      <c r="F226" s="616"/>
      <c r="G226" s="616"/>
      <c r="H226" s="616"/>
      <c r="I226" s="616"/>
      <c r="J226" s="616"/>
      <c r="K226" s="1671">
        <f t="shared" si="19"/>
        <v>790</v>
      </c>
      <c r="L226" s="466">
        <v>900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31764</v>
      </c>
      <c r="E229" s="616"/>
      <c r="F229" s="616"/>
      <c r="G229" s="616"/>
      <c r="H229" s="616"/>
      <c r="I229" s="616"/>
      <c r="J229" s="616"/>
      <c r="K229" s="1670">
        <f>SUM(K215:K228)</f>
        <v>31764</v>
      </c>
      <c r="L229" s="1670">
        <f>SUM(L215:L228)</f>
        <v>32500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680</v>
      </c>
      <c r="E233" s="616"/>
      <c r="F233" s="616"/>
      <c r="G233" s="616"/>
      <c r="H233" s="616"/>
      <c r="I233" s="616"/>
      <c r="J233" s="616"/>
      <c r="K233" s="1671">
        <f t="shared" si="20"/>
        <v>680</v>
      </c>
      <c r="L233" s="466">
        <v>700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660</v>
      </c>
      <c r="E236" s="616"/>
      <c r="F236" s="616"/>
      <c r="G236" s="616"/>
      <c r="H236" s="616"/>
      <c r="I236" s="616"/>
      <c r="J236" s="616"/>
      <c r="K236" s="1671">
        <f t="shared" si="20"/>
        <v>660</v>
      </c>
      <c r="L236" s="466">
        <v>700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1340</v>
      </c>
      <c r="E238" s="616"/>
      <c r="F238" s="616"/>
      <c r="G238" s="616"/>
      <c r="H238" s="616"/>
      <c r="I238" s="616"/>
      <c r="J238" s="616"/>
      <c r="K238" s="1670">
        <f>SUM(K232:K237)</f>
        <v>1340</v>
      </c>
      <c r="L238" s="1670">
        <f>SUM(L232:L237)</f>
        <v>1400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422</v>
      </c>
      <c r="E245" s="616"/>
      <c r="F245" s="616"/>
      <c r="G245" s="616"/>
      <c r="H245" s="616"/>
      <c r="I245" s="616"/>
      <c r="J245" s="616"/>
      <c r="K245" s="1672">
        <f>D245</f>
        <v>422</v>
      </c>
      <c r="L245" s="481">
        <v>500</v>
      </c>
    </row>
    <row r="246" spans="1:12" x14ac:dyDescent="0.2">
      <c r="A246" s="1504" t="s">
        <v>818</v>
      </c>
      <c r="B246" s="614">
        <v>2320</v>
      </c>
      <c r="C246" s="616"/>
      <c r="D246" s="466">
        <v>573</v>
      </c>
      <c r="E246" s="616"/>
      <c r="F246" s="616"/>
      <c r="G246" s="616"/>
      <c r="H246" s="616"/>
      <c r="I246" s="616"/>
      <c r="J246" s="616"/>
      <c r="K246" s="1672">
        <f t="shared" ref="K246:K256" si="21">D246</f>
        <v>573</v>
      </c>
      <c r="L246" s="466">
        <v>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1445</v>
      </c>
      <c r="E254" s="616"/>
      <c r="F254" s="616"/>
      <c r="G254" s="616"/>
      <c r="H254" s="616"/>
      <c r="I254" s="616"/>
      <c r="J254" s="616"/>
      <c r="K254" s="1672">
        <f t="shared" si="21"/>
        <v>1445</v>
      </c>
      <c r="L254" s="466">
        <v>1500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2440</v>
      </c>
      <c r="E257" s="616"/>
      <c r="F257" s="616"/>
      <c r="G257" s="616"/>
      <c r="H257" s="616"/>
      <c r="I257" s="616"/>
      <c r="J257" s="616"/>
      <c r="K257" s="1670">
        <f>SUM(K245:K256)</f>
        <v>2440</v>
      </c>
      <c r="L257" s="1670">
        <f>SUM(L245:L256)</f>
        <v>2600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10369</v>
      </c>
      <c r="E259" s="616"/>
      <c r="F259" s="616"/>
      <c r="G259" s="616"/>
      <c r="H259" s="616"/>
      <c r="I259" s="616"/>
      <c r="J259" s="616"/>
      <c r="K259" s="1672">
        <f>D259</f>
        <v>10369</v>
      </c>
      <c r="L259" s="481">
        <v>10900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10369</v>
      </c>
      <c r="E261" s="616"/>
      <c r="F261" s="616"/>
      <c r="G261" s="616"/>
      <c r="H261" s="616"/>
      <c r="I261" s="616"/>
      <c r="J261" s="616"/>
      <c r="K261" s="1670">
        <f>SUM(K259:K260)</f>
        <v>10369</v>
      </c>
      <c r="L261" s="1670">
        <f>SUM(L259:L260)</f>
        <v>10900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6064</v>
      </c>
      <c r="E264" s="616"/>
      <c r="F264" s="616"/>
      <c r="G264" s="616"/>
      <c r="H264" s="616"/>
      <c r="I264" s="616"/>
      <c r="J264" s="616"/>
      <c r="K264" s="1672">
        <f t="shared" ref="K264:K269" si="22">D264</f>
        <v>6064</v>
      </c>
      <c r="L264" s="466">
        <v>6500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13698</v>
      </c>
      <c r="E266" s="616"/>
      <c r="F266" s="616"/>
      <c r="G266" s="616"/>
      <c r="H266" s="616"/>
      <c r="I266" s="616"/>
      <c r="J266" s="616"/>
      <c r="K266" s="1672">
        <f t="shared" si="22"/>
        <v>13698</v>
      </c>
      <c r="L266" s="466">
        <v>14000</v>
      </c>
    </row>
    <row r="267" spans="1:14" x14ac:dyDescent="0.2">
      <c r="A267" s="1504" t="s">
        <v>953</v>
      </c>
      <c r="B267" s="614">
        <v>2550</v>
      </c>
      <c r="C267" s="616"/>
      <c r="D267" s="466">
        <v>17125</v>
      </c>
      <c r="E267" s="616"/>
      <c r="F267" s="616"/>
      <c r="G267" s="616"/>
      <c r="H267" s="616"/>
      <c r="I267" s="616"/>
      <c r="J267" s="616"/>
      <c r="K267" s="1672">
        <f t="shared" si="22"/>
        <v>17125</v>
      </c>
      <c r="L267" s="466">
        <v>17500</v>
      </c>
    </row>
    <row r="268" spans="1:14" x14ac:dyDescent="0.2">
      <c r="A268" s="1504" t="s">
        <v>100</v>
      </c>
      <c r="B268" s="614">
        <v>2560</v>
      </c>
      <c r="C268" s="616"/>
      <c r="D268" s="466">
        <v>5647</v>
      </c>
      <c r="E268" s="616"/>
      <c r="F268" s="616"/>
      <c r="G268" s="616"/>
      <c r="H268" s="616"/>
      <c r="I268" s="616"/>
      <c r="J268" s="616"/>
      <c r="K268" s="1672">
        <f t="shared" si="22"/>
        <v>5647</v>
      </c>
      <c r="L268" s="466">
        <v>6000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42534</v>
      </c>
      <c r="E270" s="616"/>
      <c r="F270" s="616"/>
      <c r="G270" s="616"/>
      <c r="H270" s="616"/>
      <c r="I270" s="616"/>
      <c r="J270" s="616"/>
      <c r="K270" s="1670">
        <f>SUM(K263:K269)</f>
        <v>42534</v>
      </c>
      <c r="L270" s="1670">
        <f>SUM(L263:L269)</f>
        <v>44000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56683</v>
      </c>
      <c r="E279" s="616"/>
      <c r="F279" s="616"/>
      <c r="G279" s="616"/>
      <c r="H279" s="616"/>
      <c r="I279" s="616"/>
      <c r="J279" s="616"/>
      <c r="K279" s="1677">
        <f>SUM(K238,K243,K257,K261,K270,K277,K278)</f>
        <v>56683</v>
      </c>
      <c r="L279" s="1677">
        <f>SUM(L238,L243,L257,L261,L270,L277,L278)</f>
        <v>58900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88447</v>
      </c>
      <c r="E295" s="616"/>
      <c r="F295" s="616"/>
      <c r="G295" s="616"/>
      <c r="H295" s="1670">
        <f>H293</f>
        <v>0</v>
      </c>
      <c r="I295" s="616"/>
      <c r="J295" s="616"/>
      <c r="K295" s="1670">
        <f>SUM(K229,K279,K280,K285,K293,K294)</f>
        <v>88447</v>
      </c>
      <c r="L295" s="1670">
        <f>SUM(L229,L279,L280,L285,L293,L294)</f>
        <v>91400</v>
      </c>
    </row>
    <row r="296" spans="1:14" ht="13.5" thickTop="1" x14ac:dyDescent="0.2">
      <c r="A296" s="2186" t="s">
        <v>996</v>
      </c>
      <c r="B296" s="2187"/>
      <c r="C296" s="616"/>
      <c r="D296" s="618"/>
      <c r="E296" s="616"/>
      <c r="F296" s="616"/>
      <c r="G296" s="616"/>
      <c r="H296" s="687"/>
      <c r="I296" s="616"/>
      <c r="J296" s="616"/>
      <c r="K296" s="1684">
        <f>'Revenues 9-14'!G268-'Expenditures 15-22'!K295</f>
        <v>8240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18569</v>
      </c>
      <c r="F320" s="467"/>
      <c r="G320" s="467"/>
      <c r="H320" s="467"/>
      <c r="I320" s="467"/>
      <c r="J320" s="467"/>
      <c r="K320" s="1671">
        <f t="shared" ref="K320:K327" si="24">SUM(C320:J320)</f>
        <v>18569</v>
      </c>
      <c r="L320" s="467">
        <v>19000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5670</v>
      </c>
      <c r="F322" s="467"/>
      <c r="G322" s="467"/>
      <c r="H322" s="467"/>
      <c r="I322" s="467"/>
      <c r="J322" s="467"/>
      <c r="K322" s="1671">
        <f t="shared" si="24"/>
        <v>5670</v>
      </c>
      <c r="L322" s="467">
        <v>6000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v>2050</v>
      </c>
      <c r="F324" s="467"/>
      <c r="G324" s="467"/>
      <c r="H324" s="467"/>
      <c r="I324" s="467"/>
      <c r="J324" s="467"/>
      <c r="K324" s="1671">
        <f t="shared" si="24"/>
        <v>2050</v>
      </c>
      <c r="L324" s="467">
        <v>700</v>
      </c>
      <c r="M324" s="665"/>
      <c r="N324" s="665"/>
    </row>
    <row r="325" spans="1:14" s="674" customFormat="1" ht="22.5" x14ac:dyDescent="0.2">
      <c r="A325" s="1519" t="s">
        <v>1029</v>
      </c>
      <c r="B325" s="698" t="s">
        <v>287</v>
      </c>
      <c r="C325" s="467">
        <v>49783</v>
      </c>
      <c r="D325" s="467">
        <v>17680</v>
      </c>
      <c r="E325" s="467">
        <v>26685</v>
      </c>
      <c r="F325" s="467"/>
      <c r="G325" s="467">
        <v>549</v>
      </c>
      <c r="H325" s="467"/>
      <c r="I325" s="467"/>
      <c r="J325" s="467"/>
      <c r="K325" s="1671">
        <f t="shared" si="24"/>
        <v>94697</v>
      </c>
      <c r="L325" s="467">
        <v>97100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4987</v>
      </c>
      <c r="F327" s="467"/>
      <c r="G327" s="467"/>
      <c r="H327" s="467"/>
      <c r="I327" s="467"/>
      <c r="J327" s="467"/>
      <c r="K327" s="1671">
        <f t="shared" si="24"/>
        <v>4987</v>
      </c>
      <c r="L327" s="467">
        <v>5000</v>
      </c>
      <c r="M327" s="665"/>
      <c r="N327" s="665"/>
    </row>
    <row r="328" spans="1:14" s="674" customFormat="1" x14ac:dyDescent="0.2">
      <c r="A328" s="1520" t="s">
        <v>472</v>
      </c>
      <c r="B328" s="690" t="s">
        <v>1132</v>
      </c>
      <c r="C328" s="474"/>
      <c r="D328" s="474"/>
      <c r="E328" s="474">
        <v>38480</v>
      </c>
      <c r="F328" s="474"/>
      <c r="G328" s="474"/>
      <c r="H328" s="474"/>
      <c r="I328" s="474"/>
      <c r="J328" s="474"/>
      <c r="K328" s="1699">
        <f>SUM(C328:J328)</f>
        <v>38480</v>
      </c>
      <c r="L328" s="474">
        <v>39000</v>
      </c>
      <c r="M328" s="665"/>
      <c r="N328" s="665"/>
    </row>
    <row r="329" spans="1:14" s="674" customFormat="1" x14ac:dyDescent="0.2">
      <c r="A329" s="1520" t="s">
        <v>1133</v>
      </c>
      <c r="B329" s="690" t="s">
        <v>1134</v>
      </c>
      <c r="C329" s="474"/>
      <c r="D329" s="474"/>
      <c r="E329" s="474">
        <v>8412</v>
      </c>
      <c r="F329" s="474"/>
      <c r="G329" s="474"/>
      <c r="H329" s="474"/>
      <c r="I329" s="474"/>
      <c r="J329" s="474"/>
      <c r="K329" s="1699">
        <f>SUM(C329:J329)</f>
        <v>8412</v>
      </c>
      <c r="L329" s="474">
        <v>8590</v>
      </c>
      <c r="M329" s="665"/>
      <c r="N329" s="665"/>
    </row>
    <row r="330" spans="1:14" s="674" customFormat="1" ht="12.75" customHeight="1" thickBot="1" x14ac:dyDescent="0.25">
      <c r="A330" s="1700" t="s">
        <v>717</v>
      </c>
      <c r="B330" s="1669" t="s">
        <v>569</v>
      </c>
      <c r="C330" s="1670">
        <f>SUM(C319:C329)</f>
        <v>49783</v>
      </c>
      <c r="D330" s="1670">
        <f t="shared" ref="D330:J330" si="25">SUM(D319:D329)</f>
        <v>17680</v>
      </c>
      <c r="E330" s="1670">
        <f t="shared" si="25"/>
        <v>104853</v>
      </c>
      <c r="F330" s="1670">
        <f t="shared" si="25"/>
        <v>0</v>
      </c>
      <c r="G330" s="1670">
        <f t="shared" si="25"/>
        <v>549</v>
      </c>
      <c r="H330" s="1670">
        <f t="shared" si="25"/>
        <v>0</v>
      </c>
      <c r="I330" s="1670">
        <f t="shared" si="25"/>
        <v>0</v>
      </c>
      <c r="J330" s="1670">
        <f t="shared" si="25"/>
        <v>0</v>
      </c>
      <c r="K330" s="1670">
        <f>SUM(K319:K329)</f>
        <v>172865</v>
      </c>
      <c r="L330" s="1670">
        <f>SUM(L319:L329)</f>
        <v>175390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49783</v>
      </c>
      <c r="D342" s="1670">
        <f>SUM(D330)</f>
        <v>17680</v>
      </c>
      <c r="E342" s="1670">
        <f>SUM(E330)</f>
        <v>104853</v>
      </c>
      <c r="F342" s="1670">
        <f>SUM(F330)</f>
        <v>0</v>
      </c>
      <c r="G342" s="1670">
        <f>SUM(G330)</f>
        <v>549</v>
      </c>
      <c r="H342" s="1670">
        <f>SUM(H330,H334,H340)</f>
        <v>0</v>
      </c>
      <c r="I342" s="1670">
        <f>SUM(I330)</f>
        <v>0</v>
      </c>
      <c r="J342" s="1670">
        <f>SUM(J330)</f>
        <v>0</v>
      </c>
      <c r="K342" s="1670">
        <f>SUM(K330,K334,K340)</f>
        <v>172865</v>
      </c>
      <c r="L342" s="1677">
        <f>SUM(L330,L340,L341)</f>
        <v>175390</v>
      </c>
    </row>
    <row r="343" spans="1:14" ht="12.75" customHeight="1" thickTop="1" x14ac:dyDescent="0.2">
      <c r="A343" s="2172" t="s">
        <v>996</v>
      </c>
      <c r="B343" s="2173"/>
      <c r="C343" s="616"/>
      <c r="D343" s="616"/>
      <c r="E343" s="616"/>
      <c r="F343" s="616"/>
      <c r="G343" s="616"/>
      <c r="H343" s="616"/>
      <c r="I343" s="616"/>
      <c r="J343" s="616"/>
      <c r="K343" s="1684">
        <f>'Revenues 9-14'!J268-'Expenditures 15-22'!K342</f>
        <v>19176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19862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purl.org/dc/terms/"/>
    <ds:schemaRef ds:uri="http://purl.org/dc/dcmitype/"/>
    <ds:schemaRef ds:uri="6ce3111e-7420-4802-b50a-75d4e9a0b980"/>
    <ds:schemaRef ds:uri="http://schemas.microsoft.com/office/2006/metadata/properties"/>
    <ds:schemaRef ds:uri="d21dc803-237d-4c68-8692-8d731fd29118"/>
    <ds:schemaRef ds:uri="http://purl.org/dc/elements/1.1/"/>
    <ds:schemaRef ds:uri="http://schemas.openxmlformats.org/package/2006/metadata/core-properties"/>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2019-09-27T14:37:13Z</cp:lastPrinted>
  <dcterms:created xsi:type="dcterms:W3CDTF">2003-10-29T19:06:34Z</dcterms:created>
  <dcterms:modified xsi:type="dcterms:W3CDTF">2019-12-03T19:33:52Z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