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1600" windowHeight="92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27" i="12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K130" i="29"/>
  <c r="K185" i="29"/>
  <c r="F62" i="34"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K93" i="29"/>
  <c r="K94" i="29"/>
  <c r="K95" i="29"/>
  <c r="B7001" i="106" s="1"/>
  <c r="D7001" i="106" s="1"/>
  <c r="K96" i="29"/>
  <c r="B7003" i="106" s="1"/>
  <c r="D7003" i="106" s="1"/>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B7090" i="106" s="1"/>
  <c r="D7090" i="106" s="1"/>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48" i="127"/>
  <c r="B49" i="127"/>
  <c r="D26" i="108"/>
  <c r="F26" i="108"/>
  <c r="D27" i="108"/>
  <c r="E27" i="108"/>
  <c r="F27" i="108"/>
  <c r="G27" i="108"/>
  <c r="E28" i="108"/>
  <c r="F28" i="108"/>
  <c r="F31" i="108"/>
  <c r="F36" i="108"/>
  <c r="F37" i="108"/>
  <c r="G28" i="108"/>
  <c r="D31" i="108"/>
  <c r="D36" i="108"/>
  <c r="D37"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D22" i="37"/>
  <c r="J22" i="37"/>
  <c r="D17" i="7" l="1"/>
  <c r="B4104" i="106" s="1"/>
  <c r="D4104" i="106" s="1"/>
  <c r="F34" i="34"/>
  <c r="L22" i="37"/>
  <c r="B6289" i="106"/>
  <c r="D6289" i="106" s="1"/>
  <c r="F42" i="34"/>
  <c r="F38" i="34"/>
  <c r="E26" i="108"/>
  <c r="H112" i="29"/>
  <c r="B7018" i="106" s="1"/>
  <c r="D7018" i="106" s="1"/>
  <c r="D69" i="36"/>
  <c r="D24" i="37"/>
  <c r="B4270" i="106" s="1"/>
  <c r="D4270" i="106" s="1"/>
  <c r="N22" i="3"/>
  <c r="B283" i="106" s="1"/>
  <c r="D283" i="106" s="1"/>
  <c r="F19" i="7"/>
  <c r="B1807" i="106" s="1"/>
  <c r="D1807" i="106" s="1"/>
  <c r="D11" i="37"/>
  <c r="D31" i="36"/>
  <c r="H29" i="118"/>
  <c r="H33" i="118"/>
  <c r="B6995" i="106"/>
  <c r="D6995" i="106" s="1"/>
  <c r="B2724" i="106"/>
  <c r="D2724" i="106" s="1"/>
  <c r="D9" i="7"/>
  <c r="B1767" i="106" s="1"/>
  <c r="D1767" i="106" s="1"/>
  <c r="F68" i="34"/>
  <c r="F46" i="34"/>
  <c r="F36" i="34"/>
  <c r="I210" i="29"/>
  <c r="B7071" i="106" s="1"/>
  <c r="D7071" i="106" s="1"/>
  <c r="E29" i="108"/>
  <c r="F44" i="34"/>
  <c r="J210" i="29"/>
  <c r="B7072" i="106" s="1"/>
  <c r="D7072" i="106" s="1"/>
  <c r="G34" i="108"/>
  <c r="B7047" i="106"/>
  <c r="D7047" i="106" s="1"/>
  <c r="G33" i="108"/>
  <c r="C129" i="29"/>
  <c r="B1225" i="106" s="1"/>
  <c r="D1225" i="106" s="1"/>
  <c r="G26" i="108"/>
  <c r="B1274" i="106"/>
  <c r="D1274" i="106" s="1"/>
  <c r="K76" i="4"/>
  <c r="B3586" i="106" s="1"/>
  <c r="D3586" i="106" s="1"/>
  <c r="E30" i="108"/>
  <c r="G29" i="108"/>
  <c r="G39" i="108"/>
  <c r="G38" i="108"/>
  <c r="E38" i="108"/>
  <c r="G30" i="108"/>
  <c r="J41" i="3"/>
  <c r="B6216" i="106" s="1"/>
  <c r="D6216" i="106" s="1"/>
  <c r="J352" i="29"/>
  <c r="J367" i="29" s="1"/>
  <c r="B7245" i="106" s="1"/>
  <c r="D7245" i="106" s="1"/>
  <c r="B3647" i="106"/>
  <c r="D3647" i="106" s="1"/>
  <c r="D6103" i="106"/>
  <c r="D68" i="36"/>
  <c r="H28" i="118"/>
  <c r="G210" i="29"/>
  <c r="H342" i="29"/>
  <c r="B7221" i="106" s="1"/>
  <c r="D7221" i="106" s="1"/>
  <c r="J129" i="29"/>
  <c r="B7038" i="106" s="1"/>
  <c r="D7038" i="106" s="1"/>
  <c r="C352" i="29"/>
  <c r="C367" i="29" s="1"/>
  <c r="B3622" i="106" s="1"/>
  <c r="D3622" i="106" s="1"/>
  <c r="J77" i="4"/>
  <c r="B6262" i="106" s="1"/>
  <c r="D6262" i="106" s="1"/>
  <c r="K41" i="3"/>
  <c r="G15" i="145"/>
  <c r="L15" i="11"/>
  <c r="B3459" i="106" s="1"/>
  <c r="D3459" i="106" s="1"/>
  <c r="L342" i="29"/>
  <c r="C342" i="29"/>
  <c r="B7216" i="106" s="1"/>
  <c r="D7216" i="106" s="1"/>
  <c r="I129" i="29"/>
  <c r="B7037" i="106" s="1"/>
  <c r="D7037" i="106" s="1"/>
  <c r="K184" i="29"/>
  <c r="F13" i="4" s="1"/>
  <c r="B2596" i="106" s="1"/>
  <c r="D2596" i="106" s="1"/>
  <c r="L367" i="29"/>
  <c r="H365" i="29"/>
  <c r="B7242" i="106" s="1"/>
  <c r="D7242" i="106" s="1"/>
  <c r="B1308" i="106"/>
  <c r="D1308" i="106" s="1"/>
  <c r="E174" i="29"/>
  <c r="B1309" i="106" s="1"/>
  <c r="D1309" i="106" s="1"/>
  <c r="L13" i="11"/>
  <c r="B2060" i="106" s="1"/>
  <c r="D2060" i="106" s="1"/>
  <c r="L5" i="11"/>
  <c r="B2056" i="106" s="1"/>
  <c r="D2056" i="106" s="1"/>
  <c r="I24" i="12"/>
  <c r="F77" i="4"/>
  <c r="B3255" i="106" s="1"/>
  <c r="D3255" i="106" s="1"/>
  <c r="H76" i="4"/>
  <c r="B3298" i="106" s="1"/>
  <c r="D3298" i="106" s="1"/>
  <c r="B3254" i="106"/>
  <c r="D325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C151" i="29"/>
  <c r="B1226" i="106" s="1"/>
  <c r="D1226" i="106" s="1"/>
  <c r="I151" i="29"/>
  <c r="F59" i="34" s="1"/>
  <c r="J151" i="29"/>
  <c r="B7052" i="106" s="1"/>
  <c r="D7052" i="106" s="1"/>
  <c r="F66" i="34"/>
  <c r="D7251" i="106"/>
  <c r="D7250" i="106"/>
  <c r="N23" i="3"/>
  <c r="B284" i="106" s="1"/>
  <c r="D284" i="106" s="1"/>
  <c r="B1328" i="106"/>
  <c r="D1328" i="106" s="1"/>
  <c r="B1317" i="106"/>
  <c r="D1317" i="106" s="1"/>
  <c r="K28" i="118"/>
  <c r="O27" i="118" s="1"/>
  <c r="O29" i="118" s="1"/>
  <c r="K77" i="4"/>
  <c r="B3587" i="106" s="1"/>
  <c r="D3587" i="106" s="1"/>
  <c r="B1266" i="106"/>
  <c r="D1266" i="106" s="1"/>
  <c r="B7235" i="106"/>
  <c r="D7235" i="106" s="1"/>
  <c r="D51" i="36"/>
  <c r="H77" i="4"/>
  <c r="B3299" i="106" s="1"/>
  <c r="D3299" i="106" s="1"/>
  <c r="B3621" i="106"/>
  <c r="D3621" i="106" s="1"/>
  <c r="K365" i="29"/>
  <c r="B7243" i="106" s="1"/>
  <c r="D7243" i="106" s="1"/>
  <c r="J16" i="4"/>
  <c r="B6226" i="106" s="1"/>
  <c r="D6226" i="106" s="1"/>
  <c r="L114" i="29"/>
  <c r="B1381" i="106"/>
  <c r="D1381" i="106" s="1"/>
  <c r="B1365" i="106"/>
  <c r="D1365" i="106" s="1"/>
  <c r="F65" i="34"/>
  <c r="B5770" i="106"/>
  <c r="D5770" i="106" s="1"/>
  <c r="B3568" i="106"/>
  <c r="D3568" i="106" s="1"/>
  <c r="D52" i="36"/>
  <c r="D7253" i="106"/>
  <c r="D7252" i="106"/>
  <c r="D7254" i="106"/>
  <c r="D7255" i="106"/>
  <c r="F174" i="34"/>
  <c r="K342" i="29"/>
  <c r="F13" i="34" s="1"/>
  <c r="C114" i="29"/>
  <c r="B757" i="106" s="1"/>
  <c r="D757" i="106" s="1"/>
  <c r="D44" i="36"/>
  <c r="L16" i="11"/>
  <c r="B2061" i="106" s="1"/>
  <c r="D2061" i="106" s="1"/>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K16" i="4"/>
  <c r="K367" i="29"/>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J20" i="4"/>
  <c r="J78" i="4" s="1"/>
  <c r="K17" i="4"/>
  <c r="B3575" i="106" s="1"/>
  <c r="D3575" i="106" s="1"/>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6230" i="106"/>
  <c r="D6230"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175" i="34" l="1"/>
  <c r="F79" i="34"/>
  <c r="D10" i="146"/>
  <c r="F8" i="146"/>
  <c r="D78" i="4"/>
  <c r="D81" i="4" s="1"/>
  <c r="B3576" i="106"/>
  <c r="D3576"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<sst xmlns="http://schemas.openxmlformats.org/spreadsheetml/2006/main" count="5143" uniqueCount="2125">
  <si>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</si>
  <si>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</si>
  <si>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</si>
  <si>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</si>
  <si>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</si>
  <si>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</si>
  <si>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</si>
  <si>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</si>
  <si>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</si>
  <si>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</si>
  <si>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</si>
  <si>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</si>
  <si>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</si>
  <si>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</si>
  <si>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</si>
  <si>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</si>
  <si>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</si>
  <si>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</si>
  <si>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</si>
  <si>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</si>
  <si>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</si>
  <si>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</si>
  <si>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</si>
  <si>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</si>
  <si>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</si>
  <si>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</si>
  <si>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</si>
  <si>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</si>
  <si>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</si>
  <si>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</si>
  <si>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</si>
  <si>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</si>
  <si>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</si>
  <si>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</si>
  <si>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</si>
  <si>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</si>
  <si>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</si>
  <si>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</si>
  <si>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</si>
  <si>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</si>
  <si>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</si>
  <si>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</si>
  <si>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</si>
  <si>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</si>
  <si>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</si>
  <si>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</si>
  <si>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</si>
  <si>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</si>
  <si>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</si>
  <si>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</si>
  <si>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</si>
  <si>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</si>
  <si>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</si>
  <si>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</si>
  <si>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</si>
  <si>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</si>
  <si>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</si>
  <si>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</si>
  <si>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</si>
  <si>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</si>
  <si>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</si>
  <si>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</si>
  <si>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</si>
  <si>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</si>
  <si>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</si>
  <si>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</si>
  <si>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</si>
  <si>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</si>
  <si>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</si>
  <si>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</si>
  <si>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</si>
  <si>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</si>
  <si>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</si>
  <si>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</si>
  <si>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</si>
  <si>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</si>
  <si>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</si>
  <si>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</si>
  <si>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</si>
  <si>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</si>
  <si>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</si>
  <si>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</si>
  <si>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</si>
  <si>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</si>
  <si>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</si>
  <si>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</si>
  <si>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</si>
  <si>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</si>
  <si>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</si>
  <si>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</si>
  <si>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</si>
  <si>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</si>
  <si>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</si>
  <si>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</si>
  <si>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</si>
  <si>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</si>
  <si>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</si>
  <si>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</si>
  <si>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</si>
  <si>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</si>
  <si>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</si>
  <si>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</si>
  <si>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</si>
  <si>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</si>
  <si>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</si>
  <si>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</si>
  <si>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</si>
  <si>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</si>
  <si>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</si>
  <si>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</si>
  <si>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</si>
  <si>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</si>
  <si>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</si>
  <si>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</si>
  <si>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</si>
  <si>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</si>
  <si>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</si>
  <si>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</si>
  <si>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</si>
  <si>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</si>
  <si>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</si>
  <si>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</si>
  <si>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</si>
  <si>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</si>
  <si>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</si>
  <si>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</si>
  <si>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</si>
  <si>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</si>
  <si>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</si>
  <si>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</si>
  <si>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</si>
  <si>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</si>
  <si>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</si>
  <si>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</si>
  <si>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</si>
  <si>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</si>
  <si>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</si>
  <si>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</si>
  <si>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</si>
  <si>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</si>
  <si>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</si>
  <si>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</si>
  <si>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</si>
  <si>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</si>
  <si>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</si>
  <si>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</si>
  <si>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</si>
  <si>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</si>
  <si>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</si>
  <si>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</si>
  <si>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</si>
  <si>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</si>
  <si>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</si>
  <si>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</si>
  <si>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</si>
  <si>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</si>
  <si>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</si>
  <si>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</si>
  <si>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</si>
  <si>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</si>
  <si>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</si>
  <si>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</si>
  <si>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</si>
  <si>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</si>
  <si>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</si>
  <si>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</si>
  <si>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</si>
  <si>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</si>
  <si>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</si>
  <si>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</si>
  <si>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</si>
  <si>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</si>
  <si>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</si>
  <si>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</si>
  <si>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</si>
  <si>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</si>
  <si>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</si>
  <si>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</si>
  <si>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</si>
  <si>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</si>
  <si>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</si>
  <si>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</si>
  <si>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</si>
  <si>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</si>
  <si>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</si>
  <si>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</si>
  <si>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</si>
  <si>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</si>
  <si>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</si>
  <si>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</si>
  <si>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</si>
  <si>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</si>
  <si>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</si>
  <si>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</si>
  <si>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</si>
  <si>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</si>
  <si>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</si>
  <si>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</si>
  <si>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</si>
  <si>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</si>
  <si>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</si>
  <si>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</si>
  <si>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</si>
  <si>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</si>
  <si>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</si>
  <si>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</si>
  <si>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</si>
  <si>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</si>
  <si>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</si>
  <si>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</si>
  <si>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</si>
  <si>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</si>
  <si>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</si>
  <si>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</si>
  <si>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</si>
  <si>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</si>
  <si>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</si>
  <si>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</si>
  <si>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</si>
  <si>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</si>
  <si>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</si>
  <si>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</si>
  <si>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</si>
  <si>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</si>
  <si>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</si>
  <si>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</si>
  <si>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</si>
  <si>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</si>
  <si>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</si>
  <si>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</si>
  <si>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</si>
  <si>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</si>
  <si>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</si>
  <si>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</si>
  <si>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</si>
  <si>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</si>
  <si>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</si>
  <si>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</si>
  <si>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</si>
  <si>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</si>
  <si>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</si>
  <si>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</si>
  <si>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</si>
  <si>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</si>
  <si>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</si>
  <si>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</si>
  <si>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</si>
  <si>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</si>
  <si>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</si>
  <si>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</si>
  <si>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</si>
  <si>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</si>
  <si>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</si>
  <si>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</si>
  <si>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</si>
  <si>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</si>
  <si>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</si>
  <si>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</si>
  <si>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</si>
  <si>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</si>
  <si>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</si>
  <si>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</si>
  <si>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</si>
  <si>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</si>
  <si>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</si>
  <si>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</si>
  <si>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</si>
  <si>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</si>
  <si>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</si>
  <si>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</si>
  <si>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</si>
  <si>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</si>
  <si>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</si>
  <si>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</si>
  <si>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</si>
  <si>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</si>
  <si>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</si>
  <si>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</si>
  <si>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</si>
  <si>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</si>
  <si>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</si>
  <si>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</si>
  <si>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</si>
  <si>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</si>
  <si>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</si>
  <si>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</si>
  <si>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</si>
  <si>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</si>
  <si>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</si>
  <si>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</si>
  <si>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</si>
  <si>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</si>
  <si>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</si>
  <si>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</si>
  <si>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</si>
  <si>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</si>
  <si>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</si>
  <si>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</si>
  <si>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</si>
  <si>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</si>
  <si>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</si>
  <si>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</si>
  <si>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</si>
  <si>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</si>
  <si>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</si>
  <si>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</si>
  <si>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</si>
  <si>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</si>
  <si>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</si>
  <si>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</si>
  <si>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</si>
  <si>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</si>
  <si>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</si>
  <si>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</si>
  <si>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</si>
  <si>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</si>
  <si>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</si>
  <si>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</si>
  <si>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</si>
  <si>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</si>
  <si>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</si>
  <si>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</si>
  <si>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</si>
  <si>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</si>
  <si>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</si>
  <si>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</si>
  <si>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</si>
  <si>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</si>
  <si>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</si>
  <si>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</si>
  <si>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</si>
  <si>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</si>
  <si>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</si>
  <si>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</si>
  <si>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</si>
  <si>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</si>
  <si>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</si>
  <si>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</si>
  <si>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</si>
  <si>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</si>
  <si>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</si>
  <si>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</si>
  <si>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</si>
  <si>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</si>
  <si>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</si>
  <si>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</si>
  <si>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</si>
  <si>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</si>
  <si>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</si>
  <si>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</si>
  <si>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</si>
  <si>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</si>
  <si>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</si>
  <si>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</si>
  <si>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</si>
  <si>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</si>
  <si>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</si>
  <si>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</si>
  <si>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</si>
  <si>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</si>
  <si>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</si>
  <si>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</si>
  <si>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</si>
  <si>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</si>
  <si>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</si>
  <si>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</si>
  <si>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</si>
  <si>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</si>
  <si>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</si>
  <si>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</si>
  <si>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</si>
  <si>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</si>
  <si>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</si>
  <si>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</si>
  <si>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</si>
  <si>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</si>
  <si>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</si>
  <si>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</si>
  <si>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</si>
  <si>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</si>
  <si>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</si>
  <si>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</si>
  <si>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</si>
  <si>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</si>
  <si>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</si>
  <si>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</si>
  <si>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</si>
  <si>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</si>
  <si>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</si>
  <si>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</si>
  <si>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</si>
  <si>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</si>
  <si>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</si>
  <si>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</si>
  <si>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</si>
  <si>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</si>
  <si>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</si>
  <si>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</si>
  <si>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</si>
  <si>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</si>
  <si>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</si>
  <si>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</si>
  <si>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</si>
  <si>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</si>
  <si>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</si>
  <si>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</si>
  <si>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</si>
  <si>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</si>
  <si>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</si>
  <si>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</si>
  <si>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</si>
  <si>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</si>
  <si>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</si>
  <si>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</si>
  <si>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</si>
  <si>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</si>
  <si>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</si>
  <si>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</si>
  <si>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</si>
  <si>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</si>
  <si>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</si>
  <si>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</si>
  <si>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</si>
  <si>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</si>
  <si>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</si>
  <si>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</si>
  <si>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</si>
  <si>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</si>
  <si>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</si>
  <si>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</si>
  <si>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</si>
  <si>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</si>
  <si>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</si>
  <si>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</si>
  <si>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</si>
  <si>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</si>
  <si>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</si>
  <si>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</si>
  <si>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</si>
  <si>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</si>
  <si>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</si>
  <si>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</si>
  <si>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</si>
  <si>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</si>
  <si>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</si>
  <si>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</si>
  <si>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</si>
  <si>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</si>
  <si>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</si>
  <si>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</si>
  <si>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</si>
  <si>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</si>
  <si>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</si>
  <si>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</si>
  <si>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</si>
  <si>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</si>
  <si>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</si>
  <si>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</si>
  <si>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</si>
  <si>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</si>
  <si>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</si>
  <si>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</si>
  <si>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</si>
  <si>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</si>
  <si>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</si>
  <si>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</si>
  <si>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</si>
  <si>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</si>
  <si>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</si>
  <si>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</si>
  <si>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</si>
  <si>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</si>
  <si>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</si>
  <si>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</si>
  <si>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</si>
  <si>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</si>
  <si>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</si>
  <si>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</si>
  <si>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</si>
  <si>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</si>
  <si>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</si>
  <si>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</si>
  <si>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</si>
  <si>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</si>
  <si>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</si>
  <si>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</si>
  <si>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</si>
  <si>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</si>
  <si>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</si>
  <si>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</si>
  <si>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</si>
  <si>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</si>
  <si>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</si>
  <si>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</si>
  <si>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</si>
  <si>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</si>
  <si>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</si>
  <si>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</si>
  <si>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</si>
  <si>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</si>
  <si>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</si>
  <si>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</si>
  <si>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</si>
  <si>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</si>
  <si>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</si>
  <si>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</si>
  <si>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</si>
  <si>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</si>
  <si>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</si>
  <si>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</si>
  <si>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</si>
  <si>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</si>
  <si>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</si>
  <si>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</si>
  <si>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</si>
  <si>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</si>
  <si>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</si>
  <si>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</si>
  <si>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</si>
  <si>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</si>
  <si>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</si>
  <si>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</si>
  <si>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</si>
  <si>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</si>
  <si>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</si>
  <si>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</si>
  <si>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</si>
  <si>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</si>
  <si>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</si>
  <si>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</si>
  <si>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</si>
  <si>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</si>
  <si>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</si>
  <si>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</si>
  <si>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</si>
  <si>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</si>
  <si>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</si>
  <si>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</si>
  <si>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</si>
  <si>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</si>
  <si>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</si>
  <si>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</si>
  <si>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</si>
  <si>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</si>
  <si>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</si>
  <si>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</si>
  <si>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</si>
  <si>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</si>
  <si>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</si>
  <si>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</si>
  <si>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</si>
  <si>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</si>
  <si>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</si>
  <si>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</si>
  <si>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</si>
  <si>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</si>
  <si>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</si>
  <si>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</si>
  <si>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</si>
  <si>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</si>
  <si>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</si>
  <si>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</si>
  <si>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</si>
  <si>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</si>
  <si>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</si>
  <si>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</si>
  <si>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</si>
  <si>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</si>
  <si>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</si>
  <si>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</si>
  <si>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</si>
  <si>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</si>
  <si>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</si>
  <si>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</si>
  <si>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</si>
  <si>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</si>
  <si>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</si>
  <si>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</si>
  <si>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</si>
  <si>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</si>
  <si>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</si>
  <si>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</si>
  <si>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</si>
  <si>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</si>
  <si>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</si>
  <si>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</si>
  <si>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</si>
  <si>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</si>
  <si>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</si>
  <si>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</si>
  <si>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</si>
  <si>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</si>
  <si>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</si>
  <si>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</si>
  <si>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</si>
  <si>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</si>
  <si>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</si>
  <si>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</si>
  <si>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</si>
  <si>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</si>
  <si>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</si>
  <si>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</si>
  <si>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</si>
  <si>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</si>
  <si>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</si>
  <si>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</si>
  <si>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</si>
  <si>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</si>
  <si>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</si>
  <si>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</si>
  <si>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</si>
  <si>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</si>
  <si>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</si>
  <si>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</si>
  <si>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</si>
  <si>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</si>
  <si>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</si>
  <si>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</si>
  <si>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</si>
  <si>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</si>
  <si>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</si>
  <si>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</si>
  <si>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</si>
  <si>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</si>
  <si>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</si>
  <si>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</si>
  <si>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</si>
  <si>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</si>
  <si>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</si>
  <si>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</si>
  <si>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</si>
  <si>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</si>
  <si>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</si>
  <si>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</si>
  <si>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</si>
  <si>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</si>
  <si>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</si>
  <si>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</si>
  <si>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</si>
  <si>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</si>
  <si>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</si>
  <si>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</si>
  <si>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</si>
  <si>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</si>
  <si>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</si>
  <si>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</si>
  <si>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</si>
  <si>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</si>
  <si>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</si>
  <si>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</si>
  <si>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</si>
  <si>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</si>
  <si>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</si>
  <si>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</si>
  <si>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</si>
  <si>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</si>
  <si>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</si>
  <si>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</si>
  <si>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</si>
  <si>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</si>
  <si>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</si>
  <si>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</si>
  <si>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</si>
  <si>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</si>
  <si>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</si>
  <si>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</si>
  <si>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</si>
  <si>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</si>
  <si>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</si>
  <si>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</si>
  <si>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</si>
  <si>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</si>
  <si>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</si>
  <si>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</si>
  <si>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</si>
  <si>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</si>
  <si>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</si>
  <si>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</si>
  <si>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</si>
  <si>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</si>
  <si>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</si>
  <si>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</si>
  <si>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</si>
  <si>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</si>
  <si>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</si>
  <si>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</si>
  <si>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</si>
  <si>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</si>
  <si>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</si>
  <si>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</si>
  <si>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</si>
  <si>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</si>
  <si>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</si>
  <si>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</si>
  <si>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</si>
  <si>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</si>
  <si>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</si>
  <si>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</si>
  <si>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</si>
  <si>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</si>
  <si>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</si>
  <si>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</si>
  <si>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</si>
  <si>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</si>
  <si>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</si>
  <si>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</si>
  <si>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</si>
  <si>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</si>
  <si>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</si>
  <si>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</si>
  <si>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</si>
  <si>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</si>
  <si>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</si>
  <si>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</si>
  <si>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</si>
  <si>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</si>
  <si>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</si>
  <si>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</si>
  <si>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</si>
  <si>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</si>
  <si>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</si>
  <si>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</si>
  <si>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</si>
  <si>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</si>
  <si>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</si>
  <si>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</si>
  <si>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</si>
  <si>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</si>
  <si>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</si>
  <si>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</si>
  <si>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</si>
  <si>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</si>
  <si>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</si>
  <si>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</si>
  <si>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</si>
  <si>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</si>
  <si>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</si>
  <si>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</si>
  <si>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</si>
  <si>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</si>
  <si>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</si>
  <si>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</si>
  <si>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</si>
  <si>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</si>
  <si>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</si>
  <si>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</si>
  <si>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</si>
  <si>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</si>
  <si>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</si>
  <si>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</si>
  <si>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</si>
  <si>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</si>
  <si>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</si>
  <si>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</si>
  <si>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</si>
  <si>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</si>
  <si>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</si>
  <si>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</si>
  <si>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</si>
  <si>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</si>
  <si>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</si>
  <si>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</si>
  <si>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</si>
  <si>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</si>
  <si>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</si>
  <si>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</si>
  <si>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</si>
  <si>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</si>
  <si>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</si>
  <si>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</si>
  <si>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</si>
  <si>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</si>
  <si>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</si>
  <si>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</si>
  <si>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</si>
  <si>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</si>
  <si>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</si>
  <si>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</si>
  <si>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</si>
  <si>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</si>
  <si>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</si>
  <si>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</si>
  <si>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</si>
  <si>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</si>
  <si>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</si>
  <si>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</si>
  <si>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</si>
  <si>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</si>
  <si>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</si>
  <si>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</si>
  <si>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</si>
  <si>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</si>
  <si>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</si>
  <si>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</si>
  <si>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</si>
  <si>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</si>
  <si>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</si>
  <si>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</si>
  <si>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</si>
  <si>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</si>
  <si>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</si>
  <si>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</si>
  <si>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</si>
  <si>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</si>
  <si>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</si>
  <si>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</si>
  <si>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</si>
  <si>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</si>
  <si>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</si>
  <si>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</si>
  <si>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</si>
  <si>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</si>
  <si>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</si>
  <si>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</si>
  <si>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</si>
  <si>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</si>
  <si>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</si>
  <si>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</si>
  <si>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</si>
  <si>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</si>
  <si>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</si>
  <si>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</si>
  <si>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</si>
  <si>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</si>
  <si>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</si>
  <si>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</si>
  <si>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</si>
  <si>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</si>
  <si>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</si>
  <si>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</si>
  <si>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</si>
  <si>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</si>
  <si>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</si>
  <si>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</si>
  <si>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</si>
  <si>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</si>
  <si>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</si>
  <si>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</si>
  <si>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</si>
  <si>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</si>
  <si>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</si>
  <si>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</si>
  <si>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</si>
  <si>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</si>
  <si>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</si>
  <si>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</si>
  <si>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</si>
  <si>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</si>
  <si>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</si>
  <si>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</si>
  <si>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</si>
  <si>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</si>
  <si>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</si>
  <si>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</si>
  <si>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</si>
  <si>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</si>
  <si>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</si>
  <si>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</si>
  <si>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</si>
  <si>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</si>
  <si>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</si>
  <si>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</si>
  <si>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</si>
  <si>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</si>
  <si>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</si>
  <si>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</si>
  <si>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</si>
  <si>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</si>
  <si>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</si>
  <si>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</si>
  <si>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</si>
  <si>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</si>
  <si>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</si>
  <si>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</si>
  <si>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</si>
  <si>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</si>
  <si>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</si>
  <si>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</si>
  <si>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</si>
  <si>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</si>
  <si>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</si>
  <si>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</si>
  <si>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</si>
  <si>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</si>
  <si>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</si>
  <si>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</si>
  <si>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</si>
  <si>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</si>
  <si>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</si>
  <si>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</si>
  <si>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</si>
  <si>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</si>
  <si>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</si>
  <si>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</si>
  <si>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</si>
  <si>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</si>
  <si>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</si>
  <si>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</si>
  <si>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</si>
  <si>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</si>
  <si>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</si>
  <si>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</si>
  <si>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</si>
  <si>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</si>
  <si>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</si>
  <si>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</si>
  <si>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</si>
  <si>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</si>
  <si>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</si>
  <si>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</si>
  <si>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</si>
  <si>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</si>
  <si>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</si>
  <si>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</si>
  <si>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</si>
  <si>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</si>
  <si>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</si>
  <si>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</si>
  <si>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</si>
  <si>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</si>
  <si>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</si>
  <si>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</si>
  <si>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</si>
  <si>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</si>
  <si>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</si>
  <si>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</si>
  <si>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</si>
  <si>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</si>
  <si>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</si>
  <si>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</si>
  <si>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</si>
  <si>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</si>
  <si>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</si>
  <si>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</si>
  <si>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</si>
  <si>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</si>
  <si>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</si>
  <si>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</si>
  <si>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</si>
  <si>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</si>
  <si>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</si>
  <si>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</si>
  <si>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</si>
  <si>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</si>
  <si>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</si>
  <si>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</si>
  <si>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</si>
  <si>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</si>
  <si>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</si>
  <si>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</si>
  <si>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</si>
  <si>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</si>
  <si>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</si>
  <si>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</si>
  <si>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</si>
  <si>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</si>
  <si>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</si>
  <si>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</si>
  <si>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</si>
  <si>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</si>
  <si>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</si>
  <si>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</si>
  <si>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</si>
  <si>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</si>
  <si>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</si>
  <si>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</si>
  <si>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</si>
  <si>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</si>
  <si>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</si>
  <si>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</si>
  <si>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</si>
  <si>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</si>
  <si>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</si>
  <si>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</si>
  <si>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</si>
  <si>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</si>
  <si>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</si>
  <si>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</si>
  <si>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</si>
  <si>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</si>
  <si>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</si>
  <si>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</si>
  <si>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</si>
  <si>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</si>
  <si>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</si>
  <si>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</si>
  <si>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</si>
  <si>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</si>
  <si>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</si>
  <si>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</si>
  <si>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</si>
  <si>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</si>
  <si>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</si>
  <si>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</si>
  <si>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</si>
  <si>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</si>
  <si>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</si>
  <si>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</si>
  <si>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</si>
  <si>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</si>
  <si>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</si>
  <si>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</si>
  <si>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</si>
  <si>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</si>
  <si>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</si>
  <si>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</si>
  <si>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</si>
  <si>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</si>
  <si>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</si>
  <si>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</si>
  <si>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</si>
  <si>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</si>
  <si>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</si>
  <si>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</si>
  <si>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</si>
  <si>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</si>
  <si>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</si>
  <si>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</si>
  <si>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</si>
  <si>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</si>
  <si>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</si>
  <si>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</si>
  <si>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</si>
  <si>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</si>
  <si>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</si>
  <si>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</si>
  <si>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</si>
  <si>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</si>
  <si>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</si>
  <si>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</si>
  <si>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</si>
  <si>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</si>
  <si>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</si>
  <si>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</si>
  <si>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</si>
  <si>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</si>
  <si>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</si>
  <si>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</si>
  <si>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</si>
  <si>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</si>
  <si>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</si>
  <si>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</si>
  <si>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</si>
  <si>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</si>
  <si>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</si>
  <si>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</si>
  <si>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</si>
  <si>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</si>
  <si>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</si>
  <si>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</si>
  <si>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</si>
  <si>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</si>
  <si>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</si>
  <si>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</si>
  <si>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</si>
  <si>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</si>
  <si>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</si>
  <si>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</si>
  <si>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</si>
  <si>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</si>
  <si>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</si>
  <si>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</si>
  <si>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</si>
  <si>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</si>
  <si>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</si>
  <si>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</si>
  <si>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</si>
  <si>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</si>
  <si>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</si>
  <si>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</si>
  <si>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</si>
  <si>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</si>
  <si>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</si>
  <si>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</si>
  <si>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</si>
  <si>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</si>
  <si>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</si>
  <si>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</si>
  <si>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</si>
  <si>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</si>
  <si>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</si>
  <si>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</si>
  <si>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</si>
  <si>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</si>
  <si>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</si>
  <si>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</si>
  <si>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</si>
  <si>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</si>
  <si>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</si>
  <si>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</si>
  <si>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</si>
  <si>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</si>
  <si>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</si>
  <si>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</si>
  <si>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</si>
  <si>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</si>
  <si>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</si>
  <si>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</si>
  <si>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</si>
  <si>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</si>
  <si>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</si>
  <si>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</si>
  <si>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</si>
  <si>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</si>
  <si>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</si>
  <si>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</si>
  <si>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</si>
  <si>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</si>
  <si>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</si>
  <si>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</si>
  <si>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</si>
  <si>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</si>
  <si>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</si>
  <si>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</si>
  <si>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</si>
  <si>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</si>
  <si>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</si>
  <si>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</si>
  <si>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</si>
  <si>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</si>
  <si>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</si>
  <si>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</si>
  <si>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</si>
  <si>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</si>
  <si>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</si>
  <si>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</si>
  <si>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</si>
  <si>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</si>
  <si>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</si>
  <si>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</si>
  <si>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</si>
  <si>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</si>
  <si>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</si>
  <si>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</si>
  <si>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</si>
  <si>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</si>
  <si>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</si>
  <si>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</si>
  <si>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</si>
  <si>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</si>
  <si>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</si>
  <si>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</si>
  <si>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</si>
  <si>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</si>
  <si>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</si>
  <si>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</si>
  <si>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</si>
  <si>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</si>
  <si>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</si>
  <si>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</si>
  <si>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</si>
  <si>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</si>
  <si>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</si>
  <si>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</si>
  <si>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</si>
  <si>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</si>
  <si>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</si>
  <si>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</si>
  <si>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</si>
  <si>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</si>
  <si>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</si>
  <si>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</si>
  <si>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</si>
  <si>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</si>
  <si>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</si>
  <si>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</si>
  <si>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</si>
  <si>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</si>
  <si>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</si>
  <si>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</si>
  <si>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</si>
  <si>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</si>
  <si>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</si>
  <si>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</si>
  <si>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</si>
  <si>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</si>
  <si>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</si>
  <si>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</si>
  <si>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</si>
  <si>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</si>
  <si>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</si>
  <si>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</si>
  <si>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</si>
  <si>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</si>
  <si>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</si>
  <si>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</si>
  <si>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</si>
  <si>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</si>
  <si>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</si>
  <si>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</si>
  <si>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</si>
  <si>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</si>
  <si>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</si>
  <si>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</si>
  <si>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</si>
  <si>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</si>
  <si>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</si>
  <si>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</si>
  <si>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</si>
  <si>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</si>
  <si>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</si>
  <si>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</si>
  <si>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</si>
  <si>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</si>
  <si>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</si>
  <si>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</si>
  <si>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</si>
  <si>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</si>
  <si>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</si>
  <si>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</si>
  <si>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</si>
  <si>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</si>
  <si>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</si>
  <si>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</si>
  <si>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</si>
  <si>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</si>
  <si>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</si>
  <si>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</si>
  <si>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</si>
  <si>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</si>
  <si>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</si>
  <si>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</si>
  <si>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</si>
  <si>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</si>
  <si>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</si>
  <si>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</si>
  <si>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</si>
  <si>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</si>
  <si>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</si>
  <si>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</si>
  <si>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</si>
  <si>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</si>
  <si>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</si>
  <si>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</si>
  <si>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</si>
  <si>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</si>
  <si>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</si>
  <si>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</si>
  <si>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</si>
  <si>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</si>
  <si>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</si>
  <si>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</si>
  <si>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</si>
  <si>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</si>
  <si>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</si>
  <si>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</si>
  <si>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</si>
  <si>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</si>
  <si>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</si>
  <si>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</si>
  <si>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</si>
  <si>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</si>
  <si>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</si>
  <si>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</si>
  <si>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</si>
  <si>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</si>
  <si>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</si>
  <si>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</si>
  <si>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</si>
  <si>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</si>
  <si>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</si>
  <si>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</si>
  <si>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</si>
  <si>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</si>
  <si>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</si>
  <si>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</si>
  <si>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</si>
  <si>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</si>
  <si>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</si>
  <si>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</si>
  <si>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</si>
  <si>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</si>
  <si>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</si>
  <si>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</si>
  <si>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</si>
  <si>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</si>
  <si>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</si>
  <si>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</si>
  <si>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</si>
  <si>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</si>
  <si>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</si>
  <si>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</si>
  <si>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</si>
  <si>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</si>
  <si>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</si>
  <si>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</si>
  <si>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</si>
  <si>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</si>
  <si>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</si>
  <si>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</si>
  <si>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</si>
  <si>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</si>
  <si>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</si>
  <si>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</si>
  <si>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</si>
  <si>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</si>
  <si>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</si>
  <si>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</si>
  <si>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</si>
  <si>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</si>
  <si>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</si>
  <si>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</si>
  <si>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</si>
  <si>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</si>
  <si>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</si>
  <si>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</si>
  <si>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</si>
  <si>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</si>
  <si>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</si>
  <si>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</si>
  <si>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</si>
  <si>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</si>
  <si>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</si>
  <si>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</si>
  <si>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</si>
  <si>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</si>
  <si>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</si>
  <si>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</si>
  <si>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</si>
  <si>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</si>
  <si>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</si>
  <si>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</si>
  <si>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</si>
  <si>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</si>
  <si>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</si>
  <si>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</si>
  <si>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</si>
  <si>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</si>
  <si>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</si>
  <si>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</si>
  <si>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</si>
  <si>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</si>
  <si>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</si>
  <si>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</si>
  <si>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</si>
  <si>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</si>
  <si>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</si>
  <si>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</si>
  <si>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</si>
  <si>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</si>
  <si>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</si>
  <si>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</si>
  <si>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</si>
  <si>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</si>
  <si>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</si>
  <si>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</si>
  <si>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</si>
  <si>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</si>
  <si>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</si>
  <si>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</si>
  <si>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</si>
  <si>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</si>
  <si>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</si>
  <si>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</si>
  <si>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</si>
  <si>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</si>
  <si>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</si>
  <si>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</si>
  <si>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</si>
  <si>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</si>
  <si>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</si>
  <si>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</si>
  <si>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</si>
  <si>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</si>
  <si>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</si>
  <si>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</si>
  <si>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</si>
  <si>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</si>
  <si>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</si>
  <si>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</si>
  <si>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</si>
  <si>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</si>
  <si>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</si>
  <si>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</si>
  <si>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</si>
  <si>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</si>
  <si>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</si>
  <si>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</si>
  <si>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</si>
  <si>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</si>
  <si>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</si>
  <si>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</si>
  <si>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</si>
  <si>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</si>
  <si>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</si>
  <si>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</si>
  <si>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</si>
  <si>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</si>
  <si>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</si>
  <si>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</si>
  <si>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</si>
  <si>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</si>
  <si>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</si>
  <si>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</si>
  <si>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</si>
  <si>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</si>
  <si>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</si>
  <si>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</si>
  <si>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</si>
  <si>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</si>
  <si>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</si>
  <si>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</si>
  <si>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</si>
  <si>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</si>
  <si>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</si>
  <si>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</si>
  <si>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</si>
  <si>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</si>
  <si>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</si>
  <si>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</si>
  <si>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</si>
  <si>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</si>
  <si>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</si>
  <si>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</si>
  <si>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</si>
  <si>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</si>
  <si>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</si>
  <si>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</si>
  <si>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</si>
  <si>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</si>
  <si>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</si>
  <si>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</si>
  <si>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</si>
  <si>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</si>
  <si>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</si>
  <si>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</si>
  <si>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</si>
  <si>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</si>
  <si>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</si>
  <si>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</si>
  <si>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</si>
  <si>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</si>
  <si>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</si>
  <si>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</si>
  <si>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</si>
  <si>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</si>
  <si>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</si>
  <si>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</si>
  <si>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</si>
  <si>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</si>
  <si>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</si>
  <si>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</si>
  <si>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</si>
  <si>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</si>
  <si>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</si>
  <si>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</si>
  <si>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</si>
  <si>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</si>
  <si>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</si>
  <si>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</si>
  <si>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</si>
  <si>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</si>
  <si>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</si>
  <si>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</si>
  <si>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</si>
  <si>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</si>
  <si>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</si>
  <si>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</si>
  <si>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</si>
  <si>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</si>
  <si>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</si>
  <si>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</si>
  <si>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</si>
  <si>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</si>
  <si>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</si>
  <si>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</si>
  <si>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</si>
  <si>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</si>
  <si>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</si>
  <si>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</si>
  <si>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</si>
  <si>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</si>
  <si>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</si>
  <si>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</si>
  <si>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</si>
  <si>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</si>
  <si>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</si>
  <si>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</si>
  <si>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</si>
  <si>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</si>
  <si>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</si>
  <si>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</si>
  <si>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</si>
  <si>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</si>
  <si>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</si>
  <si>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</si>
  <si>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</si>
  <si>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</si>
  <si>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</si>
  <si>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</si>
  <si>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</si>
  <si>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</si>
  <si>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</si>
  <si>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</si>
  <si>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</si>
  <si>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</si>
  <si>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</si>
  <si>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</si>
  <si>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</si>
  <si>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</si>
  <si>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</si>
  <si>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</si>
  <si>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</si>
  <si>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</si>
  <si>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</si>
  <si>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</si>
  <si>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</si>
  <si>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</si>
  <si>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</si>
  <si>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</si>
  <si>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</si>
  <si>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</si>
  <si>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</si>
  <si>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</si>
  <si>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</si>
  <si>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</si>
  <si>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</si>
  <si>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</si>
  <si>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</si>
  <si>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</si>
  <si>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</si>
  <si>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</si>
  <si>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</si>
  <si>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</si>
  <si>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</si>
  <si>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</si>
  <si>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</si>
  <si>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</si>
  <si>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</si>
  <si>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</si>
  <si>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</si>
  <si>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</si>
  <si>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</si>
  <si>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</si>
  <si>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</si>
  <si>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</si>
  <si>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</si>
  <si>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</si>
  <si>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</si>
  <si>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</si>
  <si>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</si>
  <si>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</si>
  <si>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</si>
  <si>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</si>
  <si>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</si>
  <si>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</si>
  <si>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</si>
  <si>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</si>
  <si>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</si>
  <si>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</si>
  <si>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</si>
  <si>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</si>
  <si>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</si>
  <si>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</si>
  <si>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</si>
  <si>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</si>
  <si>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</si>
  <si>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</si>
  <si>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</si>
  <si>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</si>
  <si>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</si>
  <si>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</si>
  <si>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</si>
  <si>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</si>
  <si>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</si>
  <si>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</si>
  <si>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</si>
  <si>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</si>
  <si>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</si>
  <si>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</si>
  <si>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</si>
  <si>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</si>
  <si>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</si>
  <si>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</si>
  <si>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</si>
  <si>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</si>
  <si>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</si>
  <si>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</si>
  <si>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</si>
  <si>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</si>
  <si>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</si>
  <si>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</si>
  <si>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</si>
  <si>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</si>
  <si>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</si>
  <si>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</si>
  <si>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</si>
  <si>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</si>
  <si>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</si>
  <si>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</si>
  <si>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</si>
  <si>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</si>
  <si>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</si>
  <si>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</si>
  <si>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</si>
  <si>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</si>
  <si>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</si>
  <si>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</si>
  <si>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</si>
  <si>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</si>
  <si>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</si>
  <si>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</si>
  <si>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</si>
  <si>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</si>
  <si>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</si>
  <si>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</si>
  <si>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</si>
  <si>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</si>
  <si>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</si>
  <si>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</si>
  <si>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</si>
  <si>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</si>
  <si>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</si>
  <si>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</si>
  <si>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</si>
  <si>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</si>
  <si>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</si>
  <si>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</si>
  <si>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</si>
  <si>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</si>
  <si>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</si>
  <si>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</si>
  <si>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</si>
  <si>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</si>
  <si>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</si>
  <si>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</si>
  <si>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</si>
  <si>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</si>
  <si>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</si>
  <si>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</si>
  <si>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</si>
  <si>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</si>
  <si>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</si>
  <si>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</si>
  <si>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</si>
  <si>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</si>
  <si>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</si>
  <si>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</si>
  <si>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</si>
  <si>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</si>
  <si>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</si>
  <si>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</si>
  <si>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</si>
  <si>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</si>
  <si>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</si>
  <si>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</si>
  <si>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</si>
  <si>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</si>
  <si>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</si>
  <si>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</si>
  <si>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</si>
  <si>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</si>
  <si>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</si>
  <si>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</si>
  <si>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</si>
  <si>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</si>
  <si>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</si>
  <si>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</si>
  <si>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</si>
  <si>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</si>
  <si>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</si>
  <si>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</si>
  <si>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</si>
  <si>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</si>
  <si>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</si>
  <si>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</si>
  <si>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</si>
  <si>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</si>
  <si>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</si>
  <si>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</si>
  <si>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</si>
  <si>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</si>
  <si>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</si>
  <si>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</si>
  <si>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</si>
  <si>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</si>
  <si>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</si>
  <si>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</si>
  <si>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</si>
  <si>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</si>
  <si>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</si>
  <si>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</si>
  <si>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</si>
  <si>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</si>
  <si>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</si>
  <si>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</si>
  <si>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</si>
  <si>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</si>
  <si>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</si>
  <si>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</si>
  <si>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</si>
  <si>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</si>
  <si>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</si>
  <si>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</si>
  <si>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</si>
  <si>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</si>
  <si>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</si>
  <si>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</si>
  <si>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</si>
  <si>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</si>
  <si>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</si>
  <si>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</si>
  <si>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</si>
  <si>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</si>
  <si>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</si>
  <si>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</si>
  <si>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</si>
  <si>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</si>
  <si>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</si>
  <si>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</si>
  <si>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</si>
  <si>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</si>
  <si>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</si>
  <si>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</si>
  <si>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</si>
  <si>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</si>
  <si>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</si>
  <si>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</si>
  <si>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</si>
  <si>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</si>
  <si>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</si>
  <si>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</si>
  <si>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</si>
  <si>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</si>
  <si>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</si>
  <si>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</si>
  <si>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</si>
  <si>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</si>
  <si>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</si>
  <si>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</si>
  <si>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</si>
  <si>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</si>
  <si>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</si>
  <si>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</si>
  <si>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</si>
  <si>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</si>
  <si>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</si>
  <si>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</si>
  <si>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</si>
  <si>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</si>
  <si>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</si>
  <si>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</si>
  <si>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</si>
  <si>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</si>
  <si>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</si>
  <si>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</si>
  <si>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</si>
  <si>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</si>
  <si>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</si>
  <si>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</si>
  <si>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</si>
  <si>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</si>
  <si>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</si>
  <si>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</si>
  <si>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</si>
  <si>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</si>
  <si>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</si>
  <si>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</si>
  <si>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</si>
  <si>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</si>
  <si>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</si>
  <si>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</si>
  <si>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</si>
  <si>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</si>
  <si>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</si>
  <si>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</si>
  <si>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</si>
  <si>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</si>
  <si>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</si>
  <si>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</si>
  <si>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</si>
  <si>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</si>
  <si>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</si>
  <si>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</si>
  <si>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</si>
  <si>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</si>
  <si>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</si>
  <si>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</si>
  <si>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</si>
  <si>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</si>
  <si>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</si>
  <si>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</si>
  <si>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</si>
  <si>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</si>
  <si>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</si>
  <si>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</si>
  <si>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</si>
  <si>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</si>
  <si>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</si>
  <si>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</si>
  <si>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</si>
  <si>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</si>
  <si>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</si>
  <si>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</si>
  <si>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</si>
  <si>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</si>
  <si>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</si>
  <si>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</si>
  <si>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</si>
  <si>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</si>
  <si>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</si>
  <si>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</si>
  <si>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</si>
  <si>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</si>
  <si>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</si>
  <si>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</si>
  <si>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</si>
  <si>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</si>
  <si>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</si>
  <si>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</si>
  <si>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</si>
  <si>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</si>
  <si>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</si>
  <si>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</si>
  <si>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</si>
  <si>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</si>
  <si>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</si>
  <si>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</si>
  <si>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</si>
  <si>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</si>
  <si>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</si>
  <si>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</si>
  <si>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</si>
  <si>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</si>
  <si>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</si>
  <si>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</si>
  <si>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</si>
  <si>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</si>
  <si>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</si>
  <si>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</si>
  <si>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</si>
  <si>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</si>
  <si>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</si>
  <si>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</si>
  <si>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</si>
  <si>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</si>
  <si>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</si>
  <si>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</si>
  <si>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</si>
  <si>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</si>
  <si>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</si>
  <si>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</si>
  <si>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</si>
  <si>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</si>
  <si>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</si>
  <si>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</si>
  <si>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</si>
  <si>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</si>
  <si>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</si>
  <si>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</si>
  <si>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</si>
  <si>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</si>
  <si>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</si>
  <si>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</si>
  <si>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</si>
  <si>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</si>
  <si>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</si>
  <si>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</si>
  <si>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</si>
  <si>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</si>
  <si>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</si>
  <si>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</si>
  <si>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</si>
  <si>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</si>
  <si>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</si>
  <si>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</si>
  <si>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</si>
  <si>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</si>
  <si>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</si>
  <si>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</si>
  <si>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</si>
  <si>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</si>
  <si>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</si>
  <si>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</si>
  <si>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</si>
  <si>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</si>
  <si>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</si>
  <si>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</si>
  <si>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</si>
  <si>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</si>
  <si>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</si>
  <si>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</si>
  <si>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</si>
  <si>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</si>
  <si>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</si>
  <si>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</si>
  <si>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</si>
  <si>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</si>
  <si>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</si>
  <si>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</si>
  <si>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</si>
  <si>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</si>
  <si>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</si>
  <si>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</si>
  <si>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</si>
  <si>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</si>
  <si>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</si>
  <si>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</si>
  <si>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</si>
  <si>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</si>
  <si>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</si>
  <si>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</si>
  <si>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</si>
  <si>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</si>
  <si>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</si>
  <si>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</si>
  <si>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</si>
  <si>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</si>
  <si>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</si>
  <si>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</si>
  <si>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</si>
  <si>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</si>
  <si>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</si>
  <si>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</si>
  <si>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</si>
  <si>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</si>
  <si>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</si>
  <si>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</si>
  <si>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</si>
  <si>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</si>
  <si>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</si>
  <si>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</si>
  <si>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</si>
  <si>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</si>
  <si>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</si>
  <si>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</si>
  <si>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</si>
  <si>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</si>
  <si>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</si>
  <si>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</si>
  <si>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</si>
  <si>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</si>
  <si>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</si>
  <si>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</si>
  <si>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</si>
  <si>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</si>
  <si>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</si>
  <si>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</si>
  <si>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</si>
  <si>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</si>
  <si>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</si>
  <si>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</si>
  <si>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</si>
  <si>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</si>
  <si>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</si>
  <si>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</si>
  <si>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</si>
  <si>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</si>
  <si>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</si>
  <si>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</si>
  <si>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</si>
  <si>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</si>
  <si>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</si>
  <si>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</si>
  <si>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</si>
  <si>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</si>
  <si>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</si>
  <si>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</si>
  <si>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</si>
  <si>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</si>
  <si>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</si>
  <si>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</si>
  <si>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</si>
  <si>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</si>
  <si>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</si>
  <si>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</si>
  <si>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</si>
  <si>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</si>
  <si>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</si>
  <si>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</si>
  <si>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</si>
  <si>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</si>
  <si>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</si>
  <si>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</si>
  <si>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</si>
  <si>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</si>
  <si>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</si>
  <si>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</si>
  <si>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</si>
  <si>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</si>
  <si>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</si>
  <si>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</si>
  <si>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</si>
  <si>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</si>
  <si>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</si>
  <si>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</si>
  <si>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</si>
  <si>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</si>
  <si>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</si>
  <si>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</si>
  <si>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</si>
  <si>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</si>
  <si>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</si>
  <si>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</si>
  <si>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</si>
  <si>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</si>
  <si>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</si>
  <si>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</si>
  <si>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</si>
  <si>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</si>
  <si>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</si>
  <si>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</si>
  <si>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</si>
  <si>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</si>
  <si>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</si>
  <si>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</si>
  <si>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</si>
  <si>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</si>
  <si>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</si>
  <si>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</si>
  <si>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</si>
  <si>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</si>
  <si>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</si>
  <si>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</si>
  <si>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</si>
  <si>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</si>
  <si>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</si>
  <si>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</si>
  <si>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</si>
  <si>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</si>
  <si>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</si>
  <si>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</si>
  <si>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</si>
  <si>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</si>
  <si>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</si>
  <si>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</si>
  <si>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</si>
  <si>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</si>
  <si>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</si>
  <si>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</si>
  <si>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</si>
  <si>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</si>
  <si>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</si>
  <si>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</si>
  <si>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</si>
  <si>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</si>
  <si>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</si>
  <si>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</si>
  <si>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</si>
  <si>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</si>
  <si>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</si>
  <si>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</si>
  <si>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</si>
  <si>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</si>
  <si>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</si>
  <si>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</si>
  <si>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</si>
  <si>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</si>
  <si>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</si>
  <si>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</si>
  <si>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</si>
  <si>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</si>
  <si>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</si>
  <si>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</si>
  <si>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</si>
  <si>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</si>
  <si>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</si>
  <si>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</si>
  <si>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</si>
  <si>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</si>
  <si>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</si>
  <si>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</si>
  <si>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</si>
  <si>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</si>
  <si>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</si>
  <si>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HANCOCK</t>
  </si>
  <si>
    <t>600 MILLER STREET</t>
  </si>
  <si>
    <t>CARTHAGE</t>
  </si>
  <si>
    <t>SCHILSON.KIM@ILLINIWEST.ORG</t>
  </si>
  <si>
    <t>KIM SCHILSON</t>
  </si>
  <si>
    <t>217-357-9607</t>
  </si>
  <si>
    <t>217-357-9609</t>
  </si>
  <si>
    <t>GRAY HUNTER STENN LLP</t>
  </si>
  <si>
    <t>JEFFREY A. MCPHERSON</t>
  </si>
  <si>
    <t>500 MAINE STREET, PO BOX 32</t>
  </si>
  <si>
    <t>QUINCY</t>
  </si>
  <si>
    <t>IL</t>
  </si>
  <si>
    <t>62306-0032</t>
  </si>
  <si>
    <t>217-222-0304</t>
  </si>
  <si>
    <t>217-222-1691</t>
  </si>
  <si>
    <t>066-003689</t>
  </si>
  <si>
    <t>JAM@GRAY-HUNTER-STENN.COM</t>
  </si>
  <si>
    <t xml:space="preserve"> O &amp; M-Other Support Services-Purchased Services</t>
  </si>
  <si>
    <t>20-2900-300</t>
  </si>
  <si>
    <t>JMO Mobile Modular LLC</t>
  </si>
  <si>
    <t>Trans-Pupil Transportation Services-Purchased Services</t>
  </si>
  <si>
    <t>40-2550-300</t>
  </si>
  <si>
    <t>Carthage ESD No. 317</t>
  </si>
  <si>
    <t xml:space="preserve">X </t>
  </si>
  <si>
    <t>Western Area Schools Health Insurance</t>
  </si>
  <si>
    <t>Regional Office of Education</t>
  </si>
  <si>
    <t>West Central Illinois Special Education Cooperative</t>
  </si>
  <si>
    <t>See Below</t>
  </si>
  <si>
    <t>Western Area Career System</t>
  </si>
  <si>
    <t>Line 30 - Transportation - Special Education transportation shared with Hamilton CCSD No, 328, Carthage ESD No. 317, Dallas City ESD No. 327, LaHarpe ESD No. 347 and Warsaw CUSD No. 316.</t>
  </si>
  <si>
    <t>Western Area Purchasing Coop</t>
  </si>
  <si>
    <t>Midwest Transit Equipment</t>
  </si>
  <si>
    <t>TSA Consulting Group</t>
  </si>
  <si>
    <t>ED-Board of Education Services-Purchased Services</t>
  </si>
  <si>
    <t>Page 10, Line 91 - Sales - Other:</t>
  </si>
  <si>
    <t>Column C - Educational</t>
  </si>
  <si>
    <t>Fines</t>
  </si>
  <si>
    <t>Page 10, Line 107 - Other Local Revenue:</t>
  </si>
  <si>
    <t>Column D - Operations &amp; Maintenance</t>
  </si>
  <si>
    <t>Miscellaneous Revenues</t>
  </si>
  <si>
    <t>Student Assessments</t>
  </si>
  <si>
    <t>Page 16, Line 73 - Other Support Services:</t>
  </si>
  <si>
    <t>Column E - Purchased Services</t>
  </si>
  <si>
    <t>Digital Copier Systems, LLC - Copier Lease</t>
  </si>
  <si>
    <t>Carthage Family Fitness - Building Lease</t>
  </si>
  <si>
    <t>The Legacy Theater - Theater Rental</t>
  </si>
  <si>
    <t>Page 16, Line 83 - Other Payments to In-State Govt. Units:</t>
  </si>
  <si>
    <t xml:space="preserve">Carthage Elementary School District No. 317 - Food Contract </t>
  </si>
  <si>
    <t>Page 17, Line 128 - Other Support Services:</t>
  </si>
  <si>
    <t>JMO Mobile Modular LLC - Modular Classroom Rent</t>
  </si>
  <si>
    <t>Column H - Other Objects</t>
  </si>
  <si>
    <t>Hancock County Collector - Real Estate Taxes</t>
  </si>
  <si>
    <t>Page 17, Line 136 - Other Payments to In-State Govt. Units:</t>
  </si>
  <si>
    <t>Carthage Elementary School District No. 317 - Building Lease</t>
  </si>
  <si>
    <t>ED-Other Support Services-Purchased Services</t>
  </si>
  <si>
    <t>10-2900-300</t>
  </si>
  <si>
    <t>Digital Copy Systems, LLC</t>
  </si>
  <si>
    <t>Page 12, Line 168 - Other Restricted Revenue From State Sources</t>
  </si>
  <si>
    <t>10-2300-300</t>
  </si>
  <si>
    <t>Illini West H S Dist 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</si>
</sst>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cellStyleXfs>
  <cellXfs count="249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0" borderId="127" xfId="0" applyNumberFormat="1" applyFont="1" applyBorder="1" applyAlignment="1" applyProtection="1">
      <alignment horizontal="right"/>
      <protection locked="0"/>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3"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0" borderId="127"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0" fontId="4" fillId="0" borderId="157" xfId="17" applyFont="1" applyBorder="1" applyAlignment="1" applyProtection="1">
      <alignment horizontal="left" vertical="top" wrapText="1"/>
      <protection locked="0"/>
    </xf>
    <xf numFmtId="49" fontId="4" fillId="0" borderId="157" xfId="17" applyNumberFormat="1" applyFont="1" applyBorder="1" applyAlignment="1" applyProtection="1">
      <alignment horizontal="center" vertical="top"/>
      <protection locked="0"/>
    </xf>
    <xf numFmtId="0" fontId="4" fillId="0" borderId="157" xfId="17" applyFont="1" applyBorder="1" applyAlignment="1" applyProtection="1">
      <alignment vertical="top"/>
      <protection locked="0"/>
    </xf>
    <xf numFmtId="0" fontId="3" fillId="0" borderId="157" xfId="17" applyFont="1" applyBorder="1" applyAlignment="1" applyProtection="1">
      <alignment vertical="top"/>
      <protection locked="0"/>
    </xf>
    <xf numFmtId="0" fontId="3" fillId="0" borderId="157" xfId="17" applyFont="1" applyBorder="1" applyAlignment="1" applyProtection="1">
      <alignment horizontal="left" vertical="top" wrapText="1"/>
      <protection locked="0"/>
    </xf>
    <xf numFmtId="164" fontId="77" fillId="0" borderId="0" xfId="0" applyNumberFormat="1" applyFont="1"/>
    <xf numFmtId="41" fontId="140" fillId="0" borderId="0" xfId="0" applyNumberFormat="1" applyFont="1"/>
    <xf numFmtId="41" fontId="59" fillId="0" borderId="0" xfId="0" applyNumberFormat="1" applyFont="1"/>
    <xf numFmtId="41" fontId="141" fillId="0" borderId="0" xfId="0" applyNumberFormat="1" applyFont="1"/>
    <xf numFmtId="0" fontId="77" fillId="0" borderId="0" xfId="0" applyFont="1"/>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2</xdr:row>
          <xdr:rowOff>14720</xdr:rowOff>
        </xdr:from>
        <xdr:to>
          <xdr:col>1</xdr:col>
          <xdr:colOff>873702</xdr:colOff>
          <xdr:row>6</xdr:row>
          <xdr:rowOff>63211</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949902</xdr:colOff>
          <xdr:row>2</xdr:row>
          <xdr:rowOff>14720</xdr:rowOff>
        </xdr:from>
        <xdr:to>
          <xdr:col>1</xdr:col>
          <xdr:colOff>1864302</xdr:colOff>
          <xdr:row>6</xdr:row>
          <xdr:rowOff>63211</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2026227</xdr:colOff>
          <xdr:row>2</xdr:row>
          <xdr:rowOff>24245</xdr:rowOff>
        </xdr:from>
        <xdr:to>
          <xdr:col>1</xdr:col>
          <xdr:colOff>2940627</xdr:colOff>
          <xdr:row>6</xdr:row>
          <xdr:rowOff>72736</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3054927</xdr:colOff>
          <xdr:row>2</xdr:row>
          <xdr:rowOff>24245</xdr:rowOff>
        </xdr:from>
        <xdr:to>
          <xdr:col>1</xdr:col>
          <xdr:colOff>3969327</xdr:colOff>
          <xdr:row>6</xdr:row>
          <xdr:rowOff>72736</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3980584</xdr:colOff>
          <xdr:row>2</xdr:row>
          <xdr:rowOff>24245</xdr:rowOff>
        </xdr:from>
        <xdr:to>
          <xdr:col>3</xdr:col>
          <xdr:colOff>300470</xdr:colOff>
          <xdr:row>6</xdr:row>
          <xdr:rowOff>72736</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357620</xdr:colOff>
          <xdr:row>2</xdr:row>
          <xdr:rowOff>24245</xdr:rowOff>
        </xdr:from>
        <xdr:to>
          <xdr:col>5</xdr:col>
          <xdr:colOff>45893</xdr:colOff>
          <xdr:row>6</xdr:row>
          <xdr:rowOff>72736</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2" t="s">
        <v>405</v>
      </c>
      <c r="J1" s="1993"/>
      <c r="K1" s="1993"/>
      <c r="L1" s="1993"/>
      <c r="M1" s="1993"/>
      <c r="N1" s="1993"/>
      <c r="O1" s="1993"/>
      <c r="P1" s="1993"/>
      <c r="Q1" s="1993"/>
      <c r="R1" s="1993"/>
      <c r="S1" s="1993"/>
    </row>
    <row r="2" spans="1:28" ht="12" customHeight="1" x14ac:dyDescent="0.2">
      <c r="A2" s="47" t="s">
        <v>1993</v>
      </c>
      <c r="D2" s="48"/>
      <c r="I2" s="1994" t="s">
        <v>979</v>
      </c>
      <c r="J2" s="1993"/>
      <c r="K2" s="1993"/>
      <c r="L2" s="1993"/>
      <c r="M2" s="1993"/>
      <c r="N2" s="1993"/>
      <c r="O2" s="1993"/>
      <c r="P2" s="1993"/>
      <c r="Q2" s="1993"/>
      <c r="R2" s="1993"/>
      <c r="S2" s="1993"/>
    </row>
    <row r="3" spans="1:28" ht="12" customHeight="1" x14ac:dyDescent="0.2">
      <c r="A3" s="155" t="s">
        <v>1945</v>
      </c>
      <c r="B3" s="156"/>
      <c r="C3" s="156"/>
      <c r="D3" s="157"/>
      <c r="I3" s="1994" t="s">
        <v>52</v>
      </c>
      <c r="J3" s="1993"/>
      <c r="K3" s="1993"/>
      <c r="L3" s="1993"/>
      <c r="M3" s="1993"/>
      <c r="N3" s="1993"/>
      <c r="O3" s="1993"/>
      <c r="P3" s="1993"/>
      <c r="Q3" s="1993"/>
      <c r="R3" s="1993"/>
      <c r="S3" s="1993"/>
    </row>
    <row r="4" spans="1:28" ht="12" customHeight="1" x14ac:dyDescent="0.2">
      <c r="A4" s="37"/>
      <c r="I4" s="1994" t="s">
        <v>524</v>
      </c>
      <c r="J4" s="1993"/>
      <c r="K4" s="1993"/>
      <c r="L4" s="1993"/>
      <c r="M4" s="1993"/>
      <c r="N4" s="1993"/>
      <c r="O4" s="1993"/>
      <c r="P4" s="1993"/>
      <c r="Q4" s="1993"/>
      <c r="R4" s="1993"/>
      <c r="S4" s="1993"/>
    </row>
    <row r="5" spans="1:28" ht="14.1" customHeight="1" x14ac:dyDescent="0.2">
      <c r="B5" s="104" t="s">
        <v>2064</v>
      </c>
      <c r="C5" s="26" t="s">
        <v>910</v>
      </c>
      <c r="D5" s="84"/>
      <c r="E5" s="84"/>
      <c r="H5" s="38"/>
      <c r="I5" s="2002" t="s">
        <v>680</v>
      </c>
      <c r="J5" s="2001"/>
      <c r="K5" s="2001"/>
      <c r="L5" s="2001"/>
      <c r="M5" s="2001"/>
      <c r="N5" s="2001"/>
      <c r="O5" s="2001"/>
      <c r="P5" s="2001"/>
      <c r="Q5" s="2001"/>
      <c r="R5" s="2001"/>
      <c r="S5" s="2001"/>
    </row>
    <row r="6" spans="1:28" ht="14.1" customHeight="1" x14ac:dyDescent="0.2">
      <c r="B6" s="104"/>
      <c r="C6" s="26" t="s">
        <v>911</v>
      </c>
      <c r="D6" s="84"/>
      <c r="E6" s="84"/>
      <c r="I6" s="2000" t="s">
        <v>883</v>
      </c>
      <c r="J6" s="2001"/>
      <c r="K6" s="2001"/>
      <c r="L6" s="2001"/>
      <c r="M6" s="2001"/>
      <c r="N6" s="2001"/>
      <c r="O6" s="2001"/>
      <c r="P6" s="2001"/>
      <c r="Q6" s="2001"/>
      <c r="R6" s="2001"/>
      <c r="S6" s="2001"/>
    </row>
    <row r="7" spans="1:28" ht="12.2" customHeight="1" x14ac:dyDescent="0.2">
      <c r="I7" s="1995">
        <v>43646</v>
      </c>
      <c r="J7" s="1996"/>
      <c r="K7" s="1996"/>
      <c r="L7" s="1996"/>
      <c r="M7" s="1996"/>
      <c r="N7" s="1996"/>
      <c r="O7" s="1996"/>
      <c r="P7" s="1996"/>
      <c r="Q7" s="1996"/>
      <c r="R7" s="1996"/>
      <c r="S7" s="199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7" t="s">
        <v>674</v>
      </c>
      <c r="J9" s="1998"/>
      <c r="K9" s="1998"/>
      <c r="L9" s="1998"/>
      <c r="M9" s="1998"/>
      <c r="N9" s="1998"/>
      <c r="O9" s="1998"/>
      <c r="P9" s="1998"/>
      <c r="Q9" s="1998"/>
      <c r="R9" s="1998"/>
      <c r="S9" s="1999"/>
      <c r="T9" s="2013" t="s">
        <v>533</v>
      </c>
      <c r="U9" s="2014"/>
      <c r="V9" s="2014"/>
      <c r="W9" s="2014"/>
      <c r="X9" s="2014"/>
      <c r="Y9" s="2014"/>
      <c r="Z9" s="2014"/>
      <c r="AA9" s="2015"/>
    </row>
    <row r="10" spans="1:28" ht="13.5" customHeight="1" x14ac:dyDescent="0.2">
      <c r="A10" s="2020" t="s">
        <v>675</v>
      </c>
      <c r="B10" s="2021"/>
      <c r="C10" s="2021"/>
      <c r="D10" s="2021"/>
      <c r="E10" s="2021"/>
      <c r="F10" s="2021"/>
      <c r="G10" s="2021"/>
      <c r="H10" s="2022"/>
      <c r="I10" s="29"/>
      <c r="J10" s="30"/>
      <c r="K10" s="28"/>
      <c r="R10" s="30"/>
      <c r="S10" s="30"/>
      <c r="T10" s="2016"/>
      <c r="U10" s="2001"/>
      <c r="V10" s="2001"/>
      <c r="W10" s="2001"/>
      <c r="X10" s="2001"/>
      <c r="Y10" s="2001"/>
      <c r="Z10" s="2001"/>
      <c r="AA10" s="2007"/>
    </row>
    <row r="11" spans="1:28" ht="14.25" customHeight="1" x14ac:dyDescent="0.2">
      <c r="A11" s="2023" t="s">
        <v>955</v>
      </c>
      <c r="B11" s="2024"/>
      <c r="C11" s="2024"/>
      <c r="D11" s="2024"/>
      <c r="E11" s="2024"/>
      <c r="F11" s="2024"/>
      <c r="G11" s="2024"/>
      <c r="H11" s="2025"/>
      <c r="I11" s="27"/>
      <c r="J11" s="74"/>
      <c r="K11" s="27"/>
      <c r="O11" s="148" t="s">
        <v>2064</v>
      </c>
      <c r="P11" s="100" t="s">
        <v>201</v>
      </c>
      <c r="Q11" s="30"/>
      <c r="R11" s="28"/>
      <c r="S11" s="27"/>
      <c r="T11" s="2017"/>
      <c r="U11" s="2018"/>
      <c r="V11" s="2018"/>
      <c r="W11" s="2018"/>
      <c r="X11" s="2018"/>
      <c r="Y11" s="2018"/>
      <c r="Z11" s="2018"/>
      <c r="AA11" s="201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7">
        <v>26034307016</v>
      </c>
      <c r="B13" s="2028"/>
      <c r="C13" s="2028"/>
      <c r="D13" s="2028"/>
      <c r="E13" s="2028"/>
      <c r="F13" s="2028"/>
      <c r="G13" s="2028"/>
      <c r="H13" s="2029"/>
      <c r="I13" s="31"/>
      <c r="J13" s="30"/>
      <c r="K13" s="28"/>
      <c r="L13" s="30"/>
      <c r="M13" s="30"/>
      <c r="N13" s="30"/>
      <c r="O13" s="30"/>
      <c r="P13" s="30"/>
      <c r="Q13" s="30"/>
      <c r="R13" s="30"/>
      <c r="S13" s="30"/>
      <c r="T13" s="2032" t="s">
        <v>2072</v>
      </c>
      <c r="U13" s="2033"/>
      <c r="V13" s="2033"/>
      <c r="W13" s="2033"/>
      <c r="X13" s="2033"/>
      <c r="Y13" s="2034"/>
      <c r="Z13" s="2034"/>
      <c r="AA13" s="203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6" t="s">
        <v>2065</v>
      </c>
      <c r="B15" s="2030"/>
      <c r="C15" s="2030"/>
      <c r="D15" s="2030"/>
      <c r="E15" s="2030"/>
      <c r="F15" s="2030"/>
      <c r="G15" s="2030"/>
      <c r="H15" s="2031"/>
      <c r="T15" s="2036" t="s">
        <v>2073</v>
      </c>
      <c r="U15" s="1980"/>
      <c r="V15" s="1980"/>
      <c r="W15" s="1980"/>
      <c r="X15" s="1980"/>
      <c r="Y15" s="2037"/>
      <c r="Z15" s="2037"/>
      <c r="AA15" s="203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6" t="s">
        <v>2124</v>
      </c>
      <c r="B17" s="1987"/>
      <c r="C17" s="1987"/>
      <c r="D17" s="1987"/>
      <c r="E17" s="1987"/>
      <c r="F17" s="1987"/>
      <c r="G17" s="1987"/>
      <c r="H17" s="2012"/>
      <c r="T17" s="2043" t="s">
        <v>2074</v>
      </c>
      <c r="U17" s="2044"/>
      <c r="V17" s="2044"/>
      <c r="W17" s="2044"/>
      <c r="X17" s="2044"/>
      <c r="Y17" s="2044"/>
      <c r="Z17" s="2044"/>
      <c r="AA17" s="2045"/>
    </row>
    <row r="18" spans="1:27" ht="13.5" customHeight="1" x14ac:dyDescent="0.2">
      <c r="A18" s="85" t="s">
        <v>530</v>
      </c>
      <c r="B18" s="76"/>
      <c r="C18" s="72"/>
      <c r="D18" s="76"/>
      <c r="E18" s="76"/>
      <c r="F18" s="76"/>
      <c r="G18" s="76"/>
      <c r="H18" s="56"/>
      <c r="I18" s="2011" t="s">
        <v>676</v>
      </c>
      <c r="J18" s="1962"/>
      <c r="K18" s="1962"/>
      <c r="L18" s="1962"/>
      <c r="M18" s="1962"/>
      <c r="N18" s="1962"/>
      <c r="O18" s="1962"/>
      <c r="P18" s="1962"/>
      <c r="Q18" s="1962"/>
      <c r="R18" s="1962"/>
      <c r="S18" s="1963"/>
      <c r="T18" s="85" t="s">
        <v>711</v>
      </c>
      <c r="U18" s="51"/>
      <c r="V18" s="72"/>
      <c r="W18" s="50"/>
      <c r="X18" s="85" t="s">
        <v>266</v>
      </c>
      <c r="Y18" s="81"/>
      <c r="Z18" s="159" t="s">
        <v>677</v>
      </c>
      <c r="AA18" s="46"/>
    </row>
    <row r="19" spans="1:27" ht="13.5" customHeight="1" x14ac:dyDescent="0.2">
      <c r="A19" s="2026" t="s">
        <v>2066</v>
      </c>
      <c r="B19" s="1972"/>
      <c r="C19" s="1972"/>
      <c r="D19" s="1972"/>
      <c r="E19" s="1972"/>
      <c r="F19" s="1972"/>
      <c r="G19" s="1972"/>
      <c r="H19" s="1952"/>
      <c r="I19" s="30"/>
      <c r="J19" s="99"/>
      <c r="K19" s="40"/>
      <c r="L19" s="38"/>
      <c r="M19" s="112" t="s">
        <v>315</v>
      </c>
      <c r="P19" s="27"/>
      <c r="Q19" s="27"/>
      <c r="R19" s="27"/>
      <c r="S19" s="31"/>
      <c r="T19" s="2026" t="s">
        <v>2075</v>
      </c>
      <c r="U19" s="1951"/>
      <c r="V19" s="1951"/>
      <c r="W19" s="1952"/>
      <c r="X19" s="2041" t="s">
        <v>2076</v>
      </c>
      <c r="Y19" s="2042"/>
      <c r="Z19" s="2039" t="s">
        <v>2077</v>
      </c>
      <c r="AA19" s="204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0" t="s">
        <v>2067</v>
      </c>
      <c r="B21" s="1951"/>
      <c r="C21" s="1951"/>
      <c r="D21" s="1951"/>
      <c r="E21" s="1951"/>
      <c r="F21" s="1951"/>
      <c r="G21" s="1951"/>
      <c r="H21" s="1952"/>
      <c r="I21" s="2006" t="s">
        <v>678</v>
      </c>
      <c r="J21" s="2001"/>
      <c r="K21" s="2001"/>
      <c r="L21" s="2001"/>
      <c r="M21" s="2001"/>
      <c r="N21" s="2001"/>
      <c r="O21" s="2001"/>
      <c r="P21" s="2001"/>
      <c r="Q21" s="2001"/>
      <c r="R21" s="2001"/>
      <c r="S21" s="2007"/>
      <c r="T21" s="2050" t="s">
        <v>2078</v>
      </c>
      <c r="U21" s="2051"/>
      <c r="V21" s="2051"/>
      <c r="W21" s="2051"/>
      <c r="X21" s="2056" t="s">
        <v>2079</v>
      </c>
      <c r="Y21" s="2057"/>
      <c r="Z21" s="2057"/>
      <c r="AA21" s="2058"/>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1516</v>
      </c>
      <c r="U22" s="51"/>
      <c r="V22" s="72"/>
      <c r="W22" s="51"/>
      <c r="X22" s="160" t="s">
        <v>1318</v>
      </c>
      <c r="Z22" s="45"/>
      <c r="AA22" s="46"/>
    </row>
    <row r="23" spans="1:27" ht="13.5" customHeight="1" x14ac:dyDescent="0.2">
      <c r="A23" s="2003" t="s">
        <v>2068</v>
      </c>
      <c r="B23" s="2004"/>
      <c r="C23" s="2004"/>
      <c r="D23" s="2004"/>
      <c r="E23" s="2004"/>
      <c r="F23" s="2004"/>
      <c r="G23" s="2004"/>
      <c r="H23" s="2005"/>
      <c r="T23" s="1986" t="s">
        <v>2080</v>
      </c>
      <c r="U23" s="2049"/>
      <c r="V23" s="2049"/>
      <c r="W23" s="2049"/>
      <c r="X23" s="2053">
        <v>44530</v>
      </c>
      <c r="Y23" s="2054"/>
      <c r="Z23" s="2054"/>
      <c r="AA23" s="2055"/>
    </row>
    <row r="24" spans="1:27" ht="14.1" customHeight="1" x14ac:dyDescent="0.2">
      <c r="A24" s="88" t="s">
        <v>677</v>
      </c>
      <c r="B24" s="49"/>
      <c r="C24" s="49"/>
      <c r="D24" s="49"/>
      <c r="E24" s="49"/>
      <c r="F24" s="49"/>
      <c r="G24" s="49"/>
      <c r="H24" s="61"/>
      <c r="J24" s="1973">
        <f>IF(B5="x",IF(AUDITCHECK!D29="AFR form Incomplete.","",IF(AUDITCHECK!D29="Deficit reduction plan is required.","School District must complete a deficit reduction plan in the 2019-2020 Budget",)),"")</f>
        <v>0</v>
      </c>
      <c r="K24" s="1973"/>
      <c r="L24" s="1973"/>
      <c r="M24" s="1973"/>
      <c r="N24" s="1973"/>
      <c r="O24" s="1973"/>
      <c r="P24" s="1973"/>
      <c r="Q24" s="1973"/>
      <c r="R24" s="1973"/>
      <c r="S24" s="1974"/>
      <c r="T24" s="105" t="s">
        <v>531</v>
      </c>
      <c r="U24" s="106"/>
      <c r="V24" s="106"/>
      <c r="W24" s="106"/>
      <c r="X24" s="107"/>
      <c r="Y24" s="107"/>
      <c r="Z24" s="107"/>
      <c r="AA24" s="108"/>
    </row>
    <row r="25" spans="1:27" ht="14.1" customHeight="1" x14ac:dyDescent="0.2">
      <c r="A25" s="1950">
        <v>62321</v>
      </c>
      <c r="B25" s="1951"/>
      <c r="C25" s="1951"/>
      <c r="D25" s="1951"/>
      <c r="E25" s="1951"/>
      <c r="F25" s="1951"/>
      <c r="G25" s="1951"/>
      <c r="H25" s="1952"/>
      <c r="I25" s="113"/>
      <c r="J25" s="1975"/>
      <c r="K25" s="1975"/>
      <c r="L25" s="1975"/>
      <c r="M25" s="1975"/>
      <c r="N25" s="1975"/>
      <c r="O25" s="1975"/>
      <c r="P25" s="1975"/>
      <c r="Q25" s="1975"/>
      <c r="R25" s="1975"/>
      <c r="S25" s="1976"/>
      <c r="T25" s="2046" t="s">
        <v>2081</v>
      </c>
      <c r="U25" s="2047"/>
      <c r="V25" s="2047"/>
      <c r="W25" s="2047"/>
      <c r="X25" s="2047"/>
      <c r="Y25" s="2047"/>
      <c r="Z25" s="2047"/>
      <c r="AA25" s="20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1" t="s">
        <v>1511</v>
      </c>
      <c r="J27" s="1962"/>
      <c r="K27" s="1962"/>
      <c r="L27" s="1962"/>
      <c r="M27" s="1962"/>
      <c r="N27" s="1962"/>
      <c r="O27" s="1962"/>
      <c r="P27" s="1962"/>
      <c r="Q27" s="1962"/>
      <c r="R27" s="1962"/>
      <c r="S27" s="196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2"/>
      <c r="Q35" s="1951"/>
      <c r="R35" s="195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6" t="s">
        <v>2069</v>
      </c>
      <c r="B38" s="1987"/>
      <c r="C38" s="1987"/>
      <c r="D38" s="1987"/>
      <c r="E38" s="1987"/>
      <c r="F38" s="1951"/>
      <c r="G38" s="1951"/>
      <c r="H38" s="1952"/>
      <c r="I38" s="1979"/>
      <c r="J38" s="1980"/>
      <c r="K38" s="1980"/>
      <c r="L38" s="1980"/>
      <c r="M38" s="1980"/>
      <c r="N38" s="1980"/>
      <c r="O38" s="1980"/>
      <c r="P38" s="1981"/>
      <c r="Q38" s="1981"/>
      <c r="R38" s="1981"/>
      <c r="S38" s="1982"/>
      <c r="T38" s="2036"/>
      <c r="U38" s="1980"/>
      <c r="V38" s="1980"/>
      <c r="W38" s="1980"/>
      <c r="X38" s="1981"/>
      <c r="Y38" s="1981"/>
      <c r="Z38" s="1981"/>
      <c r="AA38" s="1982"/>
    </row>
    <row r="39" spans="1:27" ht="12" customHeight="1" x14ac:dyDescent="0.2">
      <c r="A39" s="1956" t="s">
        <v>531</v>
      </c>
      <c r="B39" s="1957"/>
      <c r="C39" s="72"/>
      <c r="D39" s="69"/>
      <c r="E39" s="69"/>
      <c r="F39" s="79"/>
      <c r="G39" s="69"/>
      <c r="H39" s="56"/>
      <c r="I39" s="1956" t="s">
        <v>531</v>
      </c>
      <c r="J39" s="1957"/>
      <c r="K39" s="1957"/>
      <c r="L39" s="1957"/>
      <c r="M39" s="1957"/>
      <c r="N39" s="67"/>
      <c r="O39" s="72"/>
      <c r="P39" s="72"/>
      <c r="Q39" s="78"/>
      <c r="R39" s="72"/>
      <c r="S39" s="56"/>
      <c r="T39" s="72" t="s">
        <v>531</v>
      </c>
      <c r="U39" s="51"/>
      <c r="V39" s="72"/>
      <c r="W39" s="50"/>
      <c r="X39" s="78"/>
      <c r="Y39" s="45"/>
      <c r="Z39" s="45"/>
      <c r="AA39" s="46"/>
    </row>
    <row r="40" spans="1:27" ht="13.5" customHeight="1" x14ac:dyDescent="0.2">
      <c r="A40" s="1964" t="s">
        <v>2068</v>
      </c>
      <c r="B40" s="1965"/>
      <c r="C40" s="1966"/>
      <c r="D40" s="1966"/>
      <c r="E40" s="1966"/>
      <c r="F40" s="1967"/>
      <c r="G40" s="1967"/>
      <c r="H40" s="1968"/>
      <c r="I40" s="1989"/>
      <c r="J40" s="1990"/>
      <c r="K40" s="1990"/>
      <c r="L40" s="1990"/>
      <c r="M40" s="1990"/>
      <c r="N40" s="1990"/>
      <c r="O40" s="1990"/>
      <c r="P40" s="1990"/>
      <c r="Q40" s="1990"/>
      <c r="R40" s="1990"/>
      <c r="S40" s="1991"/>
      <c r="T40" s="1989"/>
      <c r="U40" s="2052"/>
      <c r="V40" s="1990"/>
      <c r="W40" s="1990"/>
      <c r="X40" s="1990"/>
      <c r="Y40" s="1990"/>
      <c r="Z40" s="1990"/>
      <c r="AA40" s="199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8" t="s">
        <v>2070</v>
      </c>
      <c r="B42" s="1970"/>
      <c r="C42" s="1971"/>
      <c r="D42" s="1969" t="s">
        <v>2071</v>
      </c>
      <c r="E42" s="1970"/>
      <c r="F42" s="1970"/>
      <c r="G42" s="1970"/>
      <c r="H42" s="1971"/>
      <c r="I42" s="1953"/>
      <c r="J42" s="1954"/>
      <c r="K42" s="1954"/>
      <c r="L42" s="1954"/>
      <c r="M42" s="1954"/>
      <c r="N42" s="1954"/>
      <c r="O42" s="1955"/>
      <c r="P42" s="1988"/>
      <c r="Q42" s="1954"/>
      <c r="R42" s="1954"/>
      <c r="S42" s="1955"/>
      <c r="T42" s="1953"/>
      <c r="U42" s="1954"/>
      <c r="V42" s="1954"/>
      <c r="W42" s="1955"/>
      <c r="X42" s="1988"/>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3"/>
      <c r="B44" s="1984"/>
      <c r="C44" s="1984"/>
      <c r="D44" s="1984"/>
      <c r="E44" s="1984"/>
      <c r="F44" s="1984"/>
      <c r="G44" s="1984"/>
      <c r="H44" s="1985"/>
      <c r="I44" s="1958"/>
      <c r="J44" s="1959"/>
      <c r="K44" s="1959"/>
      <c r="L44" s="1959"/>
      <c r="M44" s="1959"/>
      <c r="N44" s="1959"/>
      <c r="O44" s="1959"/>
      <c r="P44" s="1959"/>
      <c r="Q44" s="1959"/>
      <c r="R44" s="1959"/>
      <c r="S44" s="1960"/>
      <c r="T44" s="1958"/>
      <c r="U44" s="1977"/>
      <c r="V44" s="1977"/>
      <c r="W44" s="1977"/>
      <c r="X44" s="1977"/>
      <c r="Y44" s="1977"/>
      <c r="Z44" s="1959"/>
      <c r="AA44" s="196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1608</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3" colorId="8" zoomScale="110" zoomScaleNormal="110" workbookViewId="0">
      <selection activeCell="N91" sqref="N9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1633</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2072</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98" zoomScaleNormal="98"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152234605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1.0262200000000001E-2</v>
      </c>
      <c r="E10" s="356" t="s">
        <v>1005</v>
      </c>
      <c r="F10" s="355">
        <v>3.4207E-3</v>
      </c>
      <c r="G10" s="356" t="s">
        <v>1005</v>
      </c>
      <c r="H10" s="355">
        <v>1.1728999999999999E-3</v>
      </c>
      <c r="I10" s="356" t="s">
        <v>1006</v>
      </c>
      <c r="J10" s="1732">
        <f>ROUND(D10+F10+H10,5)</f>
        <v>1.486E-2</v>
      </c>
      <c r="K10" s="222"/>
      <c r="L10" s="355">
        <v>4.8870000000000001E-4</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4302338</v>
      </c>
      <c r="E16" s="356"/>
      <c r="F16" s="1733">
        <f>SUM('Acct Summary 7-8'!C17,'Acct Summary 7-8'!D17,'Acct Summary 7-8'!F17)</f>
        <v>4060140</v>
      </c>
      <c r="G16" s="356"/>
      <c r="H16" s="1733">
        <f>SUM(D16-F16)</f>
        <v>242198</v>
      </c>
      <c r="I16" s="222"/>
      <c r="J16" s="1733">
        <f>SUM('Acct Summary 7-8'!C81,'Acct Summary 7-8'!D81,'Acct Summary 7-8'!F81,'Acct Summary 7-8'!I81)</f>
        <v>3061498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10504187.745000001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31"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1554</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Illini West H S Dist 307</v>
      </c>
      <c r="E7" s="391"/>
      <c r="G7" s="252"/>
      <c r="H7" s="387"/>
      <c r="I7" s="387"/>
      <c r="J7" s="387"/>
      <c r="K7" s="387"/>
      <c r="L7" s="329"/>
      <c r="M7" s="329"/>
      <c r="N7" s="329"/>
      <c r="O7" s="329"/>
      <c r="P7" s="329"/>
    </row>
    <row r="8" spans="1:18" ht="12.75" x14ac:dyDescent="0.2">
      <c r="A8" s="329"/>
      <c r="B8" s="329"/>
      <c r="C8" s="389" t="s">
        <v>1125</v>
      </c>
      <c r="D8" s="392">
        <f>COVER!A13</f>
        <v>26034307016</v>
      </c>
      <c r="E8" s="393"/>
      <c r="G8" s="329"/>
      <c r="H8" s="329"/>
      <c r="I8" s="329"/>
      <c r="J8" s="329"/>
      <c r="K8" s="329"/>
      <c r="L8" s="329"/>
      <c r="M8" s="329"/>
      <c r="N8" s="329"/>
      <c r="O8" s="329"/>
      <c r="P8" s="329"/>
    </row>
    <row r="9" spans="1:18" ht="12.75" x14ac:dyDescent="0.2">
      <c r="A9" s="329"/>
      <c r="B9" s="329"/>
      <c r="C9" s="389" t="s">
        <v>713</v>
      </c>
      <c r="D9" s="394" t="str">
        <f>COVER!A15</f>
        <v>HANCOCK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3061498</v>
      </c>
      <c r="I12" s="404"/>
      <c r="J12" s="404"/>
      <c r="K12" s="405">
        <f>TRUNC((H12/H13*100000),5)/100000</f>
        <v>0.71158937300000003</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4302338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4060140</v>
      </c>
      <c r="I17" s="404"/>
      <c r="J17" s="416"/>
      <c r="K17" s="405">
        <f>TRUNC((H17/H18*100000),5)/100000</f>
        <v>0.9437054922</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4302338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3061908</v>
      </c>
      <c r="I24" s="422"/>
      <c r="J24" s="422"/>
      <c r="K24" s="423">
        <f>TRUNC(((H24/H25*100000)/100000),2)</f>
        <v>271.48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11278.166670000001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1922875.2957599999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0</v>
      </c>
      <c r="I32" s="420"/>
      <c r="J32" s="420"/>
      <c r="K32" s="423">
        <f>TRUNC(100-((((H32/H33*100))*100)/100),2)</f>
        <v>100</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10504187.745000001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3" activePane="bottomLeft" state="frozen"/>
      <selection pane="bottomLeft" activeCell="C45" sqref="C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1651</v>
      </c>
      <c r="B4" s="464"/>
      <c r="C4" s="465">
        <v>383421</v>
      </c>
      <c r="D4" s="466">
        <v>223417</v>
      </c>
      <c r="E4" s="466"/>
      <c r="F4" s="466">
        <v>386193</v>
      </c>
      <c r="G4" s="466">
        <v>231947</v>
      </c>
      <c r="H4" s="466">
        <v>4872</v>
      </c>
      <c r="I4" s="466">
        <v>44281</v>
      </c>
      <c r="J4" s="467">
        <v>472487</v>
      </c>
      <c r="K4" s="466">
        <v>578451</v>
      </c>
      <c r="L4" s="466">
        <v>179353</v>
      </c>
      <c r="M4" s="468"/>
      <c r="N4" s="469"/>
    </row>
    <row r="5" spans="1:14" x14ac:dyDescent="0.2">
      <c r="A5" s="463" t="s">
        <v>992</v>
      </c>
      <c r="B5" s="470">
        <v>120</v>
      </c>
      <c r="C5" s="465">
        <v>1522302</v>
      </c>
      <c r="D5" s="466">
        <v>202294</v>
      </c>
      <c r="E5" s="466"/>
      <c r="F5" s="466"/>
      <c r="G5" s="466"/>
      <c r="H5" s="466"/>
      <c r="I5" s="466">
        <v>300000</v>
      </c>
      <c r="J5" s="467"/>
      <c r="K5" s="471"/>
      <c r="L5" s="472">
        <v>60000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1905723</v>
      </c>
      <c r="D13" s="1737">
        <f t="shared" ref="D13:L13" si="0">SUM(D4:D12)</f>
        <v>425711</v>
      </c>
      <c r="E13" s="1737">
        <f t="shared" si="0"/>
        <v>0</v>
      </c>
      <c r="F13" s="1737">
        <f t="shared" si="0"/>
        <v>386193</v>
      </c>
      <c r="G13" s="1737">
        <f t="shared" si="0"/>
        <v>231947</v>
      </c>
      <c r="H13" s="1737">
        <f t="shared" si="0"/>
        <v>4872</v>
      </c>
      <c r="I13" s="1737">
        <f t="shared" si="0"/>
        <v>344281</v>
      </c>
      <c r="J13" s="1737">
        <f t="shared" si="0"/>
        <v>472487</v>
      </c>
      <c r="K13" s="1737">
        <f t="shared" si="0"/>
        <v>578451</v>
      </c>
      <c r="L13" s="1737">
        <f t="shared" si="0"/>
        <v>239353</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704470</v>
      </c>
      <c r="N16" s="484"/>
    </row>
    <row r="17" spans="1:14" s="485" customFormat="1" ht="12.75" customHeight="1" x14ac:dyDescent="0.2">
      <c r="A17" s="482" t="s">
        <v>1403</v>
      </c>
      <c r="B17" s="483">
        <v>230</v>
      </c>
      <c r="C17" s="477"/>
      <c r="D17" s="477"/>
      <c r="E17" s="477"/>
      <c r="F17" s="477"/>
      <c r="G17" s="477"/>
      <c r="H17" s="477"/>
      <c r="I17" s="477"/>
      <c r="J17" s="477"/>
      <c r="K17" s="477"/>
      <c r="L17" s="477"/>
      <c r="M17" s="467">
        <v>57559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787125</v>
      </c>
      <c r="N19" s="484"/>
    </row>
    <row r="20" spans="1:14" s="485" customFormat="1" ht="12.75" customHeight="1" x14ac:dyDescent="0.2">
      <c r="A20" s="482" t="s">
        <v>1406</v>
      </c>
      <c r="B20" s="483">
        <v>260</v>
      </c>
      <c r="C20" s="477"/>
      <c r="D20" s="477"/>
      <c r="E20" s="477"/>
      <c r="F20" s="477"/>
      <c r="G20" s="477"/>
      <c r="H20" s="477"/>
      <c r="I20" s="477"/>
      <c r="J20" s="477"/>
      <c r="K20" s="477"/>
      <c r="L20" s="477"/>
      <c r="M20" s="467">
        <v>57301</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1606455</v>
      </c>
      <c r="N23" s="1688">
        <f>SUM(N21:N22)</f>
        <v>0</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2</v>
      </c>
      <c r="D31" s="467"/>
      <c r="E31" s="467"/>
      <c r="F31" s="466"/>
      <c r="G31" s="467"/>
      <c r="H31" s="467"/>
      <c r="I31" s="467"/>
      <c r="J31" s="467"/>
      <c r="K31" s="467"/>
      <c r="L31" s="468"/>
      <c r="M31" s="468"/>
      <c r="N31" s="468"/>
    </row>
    <row r="32" spans="1:14" ht="13.5" customHeight="1" x14ac:dyDescent="0.2">
      <c r="A32" s="490" t="s">
        <v>652</v>
      </c>
      <c r="B32" s="491">
        <v>490</v>
      </c>
      <c r="C32" s="492">
        <v>408</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179353</v>
      </c>
      <c r="M33" s="468"/>
      <c r="N33" s="469"/>
    </row>
    <row r="34" spans="1:14" ht="13.5" customHeight="1" thickBot="1" x14ac:dyDescent="0.25">
      <c r="A34" s="1738" t="s">
        <v>654</v>
      </c>
      <c r="B34" s="1739"/>
      <c r="C34" s="1740">
        <f>SUM(C25:C33)</f>
        <v>410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179353</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v>115596</v>
      </c>
      <c r="D38" s="466"/>
      <c r="E38" s="466"/>
      <c r="F38" s="466"/>
      <c r="G38" s="466"/>
      <c r="H38" s="466"/>
      <c r="I38" s="466"/>
      <c r="J38" s="467"/>
      <c r="K38" s="466"/>
      <c r="L38" s="481">
        <v>60000</v>
      </c>
      <c r="M38" s="497"/>
      <c r="N38" s="497"/>
    </row>
    <row r="39" spans="1:14" s="329" customFormat="1" ht="13.5" customHeight="1" x14ac:dyDescent="0.2">
      <c r="A39" s="496" t="s">
        <v>342</v>
      </c>
      <c r="B39" s="483">
        <v>730</v>
      </c>
      <c r="C39" s="466">
        <v>1789717</v>
      </c>
      <c r="D39" s="466">
        <v>425711</v>
      </c>
      <c r="E39" s="466"/>
      <c r="F39" s="466">
        <v>386193</v>
      </c>
      <c r="G39" s="466">
        <v>231947</v>
      </c>
      <c r="H39" s="466">
        <v>4872</v>
      </c>
      <c r="I39" s="466">
        <v>344281</v>
      </c>
      <c r="J39" s="467">
        <v>472487</v>
      </c>
      <c r="K39" s="466">
        <v>578451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1606455</v>
      </c>
      <c r="N40" s="497"/>
    </row>
    <row r="41" spans="1:14" ht="13.5" customHeight="1" thickBot="1" x14ac:dyDescent="0.25">
      <c r="A41" s="1736" t="s">
        <v>655</v>
      </c>
      <c r="B41" s="1706"/>
      <c r="C41" s="1688">
        <f>(SUM(C34,C37,C38,C39))</f>
        <v>1905723</v>
      </c>
      <c r="D41" s="1688">
        <f t="shared" ref="D41:L41" si="2">SUM(D34,D37,D38:D39)</f>
        <v>425711</v>
      </c>
      <c r="E41" s="1688">
        <f t="shared" si="2"/>
        <v>0</v>
      </c>
      <c r="F41" s="1688">
        <f t="shared" si="2"/>
        <v>386193</v>
      </c>
      <c r="G41" s="1688">
        <f t="shared" si="2"/>
        <v>231947</v>
      </c>
      <c r="H41" s="1688">
        <f t="shared" si="2"/>
        <v>4872</v>
      </c>
      <c r="I41" s="1688">
        <f t="shared" si="2"/>
        <v>344281</v>
      </c>
      <c r="J41" s="1688">
        <f t="shared" si="2"/>
        <v>472487</v>
      </c>
      <c r="K41" s="1688">
        <f t="shared" si="2"/>
        <v>578451</v>
      </c>
      <c r="L41" s="1688">
        <f t="shared" si="2"/>
        <v>239353</v>
      </c>
      <c r="M41" s="1688">
        <f>SUM(M40)</f>
        <v>1606455</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&amp;F&amp;C&amp;"Franklin Gothic Book,Regular"&amp;8The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4"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8" t="s">
        <v>1499</v>
      </c>
      <c r="B4" s="1929">
        <v>1000</v>
      </c>
      <c r="C4" s="1742">
        <f>'Revenues 9-14'!C109</f>
        <v>1775713</v>
      </c>
      <c r="D4" s="1742">
        <f>'Revenues 9-14'!D109</f>
        <v>560321</v>
      </c>
      <c r="E4" s="1742">
        <f>'Revenues 9-14'!E109</f>
        <v>0</v>
      </c>
      <c r="F4" s="1742">
        <f>'Revenues 9-14'!F109</f>
        <v>195066</v>
      </c>
      <c r="G4" s="1742">
        <f>'Revenues 9-14'!G109</f>
        <v>71477</v>
      </c>
      <c r="H4" s="1742">
        <f>'Revenues 9-14'!H109</f>
        <v>26</v>
      </c>
      <c r="I4" s="1742">
        <f>'Revenues 9-14'!I109</f>
        <v>74139</v>
      </c>
      <c r="J4" s="1742">
        <f>'Revenues 9-14'!J109</f>
        <v>327893</v>
      </c>
      <c r="K4" s="1742">
        <f>'Revenues 9-14'!K109</f>
        <v>76232</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1378660</v>
      </c>
      <c r="D6" s="1743">
        <f>'Revenues 9-14'!D170</f>
        <v>0</v>
      </c>
      <c r="E6" s="1743">
        <f>'Revenues 9-14'!E170</f>
        <v>0</v>
      </c>
      <c r="F6" s="1743">
        <f>'Revenues 9-14'!F170</f>
        <v>161262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157177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3311550</v>
      </c>
      <c r="D8" s="1688">
        <f t="shared" ref="D8:K8" si="0">SUM(D4:D7)</f>
        <v>560321</v>
      </c>
      <c r="E8" s="1688">
        <f t="shared" si="0"/>
        <v>0</v>
      </c>
      <c r="F8" s="1688">
        <f t="shared" si="0"/>
        <v>356328</v>
      </c>
      <c r="G8" s="1688">
        <f t="shared" si="0"/>
        <v>71477</v>
      </c>
      <c r="H8" s="1688">
        <f t="shared" si="0"/>
        <v>26</v>
      </c>
      <c r="I8" s="1688">
        <f t="shared" si="0"/>
        <v>74139</v>
      </c>
      <c r="J8" s="1688">
        <f t="shared" si="0"/>
        <v>327893</v>
      </c>
      <c r="K8" s="1688">
        <f t="shared" si="0"/>
        <v>76232</v>
      </c>
      <c r="L8" s="347"/>
    </row>
    <row r="9" spans="1:13" ht="15.75" thickTop="1" x14ac:dyDescent="0.2">
      <c r="A9" s="514" t="s">
        <v>1653</v>
      </c>
      <c r="B9" s="515">
        <v>3998</v>
      </c>
      <c r="C9" s="481">
        <v>1178179</v>
      </c>
      <c r="D9" s="516"/>
      <c r="E9" s="481"/>
      <c r="F9" s="481"/>
      <c r="G9" s="517"/>
      <c r="H9" s="481"/>
      <c r="I9" s="509" t="s">
        <v>1169</v>
      </c>
      <c r="J9" s="478"/>
      <c r="K9" s="481"/>
      <c r="L9" s="347"/>
    </row>
    <row r="10" spans="1:13" s="519" customFormat="1" ht="13.5" thickBot="1" x14ac:dyDescent="0.25">
      <c r="A10" s="1736" t="s">
        <v>1173</v>
      </c>
      <c r="B10" s="1709"/>
      <c r="C10" s="1688">
        <f>SUM(C8:C9)</f>
        <v>4489729</v>
      </c>
      <c r="D10" s="1688">
        <f t="shared" ref="D10:K10" si="1">SUM(D8:D9)</f>
        <v>560321</v>
      </c>
      <c r="E10" s="1688">
        <f t="shared" si="1"/>
        <v>0</v>
      </c>
      <c r="F10" s="1688">
        <f t="shared" si="1"/>
        <v>356328</v>
      </c>
      <c r="G10" s="1688">
        <f t="shared" si="1"/>
        <v>71477</v>
      </c>
      <c r="H10" s="1688">
        <f t="shared" si="1"/>
        <v>26</v>
      </c>
      <c r="I10" s="1688">
        <f t="shared" si="1"/>
        <v>74139</v>
      </c>
      <c r="J10" s="1688">
        <f t="shared" si="1"/>
        <v>327893</v>
      </c>
      <c r="K10" s="1688">
        <f t="shared" si="1"/>
        <v>76232</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42">
        <f>'Expenditures 15-22'!K33</f>
        <v>2245620</v>
      </c>
      <c r="D12" s="520" t="s">
        <v>1169</v>
      </c>
      <c r="E12" s="468" t="s">
        <v>1169</v>
      </c>
      <c r="F12" s="468" t="s">
        <v>1169</v>
      </c>
      <c r="G12" s="1742">
        <f>'Expenditures 15-22'!K229</f>
        <v>39014</v>
      </c>
      <c r="H12" s="521"/>
      <c r="I12" s="468" t="s">
        <v>1169</v>
      </c>
      <c r="J12" s="468" t="s">
        <v>1169</v>
      </c>
      <c r="K12" s="521" t="s">
        <v>1169</v>
      </c>
      <c r="L12" s="347"/>
    </row>
    <row r="13" spans="1:13" ht="15.75" customHeight="1" x14ac:dyDescent="0.2">
      <c r="A13" s="1576" t="s">
        <v>457</v>
      </c>
      <c r="B13" s="1578">
        <v>2000</v>
      </c>
      <c r="C13" s="1743">
        <f>'Expenditures 15-22'!K74</f>
        <v>644952</v>
      </c>
      <c r="D13" s="1743">
        <f>'Expenditures 15-22'!K129</f>
        <v>339854</v>
      </c>
      <c r="E13" s="469" t="s">
        <v>1169</v>
      </c>
      <c r="F13" s="1743">
        <f>'Expenditures 15-22'!K184</f>
        <v>350939</v>
      </c>
      <c r="G13" s="1743">
        <f>'Expenditures 15-22'!K279</f>
        <v>61802</v>
      </c>
      <c r="H13" s="1743">
        <f>'Expenditures 15-22'!K303</f>
        <v>0</v>
      </c>
      <c r="I13" s="468" t="s">
        <v>1169</v>
      </c>
      <c r="J13" s="1743">
        <f>'Expenditures 15-22'!K330</f>
        <v>280126</v>
      </c>
      <c r="K13" s="1747">
        <f>'Expenditures 15-22'!K352</f>
        <v>32259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344584</v>
      </c>
      <c r="D15" s="1743">
        <f>'Expenditures 15-22'!K139</f>
        <v>98446</v>
      </c>
      <c r="E15" s="1743">
        <f>'Expenditures 15-22'!K160</f>
        <v>0</v>
      </c>
      <c r="F15" s="1743">
        <f>'Expenditures 15-22'!K196</f>
        <v>35745</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3235156</v>
      </c>
      <c r="D17" s="1688">
        <f t="shared" si="2"/>
        <v>438300</v>
      </c>
      <c r="E17" s="1688">
        <f t="shared" si="2"/>
        <v>0</v>
      </c>
      <c r="F17" s="1688">
        <f t="shared" si="2"/>
        <v>386684</v>
      </c>
      <c r="G17" s="1688">
        <f t="shared" si="2"/>
        <v>100816</v>
      </c>
      <c r="H17" s="1688">
        <f t="shared" si="2"/>
        <v>0</v>
      </c>
      <c r="I17" s="468"/>
      <c r="J17" s="1688">
        <f>SUM(J12:J16)</f>
        <v>280126</v>
      </c>
      <c r="K17" s="1688">
        <f>SUM(K12:K16)</f>
        <v>32259</v>
      </c>
      <c r="L17" s="347"/>
    </row>
    <row r="18" spans="1:12" ht="15" customHeight="1" thickTop="1" x14ac:dyDescent="0.2">
      <c r="A18" s="1744" t="s">
        <v>1654</v>
      </c>
      <c r="B18" s="1745">
        <v>4180</v>
      </c>
      <c r="C18" s="1742">
        <f t="shared" ref="C18:H18" si="3">C9</f>
        <v>1178179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4413335</v>
      </c>
      <c r="D19" s="1688">
        <f t="shared" si="4"/>
        <v>438300</v>
      </c>
      <c r="E19" s="1688">
        <f t="shared" si="4"/>
        <v>0</v>
      </c>
      <c r="F19" s="1688">
        <f t="shared" si="4"/>
        <v>386684</v>
      </c>
      <c r="G19" s="1688">
        <f t="shared" si="4"/>
        <v>100816</v>
      </c>
      <c r="H19" s="1688">
        <f t="shared" si="4"/>
        <v>0</v>
      </c>
      <c r="I19" s="468"/>
      <c r="J19" s="1688">
        <f>SUM(J17:J18)</f>
        <v>280126</v>
      </c>
      <c r="K19" s="1688">
        <f>SUM(K17:K18)</f>
        <v>32259</v>
      </c>
      <c r="L19" s="347"/>
    </row>
    <row r="20" spans="1:12" ht="16.5" thickTop="1" thickBot="1" x14ac:dyDescent="0.25">
      <c r="A20" s="2135" t="s">
        <v>1655</v>
      </c>
      <c r="B20" s="2136"/>
      <c r="C20" s="1746">
        <f>C8-C17</f>
        <v>76394</v>
      </c>
      <c r="D20" s="1746">
        <f t="shared" ref="D20:K20" si="5">D8-D17</f>
        <v>122021</v>
      </c>
      <c r="E20" s="1746">
        <f t="shared" si="5"/>
        <v>0</v>
      </c>
      <c r="F20" s="1746">
        <f t="shared" si="5"/>
        <v>-30356</v>
      </c>
      <c r="G20" s="1746">
        <f t="shared" si="5"/>
        <v>-29339</v>
      </c>
      <c r="H20" s="1746">
        <f t="shared" si="5"/>
        <v>26</v>
      </c>
      <c r="I20" s="1746">
        <f t="shared" si="5"/>
        <v>74139</v>
      </c>
      <c r="J20" s="1746">
        <f t="shared" si="5"/>
        <v>47767</v>
      </c>
      <c r="K20" s="1746">
        <f t="shared" si="5"/>
        <v>43973</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v>1523</v>
      </c>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703">
        <f>SUM(C24:C43)</f>
        <v>0</v>
      </c>
      <c r="D44" s="1703">
        <f t="shared" ref="D44:K44" si="6">SUM(D24:D43)</f>
        <v>0</v>
      </c>
      <c r="E44" s="1703">
        <f t="shared" si="6"/>
        <v>0</v>
      </c>
      <c r="F44" s="1703">
        <f t="shared" si="6"/>
        <v>1523</v>
      </c>
      <c r="G44" s="1703">
        <f t="shared" si="6"/>
        <v>0</v>
      </c>
      <c r="H44" s="1703">
        <f t="shared" si="6"/>
        <v>0</v>
      </c>
      <c r="I44" s="1703">
        <f t="shared" si="6"/>
        <v>0</v>
      </c>
      <c r="J44" s="1703">
        <f t="shared" si="6"/>
        <v>0</v>
      </c>
      <c r="K44" s="1703">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7" t="s">
        <v>1177</v>
      </c>
      <c r="B77" s="2128"/>
      <c r="C77" s="1703">
        <f t="shared" ref="C77:K77" si="8">C44-C76</f>
        <v>0</v>
      </c>
      <c r="D77" s="1703">
        <f t="shared" si="8"/>
        <v>0</v>
      </c>
      <c r="E77" s="1703">
        <f t="shared" si="8"/>
        <v>0</v>
      </c>
      <c r="F77" s="1703">
        <f t="shared" si="8"/>
        <v>1523</v>
      </c>
      <c r="G77" s="1703">
        <f t="shared" si="8"/>
        <v>0</v>
      </c>
      <c r="H77" s="1703">
        <f t="shared" si="8"/>
        <v>0</v>
      </c>
      <c r="I77" s="1703">
        <f t="shared" si="8"/>
        <v>0</v>
      </c>
      <c r="J77" s="1703">
        <f t="shared" si="8"/>
        <v>0</v>
      </c>
      <c r="K77" s="1703">
        <f t="shared" si="8"/>
        <v>0</v>
      </c>
      <c r="L77" s="347"/>
    </row>
    <row r="78" spans="1:12" ht="21.75" customHeight="1" thickTop="1" thickBot="1" x14ac:dyDescent="0.25">
      <c r="A78" s="2131" t="s">
        <v>597</v>
      </c>
      <c r="B78" s="2132"/>
      <c r="C78" s="1702">
        <f t="shared" ref="C78:K78" si="9">C20+C77</f>
        <v>76394</v>
      </c>
      <c r="D78" s="1702">
        <f t="shared" si="9"/>
        <v>122021</v>
      </c>
      <c r="E78" s="1702">
        <f t="shared" si="9"/>
        <v>0</v>
      </c>
      <c r="F78" s="1702">
        <f t="shared" si="9"/>
        <v>-28833</v>
      </c>
      <c r="G78" s="1702">
        <f t="shared" si="9"/>
        <v>-29339</v>
      </c>
      <c r="H78" s="1702">
        <f t="shared" si="9"/>
        <v>26</v>
      </c>
      <c r="I78" s="1702">
        <f t="shared" si="9"/>
        <v>74139</v>
      </c>
      <c r="J78" s="1702">
        <f t="shared" si="9"/>
        <v>47767</v>
      </c>
      <c r="K78" s="1702">
        <f t="shared" si="9"/>
        <v>43973</v>
      </c>
      <c r="L78" s="533"/>
    </row>
    <row r="79" spans="1:12" ht="13.5" thickTop="1" x14ac:dyDescent="0.2">
      <c r="A79" s="1494" t="s">
        <v>1949</v>
      </c>
      <c r="B79" s="534"/>
      <c r="C79" s="478">
        <v>1828919</v>
      </c>
      <c r="D79" s="535">
        <v>303690</v>
      </c>
      <c r="E79" s="535">
        <v>0</v>
      </c>
      <c r="F79" s="535">
        <v>415026</v>
      </c>
      <c r="G79" s="535">
        <v>261286</v>
      </c>
      <c r="H79" s="535">
        <v>4846</v>
      </c>
      <c r="I79" s="535">
        <v>270142</v>
      </c>
      <c r="J79" s="535">
        <v>424720</v>
      </c>
      <c r="K79" s="535">
        <v>534478</v>
      </c>
      <c r="L79" s="347"/>
    </row>
    <row r="80" spans="1:12" x14ac:dyDescent="0.2">
      <c r="A80" s="2137" t="s">
        <v>1795</v>
      </c>
      <c r="B80" s="2138"/>
      <c r="C80" s="467"/>
      <c r="D80" s="467"/>
      <c r="E80" s="467"/>
      <c r="F80" s="467"/>
      <c r="G80" s="467"/>
      <c r="H80" s="467"/>
      <c r="I80" s="467"/>
      <c r="J80" s="467"/>
      <c r="K80" s="467"/>
      <c r="L80" s="347"/>
    </row>
    <row r="81" spans="1:12" ht="13.5" thickBot="1" x14ac:dyDescent="0.25">
      <c r="A81" s="2129" t="s">
        <v>1950</v>
      </c>
      <c r="B81" s="2130"/>
      <c r="C81" s="1688">
        <f>(SUM(C78:C80))</f>
        <v>1905313</v>
      </c>
      <c r="D81" s="1688">
        <f>SUM(D78:D80)</f>
        <v>425711</v>
      </c>
      <c r="E81" s="1688">
        <f t="shared" ref="E81:K81" si="10">SUM(E78:E80)</f>
        <v>0</v>
      </c>
      <c r="F81" s="1688">
        <f t="shared" si="10"/>
        <v>386193</v>
      </c>
      <c r="G81" s="1688">
        <f t="shared" si="10"/>
        <v>231947</v>
      </c>
      <c r="H81" s="1688">
        <f t="shared" si="10"/>
        <v>4872</v>
      </c>
      <c r="I81" s="1688">
        <f t="shared" si="10"/>
        <v>344281</v>
      </c>
      <c r="J81" s="1688">
        <f t="shared" si="10"/>
        <v>472487</v>
      </c>
      <c r="K81" s="1688">
        <f t="shared" si="10"/>
        <v>578451</v>
      </c>
      <c r="L81" s="347"/>
    </row>
    <row r="82" spans="1:12" ht="0.75" customHeight="1" thickTop="1" thickBot="1" x14ac:dyDescent="0.25">
      <c r="A82" s="536" t="s">
        <v>343</v>
      </c>
      <c r="B82" s="537"/>
      <c r="C82" s="538">
        <f>(C81-C79)</f>
        <v>76394</v>
      </c>
      <c r="D82" s="538">
        <f t="shared" ref="D82:K82" si="11">(D81-D79)</f>
        <v>122021</v>
      </c>
      <c r="E82" s="538">
        <f t="shared" si="11"/>
        <v>0</v>
      </c>
      <c r="F82" s="538">
        <f t="shared" si="11"/>
        <v>-28833</v>
      </c>
      <c r="G82" s="538">
        <f t="shared" si="11"/>
        <v>-29339</v>
      </c>
      <c r="H82" s="538">
        <f t="shared" si="11"/>
        <v>26</v>
      </c>
      <c r="I82" s="538">
        <f t="shared" si="11"/>
        <v>74139</v>
      </c>
      <c r="J82" s="538">
        <f t="shared" si="11"/>
        <v>47767</v>
      </c>
      <c r="K82" s="538">
        <f t="shared" si="11"/>
        <v>43973</v>
      </c>
    </row>
    <row r="83" spans="1:12" ht="14.25" hidden="1" thickTop="1" thickBot="1" x14ac:dyDescent="0.25">
      <c r="A83" s="539" t="s">
        <v>344</v>
      </c>
      <c r="B83" s="464"/>
      <c r="C83" s="540">
        <f>C82/C81</f>
        <v>4.0095249441955208E-2</v>
      </c>
      <c r="D83" s="540">
        <f t="shared" ref="D83:K83" si="12">D82/D81</f>
        <v>0.28662872230221909</v>
      </c>
      <c r="E83" s="540" t="e">
        <f t="shared" si="12"/>
        <v>#DIV/0!</v>
      </c>
      <c r="F83" s="540">
        <f t="shared" si="12"/>
        <v>-7.4659561411004341E-2</v>
      </c>
      <c r="G83" s="540">
        <f t="shared" si="12"/>
        <v>-0.12649010334257396</v>
      </c>
      <c r="H83" s="540">
        <f t="shared" si="12"/>
        <v>5.3366174055829232E-3</v>
      </c>
      <c r="I83" s="540">
        <f t="shared" si="12"/>
        <v>0.21534444247576834</v>
      </c>
      <c r="J83" s="540">
        <f t="shared" si="12"/>
        <v>0.10109696139787973</v>
      </c>
      <c r="K83" s="540">
        <f t="shared" si="12"/>
        <v>7.6018539167535371E-2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&amp;F&amp;C&amp;"Franklin Gothic Demi,Regular"&amp;8The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1802</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1537630</v>
      </c>
      <c r="D5" s="481">
        <v>512544</v>
      </c>
      <c r="E5" s="466"/>
      <c r="F5" s="548">
        <v>175729</v>
      </c>
      <c r="G5" s="466"/>
      <c r="H5" s="466"/>
      <c r="I5" s="466">
        <v>73222</v>
      </c>
      <c r="J5" s="467">
        <v>325392</v>
      </c>
      <c r="K5" s="466">
        <v>73222</v>
      </c>
    </row>
    <row r="6" spans="1:12" ht="15" x14ac:dyDescent="0.2">
      <c r="A6" s="463" t="s">
        <v>1662</v>
      </c>
      <c r="B6" s="470">
        <v>1130</v>
      </c>
      <c r="C6" s="466">
        <v>73222</v>
      </c>
      <c r="D6" s="466"/>
      <c r="E6" s="475"/>
      <c r="F6" s="475"/>
      <c r="G6" s="468"/>
      <c r="H6" s="468"/>
      <c r="I6" s="468"/>
      <c r="J6" s="468"/>
      <c r="K6" s="468"/>
    </row>
    <row r="7" spans="1:12" x14ac:dyDescent="0.2">
      <c r="A7" s="463" t="s">
        <v>110</v>
      </c>
      <c r="B7" s="549">
        <v>1140</v>
      </c>
      <c r="C7" s="466">
        <v>29288</v>
      </c>
      <c r="D7" s="466"/>
      <c r="E7" s="468"/>
      <c r="F7" s="467"/>
      <c r="G7" s="467"/>
      <c r="H7" s="467"/>
      <c r="I7" s="468"/>
      <c r="J7" s="468"/>
      <c r="K7" s="468"/>
    </row>
    <row r="8" spans="1:12" x14ac:dyDescent="0.2">
      <c r="A8" s="463" t="s">
        <v>413</v>
      </c>
      <c r="B8" s="470">
        <v>1150</v>
      </c>
      <c r="C8" s="475"/>
      <c r="D8" s="475"/>
      <c r="E8" s="477"/>
      <c r="F8" s="477"/>
      <c r="G8" s="481">
        <v>70084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1640140</v>
      </c>
      <c r="D12" s="1707">
        <f t="shared" si="0"/>
        <v>512544</v>
      </c>
      <c r="E12" s="1707">
        <f t="shared" si="0"/>
        <v>0</v>
      </c>
      <c r="F12" s="1707">
        <f t="shared" si="0"/>
        <v>175729</v>
      </c>
      <c r="G12" s="1707">
        <f t="shared" si="0"/>
        <v>70084</v>
      </c>
      <c r="H12" s="1707">
        <f t="shared" si="0"/>
        <v>0</v>
      </c>
      <c r="I12" s="1707">
        <f t="shared" si="0"/>
        <v>73222</v>
      </c>
      <c r="J12" s="1707">
        <f t="shared" si="0"/>
        <v>325392</v>
      </c>
      <c r="K12" s="1688">
        <f t="shared" si="0"/>
        <v>73222</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18929</v>
      </c>
      <c r="D65" s="466">
        <v>3827</v>
      </c>
      <c r="E65" s="466"/>
      <c r="F65" s="467">
        <v>2126</v>
      </c>
      <c r="G65" s="466">
        <v>1393</v>
      </c>
      <c r="H65" s="466">
        <v>26</v>
      </c>
      <c r="I65" s="466">
        <v>917</v>
      </c>
      <c r="J65" s="467">
        <v>2501</v>
      </c>
      <c r="K65" s="466">
        <v>3010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18929</v>
      </c>
      <c r="D67" s="1688">
        <f t="shared" ref="D67:K67" si="2">SUM(D65:D66)</f>
        <v>3827</v>
      </c>
      <c r="E67" s="1688">
        <f t="shared" si="2"/>
        <v>0</v>
      </c>
      <c r="F67" s="1688">
        <f t="shared" si="2"/>
        <v>2126</v>
      </c>
      <c r="G67" s="1688">
        <f t="shared" si="2"/>
        <v>1393</v>
      </c>
      <c r="H67" s="1688">
        <f t="shared" si="2"/>
        <v>26</v>
      </c>
      <c r="I67" s="1688">
        <f t="shared" si="2"/>
        <v>917</v>
      </c>
      <c r="J67" s="1688">
        <f t="shared" si="2"/>
        <v>2501</v>
      </c>
      <c r="K67" s="1688">
        <f t="shared" si="2"/>
        <v>3010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15016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1115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16131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18453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18453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24488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676</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25164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18262</v>
      </c>
      <c r="E95" s="521"/>
      <c r="F95" s="521"/>
      <c r="G95" s="521"/>
      <c r="H95" s="521"/>
      <c r="I95" s="521"/>
      <c r="J95" s="521"/>
      <c r="K95" s="521"/>
    </row>
    <row r="96" spans="1:11" ht="12.75" customHeight="1" x14ac:dyDescent="0.2">
      <c r="A96" s="463" t="s">
        <v>391</v>
      </c>
      <c r="B96" s="470">
        <v>1920</v>
      </c>
      <c r="C96" s="551">
        <v>2597</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7673</v>
      </c>
      <c r="D99" s="466"/>
      <c r="E99" s="466"/>
      <c r="F99" s="466"/>
      <c r="G99" s="466"/>
      <c r="H99" s="466"/>
      <c r="I99" s="468"/>
      <c r="J99" s="467"/>
      <c r="K99" s="466"/>
    </row>
    <row r="100" spans="1:12" ht="12.75" customHeight="1" x14ac:dyDescent="0.2">
      <c r="A100" s="463" t="s">
        <v>245</v>
      </c>
      <c r="B100" s="470">
        <v>1960</v>
      </c>
      <c r="C100" s="489">
        <v>37925</v>
      </c>
      <c r="D100" s="489"/>
      <c r="E100" s="489"/>
      <c r="F100" s="489"/>
      <c r="G100" s="489"/>
      <c r="H100" s="489"/>
      <c r="I100" s="467"/>
      <c r="J100" s="489"/>
      <c r="K100" s="467"/>
    </row>
    <row r="101" spans="1:12" ht="12.75" customHeight="1" x14ac:dyDescent="0.2">
      <c r="A101" s="463" t="s">
        <v>246</v>
      </c>
      <c r="B101" s="470">
        <v>1970</v>
      </c>
      <c r="C101" s="489">
        <v>4175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700</v>
      </c>
      <c r="D104" s="466">
        <v>21500</v>
      </c>
      <c r="E104" s="481"/>
      <c r="F104" s="467">
        <v>17211</v>
      </c>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3826</v>
      </c>
      <c r="D107" s="466">
        <v>4188</v>
      </c>
      <c r="E107" s="466"/>
      <c r="F107" s="466"/>
      <c r="G107" s="466"/>
      <c r="H107" s="466"/>
      <c r="I107" s="466"/>
      <c r="J107" s="467"/>
      <c r="K107" s="466"/>
    </row>
    <row r="108" spans="1:12" ht="12.75" customHeight="1" thickBot="1" x14ac:dyDescent="0.25">
      <c r="A108" s="1708" t="s">
        <v>487</v>
      </c>
      <c r="B108" s="1712"/>
      <c r="C108" s="1707">
        <f>SUM(C95:C107)</f>
        <v>56896</v>
      </c>
      <c r="D108" s="1707">
        <f t="shared" ref="D108:K108" si="3">SUM(D95:D107)</f>
        <v>43950</v>
      </c>
      <c r="E108" s="1707">
        <f t="shared" si="3"/>
        <v>0</v>
      </c>
      <c r="F108" s="1707">
        <f t="shared" si="3"/>
        <v>17211</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1775713</v>
      </c>
      <c r="D109" s="1715">
        <f t="shared" si="4"/>
        <v>560321</v>
      </c>
      <c r="E109" s="1715">
        <f t="shared" si="4"/>
        <v>0</v>
      </c>
      <c r="F109" s="1715">
        <f t="shared" si="4"/>
        <v>195066</v>
      </c>
      <c r="G109" s="1715">
        <f t="shared" si="4"/>
        <v>71477</v>
      </c>
      <c r="H109" s="1715">
        <f t="shared" si="4"/>
        <v>26</v>
      </c>
      <c r="I109" s="1715">
        <f t="shared" si="4"/>
        <v>74139</v>
      </c>
      <c r="J109" s="1715">
        <f t="shared" si="4"/>
        <v>327893</v>
      </c>
      <c r="K109" s="1702">
        <f t="shared" si="4"/>
        <v>76232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1151590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1151590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121451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121451</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81566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7307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88873</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657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14427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124171</v>
      </c>
      <c r="G152" s="467"/>
      <c r="H152" s="468"/>
      <c r="I152" s="468"/>
      <c r="J152" s="468"/>
      <c r="K152" s="468"/>
    </row>
    <row r="153" spans="1:11" ht="12.75" customHeight="1" x14ac:dyDescent="0.2">
      <c r="A153" s="463" t="s">
        <v>1057</v>
      </c>
      <c r="B153" s="562">
        <v>3510</v>
      </c>
      <c r="C153" s="551"/>
      <c r="D153" s="466"/>
      <c r="E153" s="561"/>
      <c r="F153" s="466">
        <v>37091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161262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1662</v>
      </c>
      <c r="D168" s="580"/>
      <c r="E168" s="580"/>
      <c r="F168" s="580"/>
      <c r="G168" s="581"/>
      <c r="H168" s="582"/>
      <c r="I168" s="581"/>
      <c r="J168" s="581"/>
      <c r="K168" s="582"/>
    </row>
    <row r="169" spans="1:11" ht="12.75" customHeight="1" thickTop="1" thickBot="1" x14ac:dyDescent="0.25">
      <c r="A169" s="2153" t="s">
        <v>398</v>
      </c>
      <c r="B169" s="2154"/>
      <c r="C169" s="1722">
        <f t="shared" ref="C169:K169" si="6">SUM(C132,C141,C145,C146:C150,C155,C156:C167,C168)</f>
        <v>227070</v>
      </c>
      <c r="D169" s="1722">
        <f t="shared" si="6"/>
        <v>0</v>
      </c>
      <c r="E169" s="1722">
        <f t="shared" si="6"/>
        <v>0</v>
      </c>
      <c r="F169" s="1722">
        <f t="shared" si="6"/>
        <v>161262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1378660</v>
      </c>
      <c r="D170" s="1715">
        <f t="shared" si="7"/>
        <v>0</v>
      </c>
      <c r="E170" s="1715">
        <f t="shared" si="7"/>
        <v>0</v>
      </c>
      <c r="F170" s="1715">
        <f t="shared" si="7"/>
        <v>161262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1492</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1665</v>
      </c>
      <c r="B175" s="216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3" t="s">
        <v>1664</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7" t="s">
        <v>1803</v>
      </c>
      <c r="B182" s="215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26220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7517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33737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119393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119393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3998</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157177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157177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3311550</v>
      </c>
      <c r="D268" s="1715">
        <f t="shared" si="12"/>
        <v>560321</v>
      </c>
      <c r="E268" s="1715">
        <f t="shared" si="12"/>
        <v>0</v>
      </c>
      <c r="F268" s="1715">
        <f t="shared" si="12"/>
        <v>356328</v>
      </c>
      <c r="G268" s="1715">
        <f t="shared" si="12"/>
        <v>71477</v>
      </c>
      <c r="H268" s="1715">
        <f t="shared" si="12"/>
        <v>26</v>
      </c>
      <c r="I268" s="1715">
        <f t="shared" si="12"/>
        <v>74139</v>
      </c>
      <c r="J268" s="1715">
        <f t="shared" si="12"/>
        <v>327893</v>
      </c>
      <c r="K268" s="1702">
        <f t="shared" si="12"/>
        <v>76232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&amp;F&amp;C&amp;"Franklin Gothic Book,Regular"&amp;8The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369" activePane="bottomLeft" state="frozen"/>
      <selection pane="bottomLeft" activeCell="Q63" sqref="Q6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977545</v>
      </c>
      <c r="D5" s="466">
        <v>288145</v>
      </c>
      <c r="E5" s="466">
        <v>18916</v>
      </c>
      <c r="F5" s="466">
        <v>28993</v>
      </c>
      <c r="G5" s="466">
        <v>6127</v>
      </c>
      <c r="H5" s="466">
        <v>848</v>
      </c>
      <c r="I5" s="467"/>
      <c r="J5" s="467"/>
      <c r="K5" s="1671">
        <f>SUM(C5:J5)</f>
        <v>1320574</v>
      </c>
      <c r="L5" s="466">
        <v>1401497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141734</v>
      </c>
      <c r="D8" s="466">
        <v>48294</v>
      </c>
      <c r="E8" s="466">
        <v>915</v>
      </c>
      <c r="F8" s="466">
        <v>156</v>
      </c>
      <c r="G8" s="466"/>
      <c r="H8" s="466"/>
      <c r="I8" s="467"/>
      <c r="J8" s="467"/>
      <c r="K8" s="1671">
        <f t="shared" si="0"/>
        <v>191099</v>
      </c>
      <c r="L8" s="466">
        <v>200945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66254</v>
      </c>
      <c r="D10" s="466">
        <v>20</v>
      </c>
      <c r="E10" s="466">
        <v>26093</v>
      </c>
      <c r="F10" s="466">
        <v>84</v>
      </c>
      <c r="G10" s="466">
        <v>33424</v>
      </c>
      <c r="H10" s="466"/>
      <c r="I10" s="467"/>
      <c r="J10" s="467"/>
      <c r="K10" s="1671">
        <f t="shared" si="0"/>
        <v>125875</v>
      </c>
      <c r="L10" s="466">
        <v>127418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175736</v>
      </c>
      <c r="D13" s="466">
        <v>52347</v>
      </c>
      <c r="E13" s="466">
        <v>3224</v>
      </c>
      <c r="F13" s="466">
        <v>26576</v>
      </c>
      <c r="G13" s="466">
        <v>69582</v>
      </c>
      <c r="H13" s="466"/>
      <c r="I13" s="467"/>
      <c r="J13" s="467"/>
      <c r="K13" s="1671">
        <f t="shared" si="0"/>
        <v>327465</v>
      </c>
      <c r="L13" s="466">
        <v>341545</v>
      </c>
    </row>
    <row r="14" spans="1:14" x14ac:dyDescent="0.2">
      <c r="A14" s="1504" t="s">
        <v>963</v>
      </c>
      <c r="B14" s="614">
        <v>1500</v>
      </c>
      <c r="C14" s="466">
        <v>114772</v>
      </c>
      <c r="D14" s="466">
        <v>8148</v>
      </c>
      <c r="E14" s="466">
        <v>29138</v>
      </c>
      <c r="F14" s="466">
        <v>41912</v>
      </c>
      <c r="G14" s="466">
        <v>3588</v>
      </c>
      <c r="H14" s="466">
        <v>8677</v>
      </c>
      <c r="I14" s="467"/>
      <c r="J14" s="467"/>
      <c r="K14" s="1671">
        <f t="shared" si="0"/>
        <v>206235</v>
      </c>
      <c r="L14" s="466">
        <v>207328</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45902</v>
      </c>
      <c r="D17" s="467">
        <v>15587</v>
      </c>
      <c r="E17" s="467">
        <v>2085</v>
      </c>
      <c r="F17" s="467">
        <v>1623</v>
      </c>
      <c r="G17" s="467"/>
      <c r="H17" s="467"/>
      <c r="I17" s="467"/>
      <c r="J17" s="467"/>
      <c r="K17" s="1671">
        <f t="shared" si="0"/>
        <v>65197</v>
      </c>
      <c r="L17" s="466">
        <v>65972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9175</v>
      </c>
      <c r="I22" s="616"/>
      <c r="J22" s="477"/>
      <c r="K22" s="1671">
        <f t="shared" si="0"/>
        <v>9175</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1521943</v>
      </c>
      <c r="D33" s="1670">
        <f t="shared" ref="D33:L33" si="1">SUM(D5:D32)</f>
        <v>412541</v>
      </c>
      <c r="E33" s="1670">
        <f t="shared" si="1"/>
        <v>80371</v>
      </c>
      <c r="F33" s="1670">
        <f t="shared" si="1"/>
        <v>99344</v>
      </c>
      <c r="G33" s="1670">
        <f t="shared" si="1"/>
        <v>112721</v>
      </c>
      <c r="H33" s="1670">
        <f t="shared" si="1"/>
        <v>18700</v>
      </c>
      <c r="I33" s="1670">
        <f t="shared" si="1"/>
        <v>0</v>
      </c>
      <c r="J33" s="1670">
        <f t="shared" si="1"/>
        <v>0</v>
      </c>
      <c r="K33" s="1670">
        <f t="shared" si="1"/>
        <v>2245620</v>
      </c>
      <c r="L33" s="1670">
        <f t="shared" si="1"/>
        <v>2344705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56477</v>
      </c>
      <c r="D37" s="466">
        <v>16900</v>
      </c>
      <c r="E37" s="466">
        <v>116</v>
      </c>
      <c r="F37" s="466">
        <v>143</v>
      </c>
      <c r="G37" s="466"/>
      <c r="H37" s="466"/>
      <c r="I37" s="467"/>
      <c r="J37" s="467"/>
      <c r="K37" s="1671">
        <f t="shared" si="2"/>
        <v>73636</v>
      </c>
      <c r="L37" s="466">
        <v>74168</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v>284</v>
      </c>
      <c r="G39" s="466"/>
      <c r="H39" s="466"/>
      <c r="I39" s="467"/>
      <c r="J39" s="467"/>
      <c r="K39" s="1671">
        <f t="shared" si="2"/>
        <v>284</v>
      </c>
      <c r="L39" s="466">
        <v>52212</v>
      </c>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56477</v>
      </c>
      <c r="D42" s="1670">
        <f t="shared" ref="D42:L42" si="3">SUM(D36:D41)</f>
        <v>16900</v>
      </c>
      <c r="E42" s="1670">
        <f t="shared" si="3"/>
        <v>116</v>
      </c>
      <c r="F42" s="1670">
        <f t="shared" si="3"/>
        <v>427</v>
      </c>
      <c r="G42" s="1670">
        <f t="shared" si="3"/>
        <v>0</v>
      </c>
      <c r="H42" s="1670">
        <f t="shared" si="3"/>
        <v>0</v>
      </c>
      <c r="I42" s="1670">
        <f t="shared" si="3"/>
        <v>0</v>
      </c>
      <c r="J42" s="1670">
        <f t="shared" si="3"/>
        <v>0</v>
      </c>
      <c r="K42" s="1670">
        <f t="shared" si="3"/>
        <v>73920</v>
      </c>
      <c r="L42" s="1670">
        <f t="shared" si="3"/>
        <v>126380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49</v>
      </c>
      <c r="F44" s="481"/>
      <c r="G44" s="481"/>
      <c r="H44" s="481"/>
      <c r="I44" s="467"/>
      <c r="J44" s="467"/>
      <c r="K44" s="1672">
        <f>SUM(C44:J44)</f>
        <v>49</v>
      </c>
      <c r="L44" s="481">
        <v>50</v>
      </c>
    </row>
    <row r="45" spans="1:14" x14ac:dyDescent="0.2">
      <c r="A45" s="1504" t="s">
        <v>815</v>
      </c>
      <c r="B45" s="614">
        <v>2220</v>
      </c>
      <c r="C45" s="466"/>
      <c r="D45" s="466"/>
      <c r="E45" s="466"/>
      <c r="F45" s="466"/>
      <c r="G45" s="466"/>
      <c r="H45" s="466"/>
      <c r="I45" s="467"/>
      <c r="J45" s="467"/>
      <c r="K45" s="1672">
        <f>SUM(C45:J45)</f>
        <v>0</v>
      </c>
      <c r="L45" s="466">
        <v>200</v>
      </c>
    </row>
    <row r="46" spans="1:14" x14ac:dyDescent="0.2">
      <c r="A46" s="1504" t="s">
        <v>816</v>
      </c>
      <c r="B46" s="614">
        <v>2230</v>
      </c>
      <c r="C46" s="466"/>
      <c r="D46" s="466"/>
      <c r="E46" s="466">
        <v>703</v>
      </c>
      <c r="F46" s="466"/>
      <c r="G46" s="466"/>
      <c r="H46" s="466"/>
      <c r="I46" s="467"/>
      <c r="J46" s="467"/>
      <c r="K46" s="1672">
        <f>SUM(C46:J46)</f>
        <v>703</v>
      </c>
      <c r="L46" s="466">
        <v>705</v>
      </c>
    </row>
    <row r="47" spans="1:14" ht="12.75" customHeight="1" thickBot="1" x14ac:dyDescent="0.25">
      <c r="A47" s="1668" t="s">
        <v>561</v>
      </c>
      <c r="B47" s="1669" t="s">
        <v>32</v>
      </c>
      <c r="C47" s="1670">
        <f>SUM(C44:C46)</f>
        <v>0</v>
      </c>
      <c r="D47" s="1670">
        <f t="shared" ref="D47:K47" si="4">SUM(D44:D46)</f>
        <v>0</v>
      </c>
      <c r="E47" s="1670">
        <f t="shared" si="4"/>
        <v>752</v>
      </c>
      <c r="F47" s="1670">
        <f t="shared" si="4"/>
        <v>0</v>
      </c>
      <c r="G47" s="1670">
        <f t="shared" si="4"/>
        <v>0</v>
      </c>
      <c r="H47" s="1670">
        <f t="shared" si="4"/>
        <v>0</v>
      </c>
      <c r="I47" s="1670">
        <f t="shared" si="4"/>
        <v>0</v>
      </c>
      <c r="J47" s="1670">
        <f t="shared" si="4"/>
        <v>0</v>
      </c>
      <c r="K47" s="1670">
        <f t="shared" si="4"/>
        <v>752</v>
      </c>
      <c r="L47" s="1670">
        <f>SUM(L44:L46)</f>
        <v>955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11207</v>
      </c>
      <c r="F49" s="481">
        <v>7212</v>
      </c>
      <c r="G49" s="481"/>
      <c r="H49" s="481">
        <v>5078</v>
      </c>
      <c r="I49" s="467"/>
      <c r="J49" s="467"/>
      <c r="K49" s="1672">
        <f>SUM(C49:J49)</f>
        <v>23497</v>
      </c>
      <c r="L49" s="481">
        <v>25500</v>
      </c>
    </row>
    <row r="50" spans="1:14" x14ac:dyDescent="0.2">
      <c r="A50" s="1504" t="s">
        <v>818</v>
      </c>
      <c r="B50" s="614">
        <v>2320</v>
      </c>
      <c r="C50" s="466">
        <v>107738</v>
      </c>
      <c r="D50" s="466">
        <v>31754</v>
      </c>
      <c r="E50" s="466">
        <v>2710</v>
      </c>
      <c r="F50" s="466">
        <v>923</v>
      </c>
      <c r="G50" s="466">
        <v>1268</v>
      </c>
      <c r="H50" s="466">
        <v>1310</v>
      </c>
      <c r="I50" s="467"/>
      <c r="J50" s="467"/>
      <c r="K50" s="1672">
        <f>SUM(C50:J50)</f>
        <v>145703</v>
      </c>
      <c r="L50" s="466">
        <v>148153</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107738</v>
      </c>
      <c r="D53" s="1670">
        <f t="shared" ref="D53:L53" si="5">SUM(D49:D52)</f>
        <v>31754</v>
      </c>
      <c r="E53" s="1670">
        <f t="shared" si="5"/>
        <v>13917</v>
      </c>
      <c r="F53" s="1670">
        <f t="shared" si="5"/>
        <v>8135</v>
      </c>
      <c r="G53" s="1670">
        <f t="shared" si="5"/>
        <v>1268</v>
      </c>
      <c r="H53" s="1670">
        <f t="shared" si="5"/>
        <v>6388</v>
      </c>
      <c r="I53" s="1670">
        <f t="shared" si="5"/>
        <v>0</v>
      </c>
      <c r="J53" s="1670">
        <f t="shared" si="5"/>
        <v>0</v>
      </c>
      <c r="K53" s="1670">
        <f t="shared" si="5"/>
        <v>169200</v>
      </c>
      <c r="L53" s="1670">
        <f t="shared" si="5"/>
        <v>173653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165093</v>
      </c>
      <c r="D55" s="481">
        <v>56152</v>
      </c>
      <c r="E55" s="481">
        <v>1205</v>
      </c>
      <c r="F55" s="481">
        <v>501</v>
      </c>
      <c r="G55" s="481"/>
      <c r="H55" s="481">
        <v>675</v>
      </c>
      <c r="I55" s="467"/>
      <c r="J55" s="467"/>
      <c r="K55" s="1672">
        <f>SUM(C55:J55)</f>
        <v>223626</v>
      </c>
      <c r="L55" s="481">
        <v>239241</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165093</v>
      </c>
      <c r="D57" s="1674">
        <f t="shared" ref="D57:K57" si="6">SUM(D55:D56)</f>
        <v>56152</v>
      </c>
      <c r="E57" s="1674">
        <f t="shared" si="6"/>
        <v>1205</v>
      </c>
      <c r="F57" s="1674">
        <f t="shared" si="6"/>
        <v>501</v>
      </c>
      <c r="G57" s="1674">
        <f t="shared" si="6"/>
        <v>0</v>
      </c>
      <c r="H57" s="1674">
        <f t="shared" si="6"/>
        <v>675</v>
      </c>
      <c r="I57" s="1674">
        <f t="shared" si="6"/>
        <v>0</v>
      </c>
      <c r="J57" s="1674">
        <f t="shared" si="6"/>
        <v>0</v>
      </c>
      <c r="K57" s="1674">
        <f t="shared" si="6"/>
        <v>223626</v>
      </c>
      <c r="L57" s="1670">
        <f>SUM(L55:L56)</f>
        <v>239241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36538</v>
      </c>
      <c r="D60" s="466">
        <v>9647</v>
      </c>
      <c r="E60" s="466">
        <v>159</v>
      </c>
      <c r="F60" s="466">
        <v>1026</v>
      </c>
      <c r="G60" s="466"/>
      <c r="H60" s="466">
        <v>2249</v>
      </c>
      <c r="I60" s="467"/>
      <c r="J60" s="467"/>
      <c r="K60" s="1672">
        <f t="shared" si="7"/>
        <v>49619</v>
      </c>
      <c r="L60" s="466">
        <v>50096</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v>65000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36538</v>
      </c>
      <c r="D65" s="1670">
        <f t="shared" ref="D65:L65" si="8">SUM(D59:D64)</f>
        <v>9647</v>
      </c>
      <c r="E65" s="1670">
        <f t="shared" si="8"/>
        <v>159</v>
      </c>
      <c r="F65" s="1670">
        <f t="shared" si="8"/>
        <v>1026</v>
      </c>
      <c r="G65" s="1670">
        <f t="shared" si="8"/>
        <v>0</v>
      </c>
      <c r="H65" s="1670">
        <f t="shared" si="8"/>
        <v>2249</v>
      </c>
      <c r="I65" s="1670">
        <f t="shared" si="8"/>
        <v>0</v>
      </c>
      <c r="J65" s="1670">
        <f t="shared" si="8"/>
        <v>0</v>
      </c>
      <c r="K65" s="1670">
        <f t="shared" si="8"/>
        <v>49619</v>
      </c>
      <c r="L65" s="1670">
        <f t="shared" si="8"/>
        <v>115096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41080</v>
      </c>
      <c r="D71" s="466">
        <v>7717</v>
      </c>
      <c r="E71" s="466">
        <v>15926</v>
      </c>
      <c r="F71" s="466">
        <v>8665</v>
      </c>
      <c r="G71" s="466">
        <v>34452</v>
      </c>
      <c r="H71" s="466"/>
      <c r="I71" s="467"/>
      <c r="J71" s="467"/>
      <c r="K71" s="1672">
        <f>SUM(C71:J71)</f>
        <v>107840</v>
      </c>
      <c r="L71" s="466">
        <v>124891</v>
      </c>
      <c r="M71" s="609"/>
      <c r="N71" s="609"/>
    </row>
    <row r="72" spans="1:14" s="343" customFormat="1" ht="12.75" customHeight="1" thickBot="1" x14ac:dyDescent="0.25">
      <c r="A72" s="1668" t="s">
        <v>37</v>
      </c>
      <c r="B72" s="1675" t="s">
        <v>36</v>
      </c>
      <c r="C72" s="1670">
        <f>SUM(C67:C71)</f>
        <v>41080</v>
      </c>
      <c r="D72" s="1670">
        <f t="shared" ref="D72:K72" si="9">SUM(D67:D71)</f>
        <v>7717</v>
      </c>
      <c r="E72" s="1670">
        <f t="shared" si="9"/>
        <v>15926</v>
      </c>
      <c r="F72" s="1670">
        <f t="shared" si="9"/>
        <v>8665</v>
      </c>
      <c r="G72" s="1670">
        <f t="shared" si="9"/>
        <v>34452</v>
      </c>
      <c r="H72" s="1670">
        <f t="shared" si="9"/>
        <v>0</v>
      </c>
      <c r="I72" s="1670">
        <f t="shared" si="9"/>
        <v>0</v>
      </c>
      <c r="J72" s="1670">
        <f t="shared" si="9"/>
        <v>0</v>
      </c>
      <c r="K72" s="1670">
        <f t="shared" si="9"/>
        <v>107840</v>
      </c>
      <c r="L72" s="1670">
        <f>SUM(L67:L71)</f>
        <v>124891</v>
      </c>
      <c r="M72" s="609"/>
      <c r="N72" s="609"/>
    </row>
    <row r="73" spans="1:14" s="343" customFormat="1" ht="14.25" thickTop="1" thickBot="1" x14ac:dyDescent="0.25">
      <c r="A73" s="1510" t="s">
        <v>980</v>
      </c>
      <c r="B73" s="632" t="s">
        <v>574</v>
      </c>
      <c r="C73" s="573"/>
      <c r="D73" s="573"/>
      <c r="E73" s="573">
        <v>19995</v>
      </c>
      <c r="F73" s="573"/>
      <c r="G73" s="573"/>
      <c r="H73" s="573"/>
      <c r="I73" s="531"/>
      <c r="J73" s="531"/>
      <c r="K73" s="1670">
        <f>SUM(C73:J73)</f>
        <v>19995</v>
      </c>
      <c r="L73" s="576">
        <v>33500</v>
      </c>
      <c r="M73" s="609"/>
      <c r="N73" s="609"/>
    </row>
    <row r="74" spans="1:14" ht="12.75" customHeight="1" thickTop="1" thickBot="1" x14ac:dyDescent="0.25">
      <c r="A74" s="1668" t="s">
        <v>811</v>
      </c>
      <c r="B74" s="1676">
        <v>2000</v>
      </c>
      <c r="C74" s="1677">
        <f>SUM(C42,C47,C53,C57,C65,C72,C73)</f>
        <v>406926</v>
      </c>
      <c r="D74" s="1677">
        <f t="shared" ref="D74:K74" si="10">SUM(D42,D47,D53,D57,D65,D72,D73)</f>
        <v>122170</v>
      </c>
      <c r="E74" s="1677">
        <f t="shared" si="10"/>
        <v>52070</v>
      </c>
      <c r="F74" s="1677">
        <f t="shared" si="10"/>
        <v>18754</v>
      </c>
      <c r="G74" s="1677">
        <f t="shared" si="10"/>
        <v>35720</v>
      </c>
      <c r="H74" s="1677">
        <f t="shared" si="10"/>
        <v>9312</v>
      </c>
      <c r="I74" s="1677">
        <f t="shared" si="10"/>
        <v>0</v>
      </c>
      <c r="J74" s="1677">
        <f t="shared" si="10"/>
        <v>0</v>
      </c>
      <c r="K74" s="1677">
        <f t="shared" si="10"/>
        <v>644952</v>
      </c>
      <c r="L74" s="1677">
        <f>SUM(L42,L47,L53,L57,L65,L72,L73)</f>
        <v>813716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146955</v>
      </c>
      <c r="F79" s="616"/>
      <c r="G79" s="616"/>
      <c r="H79" s="466">
        <v>5614</v>
      </c>
      <c r="I79" s="477"/>
      <c r="J79" s="477"/>
      <c r="K79" s="1671">
        <f t="shared" si="11"/>
        <v>152569</v>
      </c>
      <c r="L79" s="466">
        <v>331319</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2500</v>
      </c>
      <c r="I81" s="477"/>
      <c r="J81" s="477"/>
      <c r="K81" s="1671">
        <f t="shared" si="11"/>
        <v>2500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60308</v>
      </c>
      <c r="F83" s="616"/>
      <c r="G83" s="616"/>
      <c r="H83" s="466"/>
      <c r="I83" s="477"/>
      <c r="J83" s="477"/>
      <c r="K83" s="1671">
        <f t="shared" si="11"/>
        <v>60308</v>
      </c>
      <c r="L83" s="466"/>
    </row>
    <row r="84" spans="1:12" ht="13.5" thickBot="1" x14ac:dyDescent="0.25">
      <c r="A84" s="1668" t="s">
        <v>1485</v>
      </c>
      <c r="B84" s="1678">
        <v>4100</v>
      </c>
      <c r="C84" s="616"/>
      <c r="D84" s="616"/>
      <c r="E84" s="1670">
        <f>SUM(E78:E83)</f>
        <v>207263</v>
      </c>
      <c r="F84" s="616"/>
      <c r="G84" s="616"/>
      <c r="H84" s="1670">
        <f>SUM(H78:H83)</f>
        <v>8114</v>
      </c>
      <c r="I84" s="477"/>
      <c r="J84" s="477"/>
      <c r="K84" s="1670">
        <f>SUM(K78:K83)</f>
        <v>215377</v>
      </c>
      <c r="L84" s="1670">
        <f>SUM(L78:L83)</f>
        <v>331319</v>
      </c>
    </row>
    <row r="85" spans="1:12" ht="12.75" customHeight="1" thickTop="1" thickBot="1" x14ac:dyDescent="0.25">
      <c r="A85" s="1511" t="s">
        <v>255</v>
      </c>
      <c r="B85" s="635">
        <v>4210</v>
      </c>
      <c r="C85" s="616"/>
      <c r="D85" s="616"/>
      <c r="E85" s="636"/>
      <c r="F85" s="616"/>
      <c r="G85" s="616"/>
      <c r="H85" s="535"/>
      <c r="I85" s="477"/>
      <c r="J85" s="477"/>
      <c r="K85" s="1677">
        <f>H85</f>
        <v>0</v>
      </c>
      <c r="L85" s="530">
        <v>2500</v>
      </c>
    </row>
    <row r="86" spans="1:12" ht="12.75" customHeight="1" thickTop="1" thickBot="1" x14ac:dyDescent="0.25">
      <c r="A86" s="1512" t="s">
        <v>699</v>
      </c>
      <c r="B86" s="637">
        <v>4220</v>
      </c>
      <c r="C86" s="616"/>
      <c r="D86" s="616"/>
      <c r="E86" s="638"/>
      <c r="F86" s="616"/>
      <c r="G86" s="616"/>
      <c r="H86" s="467">
        <v>129207</v>
      </c>
      <c r="I86" s="477"/>
      <c r="J86" s="477"/>
      <c r="K86" s="1677">
        <f t="shared" ref="K86:K98" si="12">H86</f>
        <v>129207</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129207</v>
      </c>
      <c r="I92" s="477"/>
      <c r="J92" s="477"/>
      <c r="K92" s="1677">
        <f t="shared" si="12"/>
        <v>129207</v>
      </c>
      <c r="L92" s="1670">
        <f>SUM(L85:L91)</f>
        <v>2500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207263</v>
      </c>
      <c r="F102" s="616"/>
      <c r="G102" s="616"/>
      <c r="H102" s="1677">
        <f>SUM(H84,H92,H100,H101)</f>
        <v>137321</v>
      </c>
      <c r="I102" s="477"/>
      <c r="J102" s="477"/>
      <c r="K102" s="1677">
        <f>SUM(K84,K92,K100,K101)</f>
        <v>344584</v>
      </c>
      <c r="L102" s="1677">
        <f>SUM(L84,L92,L100,L101)</f>
        <v>333819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1928869</v>
      </c>
      <c r="D114" s="1670">
        <f t="shared" ref="D114:K114" si="13">SUM(D33,D74,D75,D102,D112,D113)</f>
        <v>534711</v>
      </c>
      <c r="E114" s="1670">
        <f t="shared" si="13"/>
        <v>339704</v>
      </c>
      <c r="F114" s="1670">
        <f t="shared" si="13"/>
        <v>118098</v>
      </c>
      <c r="G114" s="1670">
        <f t="shared" si="13"/>
        <v>148441</v>
      </c>
      <c r="H114" s="1670">
        <f>SUM(H33,H74,H75,H102,H112,H113)</f>
        <v>165333</v>
      </c>
      <c r="I114" s="1670">
        <f t="shared" si="13"/>
        <v>0</v>
      </c>
      <c r="J114" s="1670">
        <f t="shared" si="13"/>
        <v>0</v>
      </c>
      <c r="K114" s="1670">
        <f t="shared" si="13"/>
        <v>3235156</v>
      </c>
      <c r="L114" s="1670">
        <f>SUM(L33,L74,L75,L102,L112,L113)</f>
        <v>3492240</v>
      </c>
    </row>
    <row r="115" spans="1:14" ht="13.5" thickTop="1" x14ac:dyDescent="0.2">
      <c r="A115" s="2165" t="s">
        <v>996</v>
      </c>
      <c r="B115" s="2166"/>
      <c r="C115" s="618"/>
      <c r="D115" s="618"/>
      <c r="E115" s="618"/>
      <c r="F115" s="618"/>
      <c r="G115" s="618"/>
      <c r="H115" s="618"/>
      <c r="I115" s="618"/>
      <c r="J115" s="618"/>
      <c r="K115" s="1684">
        <f>'Revenues 9-14'!C268-'Expenditures 15-22'!K114</f>
        <v>76394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111736</v>
      </c>
      <c r="D124" s="466">
        <v>21225</v>
      </c>
      <c r="E124" s="466">
        <v>21154</v>
      </c>
      <c r="F124" s="466">
        <v>83959</v>
      </c>
      <c r="G124" s="466">
        <v>27219</v>
      </c>
      <c r="H124" s="466"/>
      <c r="I124" s="467"/>
      <c r="J124" s="467"/>
      <c r="K124" s="1670">
        <f>SUM(C124:J124)</f>
        <v>265293</v>
      </c>
      <c r="L124" s="466">
        <v>338750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111736</v>
      </c>
      <c r="D127" s="1670">
        <f t="shared" ref="D127:L127" si="14">SUM(D122:D126)</f>
        <v>21225</v>
      </c>
      <c r="E127" s="1670">
        <f t="shared" si="14"/>
        <v>21154</v>
      </c>
      <c r="F127" s="1670">
        <f t="shared" si="14"/>
        <v>83959</v>
      </c>
      <c r="G127" s="1670">
        <f t="shared" si="14"/>
        <v>27219</v>
      </c>
      <c r="H127" s="1670">
        <f t="shared" si="14"/>
        <v>0</v>
      </c>
      <c r="I127" s="1670">
        <f t="shared" si="14"/>
        <v>0</v>
      </c>
      <c r="J127" s="1670">
        <f t="shared" si="14"/>
        <v>0</v>
      </c>
      <c r="K127" s="1670">
        <f t="shared" si="14"/>
        <v>265293</v>
      </c>
      <c r="L127" s="1670">
        <f t="shared" si="14"/>
        <v>338750</v>
      </c>
    </row>
    <row r="128" spans="1:14" ht="12.75" customHeight="1" thickTop="1" x14ac:dyDescent="0.2">
      <c r="A128" s="1511" t="s">
        <v>980</v>
      </c>
      <c r="B128" s="655" t="s">
        <v>574</v>
      </c>
      <c r="C128" s="656"/>
      <c r="D128" s="656"/>
      <c r="E128" s="656">
        <v>71400</v>
      </c>
      <c r="F128" s="656"/>
      <c r="G128" s="656"/>
      <c r="H128" s="656">
        <v>3161</v>
      </c>
      <c r="I128" s="535"/>
      <c r="J128" s="535"/>
      <c r="K128" s="1685">
        <f>SUM(C128:J128)</f>
        <v>74561</v>
      </c>
      <c r="L128" s="656">
        <v>74562</v>
      </c>
    </row>
    <row r="129" spans="1:14" ht="12.75" customHeight="1" thickBot="1" x14ac:dyDescent="0.25">
      <c r="A129" s="1686" t="s">
        <v>811</v>
      </c>
      <c r="B129" s="1687" t="s">
        <v>569</v>
      </c>
      <c r="C129" s="1677">
        <f>SUM(C120,C127,C128)</f>
        <v>111736</v>
      </c>
      <c r="D129" s="1677">
        <f t="shared" ref="D129:L129" si="15">SUM(D120,D127,D128)</f>
        <v>21225</v>
      </c>
      <c r="E129" s="1677">
        <f t="shared" si="15"/>
        <v>92554</v>
      </c>
      <c r="F129" s="1677">
        <f t="shared" si="15"/>
        <v>83959</v>
      </c>
      <c r="G129" s="1677">
        <f t="shared" si="15"/>
        <v>27219</v>
      </c>
      <c r="H129" s="1677">
        <f t="shared" si="15"/>
        <v>3161</v>
      </c>
      <c r="I129" s="1677">
        <f t="shared" si="15"/>
        <v>0</v>
      </c>
      <c r="J129" s="1677">
        <f t="shared" si="15"/>
        <v>0</v>
      </c>
      <c r="K129" s="1677">
        <f t="shared" si="15"/>
        <v>339854</v>
      </c>
      <c r="L129" s="1677">
        <f t="shared" si="15"/>
        <v>413312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v>98446</v>
      </c>
      <c r="F136" s="616"/>
      <c r="G136" s="616"/>
      <c r="H136" s="466"/>
      <c r="I136" s="477"/>
      <c r="J136" s="616"/>
      <c r="K136" s="1672">
        <f>SUM(E136,H136)</f>
        <v>98446</v>
      </c>
      <c r="L136" s="466">
        <v>102000</v>
      </c>
    </row>
    <row r="137" spans="1:14" ht="12.75" customHeight="1" thickBot="1" x14ac:dyDescent="0.25">
      <c r="A137" s="1668" t="s">
        <v>480</v>
      </c>
      <c r="B137" s="1678">
        <v>4100</v>
      </c>
      <c r="C137" s="616"/>
      <c r="D137" s="616"/>
      <c r="E137" s="1670">
        <f>SUM(E133:E136)</f>
        <v>98446</v>
      </c>
      <c r="F137" s="616"/>
      <c r="G137" s="616"/>
      <c r="H137" s="1670">
        <f>SUM(H133:H136)</f>
        <v>0</v>
      </c>
      <c r="I137" s="477"/>
      <c r="J137" s="616"/>
      <c r="K137" s="1670">
        <f>SUM(K133:K136)</f>
        <v>98446</v>
      </c>
      <c r="L137" s="1670">
        <f>SUM(L133:L136)</f>
        <v>102000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98446</v>
      </c>
      <c r="F139" s="616"/>
      <c r="G139" s="616"/>
      <c r="H139" s="1679">
        <f>SUM(H137:H138)</f>
        <v>0</v>
      </c>
      <c r="I139" s="477"/>
      <c r="J139" s="616"/>
      <c r="K139" s="1672">
        <f>SUM(K137,K138)</f>
        <v>98446</v>
      </c>
      <c r="L139" s="1679">
        <f>SUM(L137,L138)</f>
        <v>102000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2" t="s">
        <v>620</v>
      </c>
      <c r="B151" s="2162"/>
      <c r="C151" s="1670">
        <f>SUM(C129,C130,C139,C149,C150)</f>
        <v>111736</v>
      </c>
      <c r="D151" s="1670">
        <f t="shared" ref="D151:K151" si="16">SUM(D129,D130,D139,D149,D150)</f>
        <v>21225</v>
      </c>
      <c r="E151" s="1670">
        <f t="shared" si="16"/>
        <v>191000</v>
      </c>
      <c r="F151" s="1670">
        <f t="shared" si="16"/>
        <v>83959</v>
      </c>
      <c r="G151" s="1670">
        <f t="shared" si="16"/>
        <v>27219</v>
      </c>
      <c r="H151" s="1670">
        <f t="shared" si="16"/>
        <v>3161</v>
      </c>
      <c r="I151" s="1670">
        <f t="shared" si="16"/>
        <v>0</v>
      </c>
      <c r="J151" s="1670">
        <f t="shared" si="16"/>
        <v>0</v>
      </c>
      <c r="K151" s="1670">
        <f t="shared" si="16"/>
        <v>438300</v>
      </c>
      <c r="L151" s="1670">
        <f>SUM(L129,L130,L139,L149,L150)</f>
        <v>515312</v>
      </c>
    </row>
    <row r="152" spans="1:14" ht="12.75" customHeight="1" thickTop="1" x14ac:dyDescent="0.2">
      <c r="A152" s="2185" t="s">
        <v>1178</v>
      </c>
      <c r="B152" s="2186"/>
      <c r="C152" s="618"/>
      <c r="D152" s="618"/>
      <c r="E152" s="618"/>
      <c r="F152" s="618"/>
      <c r="G152" s="618"/>
      <c r="H152" s="618"/>
      <c r="I152" s="618"/>
      <c r="J152" s="616"/>
      <c r="K152" s="1684">
        <f>'Revenues 9-14'!D268-'Expenditures 15-22'!K151</f>
        <v>122021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65" t="s">
        <v>996</v>
      </c>
      <c r="B175" s="2166"/>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200809</v>
      </c>
      <c r="D182" s="466">
        <v>18154</v>
      </c>
      <c r="E182" s="466">
        <v>82730</v>
      </c>
      <c r="F182" s="466">
        <v>49070</v>
      </c>
      <c r="G182" s="466"/>
      <c r="H182" s="466">
        <v>176</v>
      </c>
      <c r="I182" s="467"/>
      <c r="J182" s="467"/>
      <c r="K182" s="1671">
        <f>SUM(C182:J182)</f>
        <v>350939</v>
      </c>
      <c r="L182" s="466">
        <v>406260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200809</v>
      </c>
      <c r="D184" s="1677">
        <f t="shared" ref="D184:J184" si="17">SUM(D180,D182,D183)</f>
        <v>18154</v>
      </c>
      <c r="E184" s="1677">
        <f t="shared" si="17"/>
        <v>82730</v>
      </c>
      <c r="F184" s="1677">
        <f t="shared" si="17"/>
        <v>49070</v>
      </c>
      <c r="G184" s="1677">
        <f t="shared" si="17"/>
        <v>0</v>
      </c>
      <c r="H184" s="1677">
        <f t="shared" si="17"/>
        <v>176</v>
      </c>
      <c r="I184" s="1677">
        <f t="shared" si="17"/>
        <v>0</v>
      </c>
      <c r="J184" s="1677">
        <f t="shared" si="17"/>
        <v>0</v>
      </c>
      <c r="K184" s="1677">
        <f>SUM(K180,K182,K183)</f>
        <v>350939</v>
      </c>
      <c r="L184" s="1677">
        <f>SUM(L180, L182:L183)</f>
        <v>406260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35745</v>
      </c>
      <c r="F188" s="616"/>
      <c r="G188" s="616"/>
      <c r="H188" s="466"/>
      <c r="I188" s="477"/>
      <c r="J188" s="616"/>
      <c r="K188" s="1671">
        <f t="shared" ref="K188:K193" si="18">SUM(E188,H188)</f>
        <v>35745</v>
      </c>
      <c r="L188" s="466">
        <v>35750</v>
      </c>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35745</v>
      </c>
      <c r="F194" s="616"/>
      <c r="G194" s="616"/>
      <c r="H194" s="1670">
        <f>SUM(H188:H193)</f>
        <v>0</v>
      </c>
      <c r="I194" s="477"/>
      <c r="J194" s="616"/>
      <c r="K194" s="1670">
        <f>SUM(K188:K193)</f>
        <v>35745</v>
      </c>
      <c r="L194" s="1670">
        <f>SUM(L188:L193)</f>
        <v>35750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35745</v>
      </c>
      <c r="F196" s="616"/>
      <c r="G196" s="616"/>
      <c r="H196" s="1677">
        <f>SUM(H194,H195)</f>
        <v>0</v>
      </c>
      <c r="I196" s="477"/>
      <c r="J196" s="616"/>
      <c r="K196" s="1677">
        <f>SUM(K194,K195)</f>
        <v>35745</v>
      </c>
      <c r="L196" s="1677">
        <f>SUM(L194,L195)</f>
        <v>35750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200809</v>
      </c>
      <c r="D210" s="1670">
        <f>SUM(D184,D185)</f>
        <v>18154</v>
      </c>
      <c r="E210" s="1670">
        <f>SUM(E184,E185,E196)</f>
        <v>118475</v>
      </c>
      <c r="F210" s="1670">
        <f>SUM(F184,F185)</f>
        <v>49070</v>
      </c>
      <c r="G210" s="1670">
        <f>SUM(G184,G185)</f>
        <v>0</v>
      </c>
      <c r="H210" s="1670">
        <f>SUM(H184,H185,H196,H208,H209)</f>
        <v>176</v>
      </c>
      <c r="I210" s="1670">
        <f>SUM(I184,I185)</f>
        <v>0</v>
      </c>
      <c r="J210" s="1670">
        <f>SUM(J184,J185)</f>
        <v>0</v>
      </c>
      <c r="K210" s="1671">
        <f>SUM(K184,K185,K196,K208,K209)</f>
        <v>386684</v>
      </c>
      <c r="L210" s="1670">
        <f>SUM(L184,L185,L196,L208,L209)</f>
        <v>442010</v>
      </c>
    </row>
    <row r="211" spans="1:14" ht="13.5" thickTop="1" x14ac:dyDescent="0.2">
      <c r="A211" s="2165" t="s">
        <v>996</v>
      </c>
      <c r="B211" s="2166"/>
      <c r="C211" s="618"/>
      <c r="D211" s="618"/>
      <c r="E211" s="618"/>
      <c r="F211" s="618"/>
      <c r="G211" s="618"/>
      <c r="H211" s="618"/>
      <c r="I211" s="616"/>
      <c r="J211" s="616"/>
      <c r="K211" s="1684">
        <f>'Revenues 9-14'!F268-'Expenditures 15-22'!K210</f>
        <v>-30356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965</v>
      </c>
      <c r="B213" s="218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17083</v>
      </c>
      <c r="E215" s="616"/>
      <c r="F215" s="616"/>
      <c r="G215" s="616"/>
      <c r="H215" s="616"/>
      <c r="I215" s="616"/>
      <c r="J215" s="616"/>
      <c r="K215" s="1671">
        <f>D215</f>
        <v>17083</v>
      </c>
      <c r="L215" s="466">
        <v>19000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5779</v>
      </c>
      <c r="E217" s="616"/>
      <c r="F217" s="616"/>
      <c r="G217" s="616"/>
      <c r="H217" s="616"/>
      <c r="I217" s="616"/>
      <c r="J217" s="616"/>
      <c r="K217" s="1671">
        <f t="shared" si="19"/>
        <v>5779</v>
      </c>
      <c r="L217" s="466">
        <v>6800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8317</v>
      </c>
      <c r="E219" s="616"/>
      <c r="F219" s="616"/>
      <c r="G219" s="616"/>
      <c r="H219" s="616"/>
      <c r="I219" s="616"/>
      <c r="J219" s="616"/>
      <c r="K219" s="1671">
        <f t="shared" si="19"/>
        <v>8317</v>
      </c>
      <c r="L219" s="466">
        <v>10250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2283</v>
      </c>
      <c r="E222" s="616"/>
      <c r="F222" s="616"/>
      <c r="G222" s="616"/>
      <c r="H222" s="616"/>
      <c r="I222" s="616"/>
      <c r="J222" s="616"/>
      <c r="K222" s="1671">
        <f t="shared" si="19"/>
        <v>2283</v>
      </c>
      <c r="L222" s="466">
        <v>3200</v>
      </c>
    </row>
    <row r="223" spans="1:14" x14ac:dyDescent="0.2">
      <c r="A223" s="1504" t="s">
        <v>963</v>
      </c>
      <c r="B223" s="614">
        <v>1500</v>
      </c>
      <c r="C223" s="616"/>
      <c r="D223" s="466">
        <v>4887</v>
      </c>
      <c r="E223" s="616"/>
      <c r="F223" s="616"/>
      <c r="G223" s="616"/>
      <c r="H223" s="616"/>
      <c r="I223" s="616"/>
      <c r="J223" s="616"/>
      <c r="K223" s="1671">
        <f t="shared" si="19"/>
        <v>4887</v>
      </c>
      <c r="L223" s="466">
        <v>7600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665</v>
      </c>
      <c r="E226" s="616"/>
      <c r="F226" s="616"/>
      <c r="G226" s="616"/>
      <c r="H226" s="616"/>
      <c r="I226" s="616"/>
      <c r="J226" s="616"/>
      <c r="K226" s="1671">
        <f t="shared" si="19"/>
        <v>665</v>
      </c>
      <c r="L226" s="466">
        <v>750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39014</v>
      </c>
      <c r="E229" s="616"/>
      <c r="F229" s="616"/>
      <c r="G229" s="616"/>
      <c r="H229" s="616"/>
      <c r="I229" s="616"/>
      <c r="J229" s="616"/>
      <c r="K229" s="1670">
        <f>SUM(K215:K228)</f>
        <v>39014</v>
      </c>
      <c r="L229" s="1670">
        <f>SUM(L215:L228)</f>
        <v>47600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806</v>
      </c>
      <c r="E233" s="616"/>
      <c r="F233" s="616"/>
      <c r="G233" s="616"/>
      <c r="H233" s="616"/>
      <c r="I233" s="616"/>
      <c r="J233" s="616"/>
      <c r="K233" s="1671">
        <f t="shared" si="20"/>
        <v>806</v>
      </c>
      <c r="L233" s="466">
        <v>950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806</v>
      </c>
      <c r="E238" s="616"/>
      <c r="F238" s="616"/>
      <c r="G238" s="616"/>
      <c r="H238" s="616"/>
      <c r="I238" s="616"/>
      <c r="J238" s="616"/>
      <c r="K238" s="1670">
        <f>SUM(K232:K237)</f>
        <v>806</v>
      </c>
      <c r="L238" s="1670">
        <f>SUM(L232:L237)</f>
        <v>950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2713</v>
      </c>
      <c r="E246" s="616"/>
      <c r="F246" s="616"/>
      <c r="G246" s="616"/>
      <c r="H246" s="616"/>
      <c r="I246" s="616"/>
      <c r="J246" s="616"/>
      <c r="K246" s="1672">
        <f t="shared" ref="K246:K256" si="21">D246</f>
        <v>2713</v>
      </c>
      <c r="L246" s="466">
        <v>4200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5373</v>
      </c>
      <c r="E254" s="616"/>
      <c r="F254" s="616"/>
      <c r="G254" s="616"/>
      <c r="H254" s="616"/>
      <c r="I254" s="616"/>
      <c r="J254" s="616"/>
      <c r="K254" s="1672">
        <f t="shared" si="21"/>
        <v>5373</v>
      </c>
      <c r="L254" s="466">
        <v>6700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8086</v>
      </c>
      <c r="E257" s="616"/>
      <c r="F257" s="616"/>
      <c r="G257" s="616"/>
      <c r="H257" s="616"/>
      <c r="I257" s="616"/>
      <c r="J257" s="616"/>
      <c r="K257" s="1670">
        <f>SUM(K245:K256)</f>
        <v>8086</v>
      </c>
      <c r="L257" s="1670">
        <f>SUM(L245:L256)</f>
        <v>10900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7333</v>
      </c>
      <c r="E259" s="616"/>
      <c r="F259" s="616"/>
      <c r="G259" s="616"/>
      <c r="H259" s="616"/>
      <c r="I259" s="616"/>
      <c r="J259" s="616"/>
      <c r="K259" s="1672">
        <f>D259</f>
        <v>7333</v>
      </c>
      <c r="L259" s="481">
        <v>9700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7333</v>
      </c>
      <c r="E261" s="616"/>
      <c r="F261" s="616"/>
      <c r="G261" s="616"/>
      <c r="H261" s="616"/>
      <c r="I261" s="616"/>
      <c r="J261" s="616"/>
      <c r="K261" s="1670">
        <f>SUM(K259:K260)</f>
        <v>7333</v>
      </c>
      <c r="L261" s="1670">
        <f>SUM(L259:L260)</f>
        <v>9700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4499</v>
      </c>
      <c r="E264" s="616"/>
      <c r="F264" s="616"/>
      <c r="G264" s="616"/>
      <c r="H264" s="616"/>
      <c r="I264" s="616"/>
      <c r="J264" s="616"/>
      <c r="K264" s="1672">
        <f t="shared" ref="K264:K269" si="22">D264</f>
        <v>4499</v>
      </c>
      <c r="L264" s="466">
        <v>5350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12937</v>
      </c>
      <c r="E266" s="616"/>
      <c r="F266" s="616"/>
      <c r="G266" s="616"/>
      <c r="H266" s="616"/>
      <c r="I266" s="616"/>
      <c r="J266" s="616"/>
      <c r="K266" s="1672">
        <f t="shared" si="22"/>
        <v>12937</v>
      </c>
      <c r="L266" s="466">
        <v>20000</v>
      </c>
    </row>
    <row r="267" spans="1:14" x14ac:dyDescent="0.2">
      <c r="A267" s="1504" t="s">
        <v>953</v>
      </c>
      <c r="B267" s="614">
        <v>2550</v>
      </c>
      <c r="C267" s="616"/>
      <c r="D267" s="466">
        <v>23005</v>
      </c>
      <c r="E267" s="616"/>
      <c r="F267" s="616"/>
      <c r="G267" s="616"/>
      <c r="H267" s="616"/>
      <c r="I267" s="616"/>
      <c r="J267" s="616"/>
      <c r="K267" s="1672">
        <f t="shared" si="22"/>
        <v>23005</v>
      </c>
      <c r="L267" s="466">
        <v>31700</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40441</v>
      </c>
      <c r="E270" s="616"/>
      <c r="F270" s="616"/>
      <c r="G270" s="616"/>
      <c r="H270" s="616"/>
      <c r="I270" s="616"/>
      <c r="J270" s="616"/>
      <c r="K270" s="1670">
        <f>SUM(K263:K269)</f>
        <v>40441</v>
      </c>
      <c r="L270" s="1670">
        <f>SUM(L263:L269)</f>
        <v>57050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5136</v>
      </c>
      <c r="E276" s="616"/>
      <c r="F276" s="616"/>
      <c r="G276" s="616"/>
      <c r="H276" s="616"/>
      <c r="I276" s="616"/>
      <c r="J276" s="616"/>
      <c r="K276" s="1672">
        <f>D276</f>
        <v>5136</v>
      </c>
      <c r="L276" s="466">
        <v>5700</v>
      </c>
    </row>
    <row r="277" spans="1:12" ht="12.75" customHeight="1" thickBot="1" x14ac:dyDescent="0.25">
      <c r="A277" s="1691" t="s">
        <v>37</v>
      </c>
      <c r="B277" s="1669" t="s">
        <v>36</v>
      </c>
      <c r="C277" s="616"/>
      <c r="D277" s="1670">
        <f>SUM(D272:D276)</f>
        <v>5136</v>
      </c>
      <c r="E277" s="616"/>
      <c r="F277" s="616"/>
      <c r="G277" s="616"/>
      <c r="H277" s="616"/>
      <c r="I277" s="616"/>
      <c r="J277" s="616"/>
      <c r="K277" s="1670">
        <f>SUM(K272:K276)</f>
        <v>5136</v>
      </c>
      <c r="L277" s="1670">
        <f>SUM(L272:L276)</f>
        <v>5700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61802</v>
      </c>
      <c r="E279" s="616"/>
      <c r="F279" s="616"/>
      <c r="G279" s="616"/>
      <c r="H279" s="616"/>
      <c r="I279" s="616"/>
      <c r="J279" s="616"/>
      <c r="K279" s="1677">
        <f>SUM(K238,K243,K257,K261,K270,K277,K278)</f>
        <v>61802</v>
      </c>
      <c r="L279" s="1677">
        <f>SUM(L238,L243,L257,L261,L270,L277,L278)</f>
        <v>84300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3" t="s">
        <v>505</v>
      </c>
      <c r="B295" s="2184"/>
      <c r="C295" s="616"/>
      <c r="D295" s="1670">
        <f>SUM(D229,D279,D280,D285)</f>
        <v>100816</v>
      </c>
      <c r="E295" s="616"/>
      <c r="F295" s="616"/>
      <c r="G295" s="616"/>
      <c r="H295" s="1670">
        <f>H293</f>
        <v>0</v>
      </c>
      <c r="I295" s="616"/>
      <c r="J295" s="616"/>
      <c r="K295" s="1670">
        <f>SUM(K229,K279,K280,K285,K293,K294)</f>
        <v>100816</v>
      </c>
      <c r="L295" s="1670">
        <f>SUM(L229,L279,L280,L285,L293,L294)</f>
        <v>131900</v>
      </c>
    </row>
    <row r="296" spans="1:14" ht="13.5" thickTop="1" x14ac:dyDescent="0.2">
      <c r="A296" s="2165" t="s">
        <v>996</v>
      </c>
      <c r="B296" s="2166"/>
      <c r="C296" s="616"/>
      <c r="D296" s="618"/>
      <c r="E296" s="616"/>
      <c r="F296" s="616"/>
      <c r="G296" s="616"/>
      <c r="H296" s="687"/>
      <c r="I296" s="616"/>
      <c r="J296" s="616"/>
      <c r="K296" s="1684">
        <f>'Revenues 9-14'!G268-'Expenditures 15-22'!K295</f>
        <v>-29339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143</v>
      </c>
      <c r="B298" s="216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0" t="s">
        <v>277</v>
      </c>
      <c r="B312" s="218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6" t="s">
        <v>996</v>
      </c>
      <c r="B313" s="2177"/>
      <c r="C313" s="626"/>
      <c r="D313" s="626"/>
      <c r="E313" s="626"/>
      <c r="F313" s="626"/>
      <c r="G313" s="626"/>
      <c r="H313" s="626"/>
      <c r="I313" s="626"/>
      <c r="J313" s="626"/>
      <c r="K313" s="1685">
        <f>'Revenues 9-14'!H268-'Expenditures 15-22'!K312</f>
        <v>26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149</v>
      </c>
      <c r="B315" s="219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898</v>
      </c>
      <c r="B317" s="219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30655</v>
      </c>
      <c r="F320" s="467"/>
      <c r="G320" s="467"/>
      <c r="H320" s="467"/>
      <c r="I320" s="467"/>
      <c r="J320" s="467"/>
      <c r="K320" s="1671">
        <f t="shared" ref="K320:K327" si="24">SUM(C320:J320)</f>
        <v>30655</v>
      </c>
      <c r="L320" s="467">
        <v>31060</v>
      </c>
      <c r="M320" s="665"/>
      <c r="N320" s="665"/>
    </row>
    <row r="321" spans="1:14" s="674" customFormat="1" x14ac:dyDescent="0.2">
      <c r="A321" s="1519" t="s">
        <v>300</v>
      </c>
      <c r="B321" s="697" t="s">
        <v>283</v>
      </c>
      <c r="C321" s="467"/>
      <c r="D321" s="467"/>
      <c r="E321" s="467">
        <v>4158</v>
      </c>
      <c r="F321" s="467"/>
      <c r="G321" s="467"/>
      <c r="H321" s="467"/>
      <c r="I321" s="467"/>
      <c r="J321" s="467"/>
      <c r="K321" s="1671">
        <f t="shared" si="24"/>
        <v>4158</v>
      </c>
      <c r="L321" s="467">
        <v>5000</v>
      </c>
      <c r="M321" s="665"/>
      <c r="N321" s="665"/>
    </row>
    <row r="322" spans="1:14" s="674" customFormat="1" x14ac:dyDescent="0.2">
      <c r="A322" s="1519" t="s">
        <v>238</v>
      </c>
      <c r="B322" s="697" t="s">
        <v>284</v>
      </c>
      <c r="C322" s="467"/>
      <c r="D322" s="467"/>
      <c r="E322" s="467">
        <v>10821</v>
      </c>
      <c r="F322" s="467"/>
      <c r="G322" s="467"/>
      <c r="H322" s="467"/>
      <c r="I322" s="467"/>
      <c r="J322" s="467"/>
      <c r="K322" s="1671">
        <f t="shared" si="24"/>
        <v>10821</v>
      </c>
      <c r="L322" s="467">
        <v>11000</v>
      </c>
      <c r="M322" s="665"/>
      <c r="N322" s="665"/>
    </row>
    <row r="323" spans="1:14" s="674" customFormat="1" x14ac:dyDescent="0.2">
      <c r="A323" s="1519" t="s">
        <v>702</v>
      </c>
      <c r="B323" s="697" t="s">
        <v>285</v>
      </c>
      <c r="C323" s="467"/>
      <c r="D323" s="467"/>
      <c r="E323" s="467">
        <v>32078</v>
      </c>
      <c r="F323" s="467">
        <v>2537</v>
      </c>
      <c r="G323" s="467">
        <v>6306</v>
      </c>
      <c r="H323" s="467"/>
      <c r="I323" s="467"/>
      <c r="J323" s="467"/>
      <c r="K323" s="1671">
        <f t="shared" si="24"/>
        <v>40921</v>
      </c>
      <c r="L323" s="467">
        <v>95400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99859</v>
      </c>
      <c r="D325" s="467">
        <v>23582</v>
      </c>
      <c r="E325" s="467">
        <v>3711</v>
      </c>
      <c r="F325" s="467"/>
      <c r="G325" s="467"/>
      <c r="H325" s="467"/>
      <c r="I325" s="467"/>
      <c r="J325" s="467"/>
      <c r="K325" s="1671">
        <f t="shared" si="24"/>
        <v>127152</v>
      </c>
      <c r="L325" s="467">
        <v>145400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8607</v>
      </c>
      <c r="F327" s="467"/>
      <c r="G327" s="467"/>
      <c r="H327" s="467"/>
      <c r="I327" s="467"/>
      <c r="J327" s="467"/>
      <c r="K327" s="1671">
        <f t="shared" si="24"/>
        <v>8607</v>
      </c>
      <c r="L327" s="467">
        <v>20000</v>
      </c>
      <c r="M327" s="665"/>
      <c r="N327" s="665"/>
    </row>
    <row r="328" spans="1:14" s="674" customFormat="1" x14ac:dyDescent="0.2">
      <c r="A328" s="1520" t="s">
        <v>472</v>
      </c>
      <c r="B328" s="690" t="s">
        <v>1132</v>
      </c>
      <c r="C328" s="474"/>
      <c r="D328" s="474"/>
      <c r="E328" s="474">
        <v>38200</v>
      </c>
      <c r="F328" s="474"/>
      <c r="G328" s="474"/>
      <c r="H328" s="474"/>
      <c r="I328" s="474"/>
      <c r="J328" s="474"/>
      <c r="K328" s="1699">
        <f>SUM(C328:J328)</f>
        <v>38200</v>
      </c>
      <c r="L328" s="474">
        <v>38600</v>
      </c>
      <c r="M328" s="665"/>
      <c r="N328" s="665"/>
    </row>
    <row r="329" spans="1:14" s="674" customFormat="1" x14ac:dyDescent="0.2">
      <c r="A329" s="1520" t="s">
        <v>1133</v>
      </c>
      <c r="B329" s="690" t="s">
        <v>1134</v>
      </c>
      <c r="C329" s="474"/>
      <c r="D329" s="474"/>
      <c r="E329" s="474">
        <v>19612</v>
      </c>
      <c r="F329" s="474"/>
      <c r="G329" s="474"/>
      <c r="H329" s="474"/>
      <c r="I329" s="474"/>
      <c r="J329" s="474"/>
      <c r="K329" s="1699">
        <f>SUM(C329:J329)</f>
        <v>19612</v>
      </c>
      <c r="L329" s="474">
        <v>20000</v>
      </c>
      <c r="M329" s="665"/>
      <c r="N329" s="665"/>
    </row>
    <row r="330" spans="1:14" s="674" customFormat="1" ht="12.75" customHeight="1" thickBot="1" x14ac:dyDescent="0.25">
      <c r="A330" s="1700" t="s">
        <v>717</v>
      </c>
      <c r="B330" s="1669" t="s">
        <v>569</v>
      </c>
      <c r="C330" s="1670">
        <f>SUM(C319:C329)</f>
        <v>99859</v>
      </c>
      <c r="D330" s="1670">
        <f t="shared" ref="D330:J330" si="25">SUM(D319:D329)</f>
        <v>23582</v>
      </c>
      <c r="E330" s="1670">
        <f t="shared" si="25"/>
        <v>147842</v>
      </c>
      <c r="F330" s="1670">
        <f t="shared" si="25"/>
        <v>2537</v>
      </c>
      <c r="G330" s="1670">
        <f t="shared" si="25"/>
        <v>6306</v>
      </c>
      <c r="H330" s="1670">
        <f t="shared" si="25"/>
        <v>0</v>
      </c>
      <c r="I330" s="1670">
        <f t="shared" si="25"/>
        <v>0</v>
      </c>
      <c r="J330" s="1670">
        <f t="shared" si="25"/>
        <v>0</v>
      </c>
      <c r="K330" s="1670">
        <f>SUM(K319:K329)</f>
        <v>280126</v>
      </c>
      <c r="L330" s="1670">
        <f>SUM(L319:L329)</f>
        <v>366460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99859</v>
      </c>
      <c r="D342" s="1670">
        <f>SUM(D330)</f>
        <v>23582</v>
      </c>
      <c r="E342" s="1670">
        <f>SUM(E330)</f>
        <v>147842</v>
      </c>
      <c r="F342" s="1670">
        <f>SUM(F330)</f>
        <v>2537</v>
      </c>
      <c r="G342" s="1670">
        <f>SUM(G330)</f>
        <v>6306</v>
      </c>
      <c r="H342" s="1670">
        <f>SUM(H330,H334,H340)</f>
        <v>0</v>
      </c>
      <c r="I342" s="1670">
        <f>SUM(I330)</f>
        <v>0</v>
      </c>
      <c r="J342" s="1670">
        <f>SUM(J330)</f>
        <v>0</v>
      </c>
      <c r="K342" s="1670">
        <f>SUM(K330,K334,K340)</f>
        <v>280126</v>
      </c>
      <c r="L342" s="1677">
        <f>SUM(L330,L340,L341)</f>
        <v>366460</v>
      </c>
    </row>
    <row r="343" spans="1:14" ht="12.75" customHeight="1" thickTop="1" x14ac:dyDescent="0.2">
      <c r="A343" s="2178" t="s">
        <v>996</v>
      </c>
      <c r="B343" s="2179"/>
      <c r="C343" s="616"/>
      <c r="D343" s="616"/>
      <c r="E343" s="616"/>
      <c r="F343" s="616"/>
      <c r="G343" s="616"/>
      <c r="H343" s="616"/>
      <c r="I343" s="616"/>
      <c r="J343" s="616"/>
      <c r="K343" s="1684">
        <f>'Revenues 9-14'!J268-'Expenditures 15-22'!K342</f>
        <v>47767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966</v>
      </c>
      <c r="B345" s="216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32259</v>
      </c>
      <c r="H348" s="466"/>
      <c r="I348" s="467"/>
      <c r="J348" s="467"/>
      <c r="K348" s="1671">
        <f>SUM(C348:J348)</f>
        <v>32259</v>
      </c>
      <c r="L348" s="466">
        <v>605000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32259</v>
      </c>
      <c r="H350" s="1670">
        <f t="shared" si="26"/>
        <v>0</v>
      </c>
      <c r="I350" s="1670">
        <f t="shared" si="26"/>
        <v>0</v>
      </c>
      <c r="J350" s="1670">
        <f t="shared" si="26"/>
        <v>0</v>
      </c>
      <c r="K350" s="1670">
        <f t="shared" si="26"/>
        <v>32259</v>
      </c>
      <c r="L350" s="1670">
        <f t="shared" si="26"/>
        <v>605000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32259</v>
      </c>
      <c r="H352" s="1670">
        <f t="shared" si="27"/>
        <v>0</v>
      </c>
      <c r="I352" s="1670">
        <f t="shared" si="27"/>
        <v>0</v>
      </c>
      <c r="J352" s="1670">
        <f t="shared" si="27"/>
        <v>0</v>
      </c>
      <c r="K352" s="1670">
        <f t="shared" si="27"/>
        <v>32259</v>
      </c>
      <c r="L352" s="1670">
        <f t="shared" si="27"/>
        <v>605000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32259</v>
      </c>
      <c r="H367" s="1670">
        <f t="shared" si="28"/>
        <v>0</v>
      </c>
      <c r="I367" s="1670">
        <f t="shared" si="28"/>
        <v>0</v>
      </c>
      <c r="J367" s="1670">
        <f t="shared" si="28"/>
        <v>0</v>
      </c>
      <c r="K367" s="1670">
        <f t="shared" si="28"/>
        <v>32259</v>
      </c>
      <c r="L367" s="1670">
        <f t="shared" si="28"/>
        <v>605000</v>
      </c>
    </row>
    <row r="368" spans="1:14" ht="13.5" thickTop="1" x14ac:dyDescent="0.2">
      <c r="A368" s="2165" t="s">
        <v>996</v>
      </c>
      <c r="B368" s="2166"/>
      <c r="C368" s="654"/>
      <c r="D368" s="654"/>
      <c r="E368" s="626"/>
      <c r="F368" s="626"/>
      <c r="G368" s="626"/>
      <c r="H368" s="626"/>
      <c r="I368" s="626"/>
      <c r="J368" s="623"/>
      <c r="K368" s="1671">
        <f>'Revenues 9-14'!K268-'Expenditures 15-22'!K367</f>
        <v>43973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&amp;F&amp;C&amp;"Franklin Gothic Book,Regular"&amp;8The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7" colorId="8" zoomScale="110" zoomScaleNormal="110" workbookViewId="0">
      <selection activeCell="F22" sqref="F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2" t="s">
        <v>1802</v>
      </c>
      <c r="B2" s="1528" t="s">
        <v>1951</v>
      </c>
      <c r="C2" s="714" t="s">
        <v>1952</v>
      </c>
      <c r="D2" s="714" t="s">
        <v>1953</v>
      </c>
      <c r="E2" s="714" t="s">
        <v>1954</v>
      </c>
      <c r="F2" s="714" t="s">
        <v>1955</v>
      </c>
    </row>
    <row r="3" spans="1:6" ht="12" customHeight="1" x14ac:dyDescent="0.2">
      <c r="A3" s="2193"/>
      <c r="B3" s="1525"/>
      <c r="C3" s="1526"/>
      <c r="D3" s="1527" t="s">
        <v>256</v>
      </c>
      <c r="E3" s="1526"/>
      <c r="F3" s="1527" t="s">
        <v>257</v>
      </c>
    </row>
    <row r="4" spans="1:6" ht="13.7" customHeight="1" x14ac:dyDescent="0.2">
      <c r="A4" s="715" t="s">
        <v>1155</v>
      </c>
      <c r="B4" s="1749">
        <f>'Revenues 9-14'!C5</f>
        <v>1537630</v>
      </c>
      <c r="C4" s="1524"/>
      <c r="D4" s="1752">
        <f>B4-C4</f>
        <v>1537630</v>
      </c>
      <c r="E4" s="1524">
        <v>1562262</v>
      </c>
      <c r="F4" s="1752">
        <f>E4-C4</f>
        <v>1562262</v>
      </c>
    </row>
    <row r="5" spans="1:6" ht="13.7" customHeight="1" x14ac:dyDescent="0.2">
      <c r="A5" s="715" t="s">
        <v>870</v>
      </c>
      <c r="B5" s="1750">
        <f>'Revenues 9-14'!D5</f>
        <v>512544</v>
      </c>
      <c r="C5" s="585"/>
      <c r="D5" s="1753">
        <f t="shared" ref="D5:D18" si="0">B5-C5</f>
        <v>512544</v>
      </c>
      <c r="E5" s="585">
        <v>520749</v>
      </c>
      <c r="F5" s="1753">
        <f>E5-C5</f>
        <v>520749</v>
      </c>
    </row>
    <row r="6" spans="1:6" ht="13.7" customHeight="1" x14ac:dyDescent="0.2">
      <c r="A6" s="715" t="s">
        <v>411</v>
      </c>
      <c r="B6" s="1750">
        <f>'Revenues 9-14'!E5</f>
        <v>0</v>
      </c>
      <c r="C6" s="585"/>
      <c r="D6" s="1753">
        <f t="shared" si="0"/>
        <v>0</v>
      </c>
      <c r="E6" s="585">
        <v>0</v>
      </c>
      <c r="F6" s="1753">
        <f t="shared" ref="F6:F18" si="1">E6-C6</f>
        <v>0</v>
      </c>
    </row>
    <row r="7" spans="1:6" ht="13.7" customHeight="1" x14ac:dyDescent="0.2">
      <c r="A7" s="715" t="s">
        <v>155</v>
      </c>
      <c r="B7" s="1750">
        <f>'Revenues 9-14'!F5</f>
        <v>175729</v>
      </c>
      <c r="C7" s="585"/>
      <c r="D7" s="1753">
        <f t="shared" si="0"/>
        <v>175729</v>
      </c>
      <c r="E7" s="585">
        <v>178556</v>
      </c>
      <c r="F7" s="1753">
        <f t="shared" si="1"/>
        <v>178556</v>
      </c>
    </row>
    <row r="8" spans="1:6" ht="13.7" customHeight="1" x14ac:dyDescent="0.2">
      <c r="A8" s="715" t="s">
        <v>1179</v>
      </c>
      <c r="B8" s="1750">
        <f>'Revenues 9-14'!G5</f>
        <v>0</v>
      </c>
      <c r="C8" s="585"/>
      <c r="D8" s="1753">
        <f t="shared" si="0"/>
        <v>0</v>
      </c>
      <c r="E8" s="585">
        <v>0</v>
      </c>
      <c r="F8" s="1753">
        <f t="shared" si="1"/>
        <v>0</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73222</v>
      </c>
      <c r="C10" s="585"/>
      <c r="D10" s="1753">
        <f t="shared" si="0"/>
        <v>73222</v>
      </c>
      <c r="E10" s="585">
        <v>74397</v>
      </c>
      <c r="F10" s="1753">
        <f t="shared" si="1"/>
        <v>74397</v>
      </c>
    </row>
    <row r="11" spans="1:6" x14ac:dyDescent="0.2">
      <c r="A11" s="715" t="s">
        <v>409</v>
      </c>
      <c r="B11" s="1750">
        <f>'Revenues 9-14'!J5</f>
        <v>325392</v>
      </c>
      <c r="C11" s="585"/>
      <c r="D11" s="1753">
        <f t="shared" si="0"/>
        <v>325392</v>
      </c>
      <c r="E11" s="585">
        <v>275012</v>
      </c>
      <c r="F11" s="1753">
        <f t="shared" si="1"/>
        <v>275012</v>
      </c>
    </row>
    <row r="12" spans="1:6" ht="13.7" customHeight="1" x14ac:dyDescent="0.2">
      <c r="A12" s="715" t="s">
        <v>157</v>
      </c>
      <c r="B12" s="1750">
        <f>'Revenues 9-14'!K5</f>
        <v>73222</v>
      </c>
      <c r="C12" s="585"/>
      <c r="D12" s="1753">
        <f t="shared" si="0"/>
        <v>73222</v>
      </c>
      <c r="E12" s="585">
        <v>74397</v>
      </c>
      <c r="F12" s="1753">
        <f t="shared" si="1"/>
        <v>74397</v>
      </c>
    </row>
    <row r="13" spans="1:6" ht="13.7" customHeight="1" x14ac:dyDescent="0.2">
      <c r="A13" s="715" t="s">
        <v>936</v>
      </c>
      <c r="B13" s="1750">
        <f>SUM('Revenues 9-14'!C6:D6)</f>
        <v>73222</v>
      </c>
      <c r="C13" s="585"/>
      <c r="D13" s="1753">
        <f t="shared" si="0"/>
        <v>73222</v>
      </c>
      <c r="E13" s="585">
        <v>74397</v>
      </c>
      <c r="F13" s="1753">
        <f t="shared" si="1"/>
        <v>74397</v>
      </c>
    </row>
    <row r="14" spans="1:6" ht="13.7" customHeight="1" x14ac:dyDescent="0.2">
      <c r="A14" s="715" t="s">
        <v>410</v>
      </c>
      <c r="B14" s="1750">
        <f>SUM('Revenues 9-14'!C7:D7,'Revenues 9-14'!F7:H7)</f>
        <v>29288</v>
      </c>
      <c r="C14" s="585"/>
      <c r="D14" s="1753">
        <f t="shared" si="0"/>
        <v>29288</v>
      </c>
      <c r="E14" s="585">
        <v>29762</v>
      </c>
      <c r="F14" s="1753">
        <f t="shared" si="1"/>
        <v>29762</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70084</v>
      </c>
      <c r="C16" s="585"/>
      <c r="D16" s="1753">
        <f t="shared" si="0"/>
        <v>70084</v>
      </c>
      <c r="E16" s="585">
        <v>95009</v>
      </c>
      <c r="F16" s="1753">
        <f t="shared" si="1"/>
        <v>95009</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2870333</v>
      </c>
      <c r="C19" s="1751">
        <f>SUM(C4:C18)</f>
        <v>0</v>
      </c>
      <c r="D19" s="1751">
        <f>SUM(D4:D18)</f>
        <v>2870333</v>
      </c>
      <c r="E19" s="1751">
        <f>SUM(E4:E18)</f>
        <v>2884541</v>
      </c>
      <c r="F19" s="1751">
        <f>SUM(F4:F18)</f>
        <v>2884541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2"/>
      <c r="C1" s="721"/>
    </row>
    <row r="2" spans="1:7" ht="33.75" x14ac:dyDescent="0.2">
      <c r="A2" s="2219" t="s">
        <v>1802</v>
      </c>
      <c r="B2" s="2220"/>
      <c r="C2" s="1884" t="s">
        <v>1956</v>
      </c>
      <c r="D2" s="723" t="s">
        <v>1957</v>
      </c>
      <c r="E2" s="723" t="s">
        <v>1958</v>
      </c>
      <c r="F2" s="1884" t="s">
        <v>1959</v>
      </c>
    </row>
    <row r="3" spans="1:7" ht="15.75" customHeight="1" x14ac:dyDescent="0.2">
      <c r="A3" s="2221" t="s">
        <v>1114</v>
      </c>
      <c r="B3" s="2222"/>
      <c r="C3" s="2215"/>
      <c r="D3" s="2216"/>
      <c r="E3" s="2216"/>
      <c r="F3" s="2217"/>
    </row>
    <row r="4" spans="1:7" ht="12.75" customHeight="1" thickBot="1" x14ac:dyDescent="0.25">
      <c r="A4" s="2209" t="s">
        <v>630</v>
      </c>
      <c r="B4" s="2210"/>
      <c r="C4" s="581"/>
      <c r="D4" s="581"/>
      <c r="E4" s="581"/>
      <c r="F4" s="1755">
        <f>SUM(C4+D4)-E4</f>
        <v>0</v>
      </c>
    </row>
    <row r="5" spans="1:7" ht="15.75" customHeight="1" thickTop="1" x14ac:dyDescent="0.2">
      <c r="A5" s="2213" t="s">
        <v>1110</v>
      </c>
      <c r="B5" s="2208"/>
      <c r="C5" s="2202"/>
      <c r="D5" s="2203"/>
      <c r="E5" s="2203"/>
      <c r="F5" s="220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5" t="s">
        <v>631</v>
      </c>
      <c r="B15" s="2206"/>
      <c r="C15" s="1755">
        <f>SUM(C6:C14)</f>
        <v>0</v>
      </c>
      <c r="D15" s="1755">
        <f>SUM(D6:D14)</f>
        <v>0</v>
      </c>
      <c r="E15" s="1755">
        <f>SUM(E6:E14)</f>
        <v>0</v>
      </c>
      <c r="F15" s="1755">
        <f>SUM(F6:F14)</f>
        <v>0</v>
      </c>
      <c r="G15" s="552"/>
    </row>
    <row r="16" spans="1:7" s="202" customFormat="1" ht="15.75" customHeight="1" thickTop="1" x14ac:dyDescent="0.2">
      <c r="A16" s="2218" t="s">
        <v>1111</v>
      </c>
      <c r="B16" s="2208"/>
      <c r="C16" s="2202"/>
      <c r="D16" s="2203"/>
      <c r="E16" s="2203"/>
      <c r="F16" s="2204"/>
    </row>
    <row r="17" spans="1:11" ht="12.75" customHeight="1" thickBot="1" x14ac:dyDescent="0.25">
      <c r="A17" s="2200" t="s">
        <v>64</v>
      </c>
      <c r="B17" s="2201"/>
      <c r="C17" s="726"/>
      <c r="D17" s="585"/>
      <c r="E17" s="726"/>
      <c r="F17" s="1755">
        <f>SUM(C17+D17)-E17</f>
        <v>0</v>
      </c>
    </row>
    <row r="18" spans="1:11" ht="12.75" customHeight="1" thickTop="1" thickBot="1" x14ac:dyDescent="0.25">
      <c r="A18" s="2200" t="s">
        <v>6</v>
      </c>
      <c r="B18" s="2201"/>
      <c r="C18" s="726"/>
      <c r="D18" s="585"/>
      <c r="E18" s="726"/>
      <c r="F18" s="1755">
        <f>SUM(C18+D18)-E18</f>
        <v>0</v>
      </c>
    </row>
    <row r="19" spans="1:11" ht="12.75" customHeight="1" thickTop="1" thickBot="1" x14ac:dyDescent="0.25">
      <c r="A19" s="2200" t="s">
        <v>388</v>
      </c>
      <c r="B19" s="2201"/>
      <c r="C19" s="726"/>
      <c r="D19" s="585"/>
      <c r="E19" s="726"/>
      <c r="F19" s="1755">
        <f>SUM(C19+D19)-E19</f>
        <v>0</v>
      </c>
    </row>
    <row r="20" spans="1:11" ht="12.75" customHeight="1" thickTop="1" thickBot="1" x14ac:dyDescent="0.25">
      <c r="A20" s="2200" t="s">
        <v>448</v>
      </c>
      <c r="B20" s="2201"/>
      <c r="C20" s="726"/>
      <c r="D20" s="585"/>
      <c r="E20" s="726"/>
      <c r="F20" s="1755">
        <f>SUM(C20+D20)-E20</f>
        <v>0</v>
      </c>
    </row>
    <row r="21" spans="1:11" ht="14.25" thickTop="1" thickBot="1" x14ac:dyDescent="0.25">
      <c r="A21" s="2205" t="s">
        <v>632</v>
      </c>
      <c r="B21" s="2206"/>
      <c r="C21" s="1755">
        <f>SUM(C17:C20)</f>
        <v>0</v>
      </c>
      <c r="D21" s="1755">
        <f>SUM(D17:D20)</f>
        <v>0</v>
      </c>
      <c r="E21" s="1755">
        <f>SUM(E17:E20)</f>
        <v>0</v>
      </c>
      <c r="F21" s="1755">
        <f>SUM(F17:F20)</f>
        <v>0</v>
      </c>
      <c r="G21" s="552"/>
    </row>
    <row r="22" spans="1:11" ht="15.75" customHeight="1" thickTop="1" x14ac:dyDescent="0.2">
      <c r="A22" s="2207" t="s">
        <v>1112</v>
      </c>
      <c r="B22" s="2208"/>
      <c r="C22" s="2202"/>
      <c r="D22" s="2203"/>
      <c r="E22" s="2203"/>
      <c r="F22" s="2204"/>
    </row>
    <row r="23" spans="1:11" ht="13.5" thickBot="1" x14ac:dyDescent="0.25">
      <c r="A23" s="2209" t="s">
        <v>633</v>
      </c>
      <c r="B23" s="2210"/>
      <c r="C23" s="581"/>
      <c r="D23" s="581"/>
      <c r="E23" s="581"/>
      <c r="F23" s="1755">
        <f>SUM(C23+D23)-E23</f>
        <v>0</v>
      </c>
      <c r="G23" s="552"/>
    </row>
    <row r="24" spans="1:11" ht="15.75" customHeight="1" thickTop="1" x14ac:dyDescent="0.2">
      <c r="A24" s="2207" t="s">
        <v>1113</v>
      </c>
      <c r="B24" s="2208"/>
      <c r="C24" s="2202"/>
      <c r="D24" s="2203"/>
      <c r="E24" s="2203"/>
      <c r="F24" s="2204"/>
    </row>
    <row r="25" spans="1:11" ht="13.5" thickBot="1" x14ac:dyDescent="0.25">
      <c r="A25" s="2209" t="s">
        <v>634</v>
      </c>
      <c r="B25" s="2210"/>
      <c r="C25" s="581"/>
      <c r="D25" s="581"/>
      <c r="E25" s="581"/>
      <c r="F25" s="1755">
        <f>SUM(C25+D25)-E25</f>
        <v>0</v>
      </c>
      <c r="G25" s="552"/>
    </row>
    <row r="26" spans="1:11" ht="15.75" customHeight="1" thickTop="1" x14ac:dyDescent="0.2">
      <c r="A26" s="2213" t="s">
        <v>657</v>
      </c>
      <c r="B26" s="2208"/>
      <c r="C26" s="727"/>
      <c r="D26" s="727"/>
      <c r="E26" s="727"/>
      <c r="F26" s="728"/>
    </row>
    <row r="27" spans="1:11" ht="13.5" thickBot="1" x14ac:dyDescent="0.25">
      <c r="A27" s="2205" t="s">
        <v>1070</v>
      </c>
      <c r="B27" s="2206"/>
      <c r="C27" s="585"/>
      <c r="D27" s="585"/>
      <c r="E27" s="585"/>
      <c r="F27" s="1755">
        <f>SUM(C27+D27)-E27</f>
        <v>0</v>
      </c>
      <c r="G27" s="552"/>
    </row>
    <row r="28" spans="1:11" ht="7.5" customHeight="1" thickTop="1" x14ac:dyDescent="0.2">
      <c r="A28" s="593"/>
    </row>
    <row r="29" spans="1:11" ht="23.25" customHeight="1" x14ac:dyDescent="0.2">
      <c r="A29" s="2211" t="s">
        <v>582</v>
      </c>
      <c r="B29" s="221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4" t="s">
        <v>584</v>
      </c>
      <c r="C52" s="2195"/>
      <c r="D52" s="2195"/>
      <c r="E52" s="749" t="s">
        <v>845</v>
      </c>
      <c r="F52" s="2196"/>
      <c r="G52" s="2197"/>
      <c r="H52" s="736"/>
      <c r="I52" s="736"/>
      <c r="J52" s="746"/>
    </row>
    <row r="53" spans="1:11" ht="11.25" customHeight="1" x14ac:dyDescent="0.2">
      <c r="A53" s="750" t="s">
        <v>913</v>
      </c>
      <c r="B53" s="751" t="s">
        <v>951</v>
      </c>
      <c r="C53" s="746"/>
      <c r="D53" s="737"/>
      <c r="E53" s="749" t="s">
        <v>497</v>
      </c>
      <c r="F53" s="2198"/>
      <c r="G53" s="2199"/>
      <c r="H53" s="736"/>
      <c r="I53" s="736"/>
      <c r="J53" s="746"/>
    </row>
    <row r="54" spans="1:11" ht="11.25" customHeight="1" x14ac:dyDescent="0.2">
      <c r="A54" s="752" t="s">
        <v>914</v>
      </c>
      <c r="B54" s="747" t="s">
        <v>952</v>
      </c>
      <c r="C54" s="746"/>
      <c r="D54" s="737"/>
      <c r="E54" s="749" t="s">
        <v>498</v>
      </c>
      <c r="F54" s="2198"/>
      <c r="G54" s="219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&amp;F&amp;C&amp;"Franklin Gothic Book,Regular"&amp;8The Notes to Financial Statements are an integral part of this statement.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E7" sqref="E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856</v>
      </c>
      <c r="B1" s="2224"/>
      <c r="C1" s="2224"/>
      <c r="D1" s="2224"/>
      <c r="E1" s="2224"/>
      <c r="F1" s="2224"/>
      <c r="G1" s="2225"/>
      <c r="H1" s="1530"/>
      <c r="I1" s="760"/>
      <c r="J1" s="433"/>
    </row>
    <row r="2" spans="1:11" ht="26.25" x14ac:dyDescent="0.2">
      <c r="A2" s="2242" t="s">
        <v>1677</v>
      </c>
      <c r="B2" s="2243"/>
      <c r="C2" s="2243"/>
      <c r="D2" s="2243"/>
      <c r="E2" s="2244"/>
      <c r="F2" s="761" t="s">
        <v>904</v>
      </c>
      <c r="G2" s="762" t="s">
        <v>1674</v>
      </c>
      <c r="H2" s="762" t="s">
        <v>410</v>
      </c>
      <c r="I2" s="762" t="s">
        <v>1158</v>
      </c>
      <c r="J2" s="762" t="s">
        <v>1812</v>
      </c>
      <c r="K2" s="762" t="s">
        <v>138</v>
      </c>
    </row>
    <row r="3" spans="1:11" x14ac:dyDescent="0.2">
      <c r="A3" s="2245" t="s">
        <v>1964</v>
      </c>
      <c r="B3" s="2246"/>
      <c r="C3" s="2246"/>
      <c r="D3" s="2246"/>
      <c r="E3" s="2247"/>
      <c r="F3" s="763"/>
      <c r="G3" s="764"/>
      <c r="H3" s="764">
        <v>0</v>
      </c>
      <c r="I3" s="764"/>
      <c r="J3" s="765"/>
      <c r="K3" s="765">
        <v>0</v>
      </c>
    </row>
    <row r="4" spans="1:11" x14ac:dyDescent="0.2">
      <c r="A4" s="2248" t="s">
        <v>369</v>
      </c>
      <c r="B4" s="2249"/>
      <c r="C4" s="2249"/>
      <c r="D4" s="2249"/>
      <c r="E4" s="2195"/>
      <c r="F4" s="766"/>
      <c r="G4" s="767"/>
      <c r="H4" s="768"/>
      <c r="I4" s="767"/>
      <c r="J4" s="769"/>
      <c r="K4" s="769"/>
    </row>
    <row r="5" spans="1:11" x14ac:dyDescent="0.2">
      <c r="A5" s="2226" t="s">
        <v>1069</v>
      </c>
      <c r="B5" s="2227"/>
      <c r="C5" s="2227"/>
      <c r="D5" s="2227"/>
      <c r="E5" s="2228"/>
      <c r="F5" s="770" t="s">
        <v>848</v>
      </c>
      <c r="G5" s="771"/>
      <c r="H5" s="764">
        <v>29288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4175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14427</v>
      </c>
    </row>
    <row r="10" spans="1:11" x14ac:dyDescent="0.2">
      <c r="A10" s="2226" t="s">
        <v>1813</v>
      </c>
      <c r="B10" s="2227"/>
      <c r="C10" s="2227"/>
      <c r="D10" s="2227"/>
      <c r="E10" s="2229"/>
      <c r="F10" s="783" t="s">
        <v>862</v>
      </c>
      <c r="G10" s="782"/>
      <c r="H10" s="784"/>
      <c r="I10" s="764"/>
      <c r="J10" s="765"/>
      <c r="K10" s="765"/>
    </row>
    <row r="11" spans="1:11" x14ac:dyDescent="0.2">
      <c r="A11" s="2226" t="s">
        <v>160</v>
      </c>
      <c r="B11" s="2227"/>
      <c r="C11" s="2227"/>
      <c r="D11" s="2227"/>
      <c r="E11" s="2228"/>
      <c r="F11" s="770" t="s">
        <v>852</v>
      </c>
      <c r="G11" s="771"/>
      <c r="H11" s="764"/>
      <c r="I11" s="764"/>
      <c r="J11" s="765"/>
      <c r="K11" s="773"/>
    </row>
    <row r="12" spans="1:11" ht="13.5" thickBot="1" x14ac:dyDescent="0.25">
      <c r="A12" s="2253" t="s">
        <v>905</v>
      </c>
      <c r="B12" s="2254"/>
      <c r="C12" s="2254"/>
      <c r="D12" s="2254"/>
      <c r="E12" s="2255"/>
      <c r="F12" s="1757"/>
      <c r="G12" s="1758">
        <f>SUM(G5:G11)</f>
        <v>0</v>
      </c>
      <c r="H12" s="1758">
        <f>SUM(H5:H11)</f>
        <v>29288</v>
      </c>
      <c r="I12" s="1758">
        <f>SUM(I5:I11)</f>
        <v>0</v>
      </c>
      <c r="J12" s="1758">
        <f>SUM(J5:J11)</f>
        <v>0</v>
      </c>
      <c r="K12" s="1758">
        <f>SUM(K5:K11)</f>
        <v>18602</v>
      </c>
    </row>
    <row r="13" spans="1:11" ht="13.5" thickTop="1" x14ac:dyDescent="0.2">
      <c r="A13" s="2250" t="s">
        <v>370</v>
      </c>
      <c r="B13" s="2251"/>
      <c r="C13" s="2251"/>
      <c r="D13" s="2251"/>
      <c r="E13" s="2252"/>
      <c r="F13" s="785"/>
      <c r="G13" s="786"/>
      <c r="H13" s="787"/>
      <c r="I13" s="788"/>
      <c r="J13" s="788"/>
      <c r="K13" s="788"/>
    </row>
    <row r="14" spans="1:11" x14ac:dyDescent="0.2">
      <c r="A14" s="2233" t="s">
        <v>456</v>
      </c>
      <c r="B14" s="2233"/>
      <c r="C14" s="2233"/>
      <c r="D14" s="2233"/>
      <c r="E14" s="2234"/>
      <c r="F14" s="789" t="s">
        <v>854</v>
      </c>
      <c r="G14" s="782"/>
      <c r="H14" s="764">
        <v>29288</v>
      </c>
      <c r="I14" s="771"/>
      <c r="J14" s="773"/>
      <c r="K14" s="765">
        <v>18602</v>
      </c>
    </row>
    <row r="15" spans="1:11" x14ac:dyDescent="0.2">
      <c r="A15" s="2227" t="s">
        <v>4</v>
      </c>
      <c r="B15" s="2227"/>
      <c r="C15" s="2227"/>
      <c r="D15" s="2227"/>
      <c r="E15" s="2228"/>
      <c r="F15" s="789" t="s">
        <v>855</v>
      </c>
      <c r="G15" s="771"/>
      <c r="H15" s="764"/>
      <c r="I15" s="764"/>
      <c r="J15" s="765"/>
      <c r="K15" s="765"/>
    </row>
    <row r="16" spans="1:11" x14ac:dyDescent="0.2">
      <c r="A16" s="2227" t="s">
        <v>298</v>
      </c>
      <c r="B16" s="2227"/>
      <c r="C16" s="2227"/>
      <c r="D16" s="2227"/>
      <c r="E16" s="2228"/>
      <c r="F16" s="789" t="s">
        <v>923</v>
      </c>
      <c r="G16" s="772"/>
      <c r="H16" s="767"/>
      <c r="I16" s="767"/>
      <c r="J16" s="769"/>
      <c r="K16" s="769"/>
    </row>
    <row r="17" spans="1:11" x14ac:dyDescent="0.2">
      <c r="A17" s="2258" t="s">
        <v>935</v>
      </c>
      <c r="B17" s="2258"/>
      <c r="C17" s="2258"/>
      <c r="D17" s="2258"/>
      <c r="E17" s="2259"/>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35" t="s">
        <v>1809</v>
      </c>
      <c r="B19" s="2235"/>
      <c r="C19" s="2235"/>
      <c r="D19" s="2235"/>
      <c r="E19" s="2236"/>
      <c r="F19" s="789" t="s">
        <v>933</v>
      </c>
      <c r="G19" s="782"/>
      <c r="H19" s="782"/>
      <c r="I19" s="782"/>
      <c r="J19" s="765"/>
      <c r="K19" s="795"/>
    </row>
    <row r="20" spans="1:11" x14ac:dyDescent="0.2">
      <c r="A20" s="2237" t="s">
        <v>1814</v>
      </c>
      <c r="B20" s="2238"/>
      <c r="C20" s="2238"/>
      <c r="D20" s="2238"/>
      <c r="E20" s="2239"/>
      <c r="F20" s="789" t="s">
        <v>934</v>
      </c>
      <c r="G20" s="782"/>
      <c r="H20" s="782"/>
      <c r="I20" s="782"/>
      <c r="J20" s="765"/>
      <c r="K20" s="795"/>
    </row>
    <row r="21" spans="1:11" ht="13.5" thickBot="1" x14ac:dyDescent="0.25">
      <c r="A21" s="2256" t="s">
        <v>638</v>
      </c>
      <c r="B21" s="2256"/>
      <c r="C21" s="2256"/>
      <c r="D21" s="2256"/>
      <c r="E21" s="2256"/>
      <c r="F21" s="1759"/>
      <c r="G21" s="792"/>
      <c r="H21" s="796"/>
      <c r="I21" s="796"/>
      <c r="J21" s="1760">
        <f>SUM(J18:J20)</f>
        <v>0</v>
      </c>
      <c r="K21" s="793"/>
    </row>
    <row r="22" spans="1:11" ht="13.5" thickTop="1" x14ac:dyDescent="0.2">
      <c r="A22" s="2227" t="s">
        <v>1815</v>
      </c>
      <c r="B22" s="2227"/>
      <c r="C22" s="2227"/>
      <c r="D22" s="2227"/>
      <c r="E22" s="2228"/>
      <c r="F22" s="789" t="s">
        <v>862</v>
      </c>
      <c r="G22" s="782"/>
      <c r="H22" s="764"/>
      <c r="I22" s="764"/>
      <c r="J22" s="797"/>
      <c r="K22" s="765"/>
    </row>
    <row r="23" spans="1:11" ht="13.5" thickBot="1" x14ac:dyDescent="0.25">
      <c r="A23" s="2257" t="s">
        <v>906</v>
      </c>
      <c r="B23" s="2256"/>
      <c r="C23" s="2256"/>
      <c r="D23" s="2256"/>
      <c r="E23" s="2256"/>
      <c r="F23" s="1761"/>
      <c r="G23" s="1758">
        <f>SUM(G14:G16,G21,G22)</f>
        <v>0</v>
      </c>
      <c r="H23" s="1758">
        <f>SUM(H14:H16,H21,H22)</f>
        <v>29288</v>
      </c>
      <c r="I23" s="1758">
        <f>SUM(I14:I16,I21,I22)</f>
        <v>0</v>
      </c>
      <c r="J23" s="1758">
        <f>SUM(J14:J16,J21,J22)</f>
        <v>0</v>
      </c>
      <c r="K23" s="1758">
        <f>SUM(K14:K16,K21,K22)</f>
        <v>18602</v>
      </c>
    </row>
    <row r="24" spans="1:11" ht="14.25" thickTop="1" thickBot="1" x14ac:dyDescent="0.25">
      <c r="A24" s="2257" t="s">
        <v>1965</v>
      </c>
      <c r="B24" s="2256"/>
      <c r="C24" s="2256"/>
      <c r="D24" s="2256"/>
      <c r="E24" s="225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0"/>
      <c r="I31" s="2231"/>
      <c r="J31" s="2231"/>
      <c r="K31" s="2231"/>
    </row>
    <row r="32" spans="1:11" x14ac:dyDescent="0.2">
      <c r="A32" s="809"/>
      <c r="B32" s="237"/>
      <c r="C32" s="237"/>
      <c r="D32" s="237"/>
      <c r="E32" s="805"/>
      <c r="F32" s="811" t="s">
        <v>540</v>
      </c>
      <c r="G32" s="764"/>
      <c r="H32" s="2232"/>
      <c r="I32" s="2231"/>
      <c r="J32" s="2231"/>
      <c r="K32" s="2231"/>
    </row>
    <row r="33" spans="1:11" ht="1.5" customHeight="1" x14ac:dyDescent="0.2">
      <c r="A33" s="812" t="s">
        <v>1169</v>
      </c>
      <c r="B33" s="364"/>
      <c r="C33" s="364"/>
      <c r="D33" s="364"/>
      <c r="E33" s="364"/>
      <c r="F33" s="364"/>
      <c r="G33" s="813"/>
      <c r="H33" s="2232"/>
      <c r="I33" s="2231"/>
      <c r="J33" s="2231"/>
      <c r="K33" s="223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7" t="s">
        <v>541</v>
      </c>
      <c r="B41" s="2240"/>
      <c r="C41" s="2240"/>
      <c r="D41" s="2240"/>
      <c r="E41" s="2240"/>
      <c r="F41" s="224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&amp;F&amp;C&amp;"Franklin Gothic Book,Regular"&amp;8The Notes to Financial Statements are an integral part of this statement.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J14" sqref="J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1909</v>
      </c>
      <c r="B1" s="2263"/>
      <c r="C1" s="2264"/>
      <c r="D1" s="826"/>
      <c r="E1" s="827"/>
      <c r="F1" s="827"/>
      <c r="G1" s="828"/>
      <c r="H1" s="829"/>
      <c r="I1" s="830"/>
      <c r="J1" s="2260"/>
      <c r="K1" s="2261"/>
      <c r="L1" s="226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704470</v>
      </c>
      <c r="D5" s="841"/>
      <c r="E5" s="841"/>
      <c r="F5" s="1760">
        <f>(C5+D5)-E5</f>
        <v>704470</v>
      </c>
      <c r="G5" s="837"/>
      <c r="H5" s="842"/>
      <c r="I5" s="842"/>
      <c r="J5" s="842"/>
      <c r="K5" s="793"/>
      <c r="L5" s="1769">
        <f>F5-K5</f>
        <v>704470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57559</v>
      </c>
      <c r="D8" s="844"/>
      <c r="E8" s="844"/>
      <c r="F8" s="1760">
        <f>(C8+D8)-E8</f>
        <v>57559</v>
      </c>
      <c r="G8" s="843">
        <v>50</v>
      </c>
      <c r="H8" s="765">
        <v>25902</v>
      </c>
      <c r="I8" s="765">
        <v>2878</v>
      </c>
      <c r="J8" s="765"/>
      <c r="K8" s="1769">
        <f>(H8+I8)-J8</f>
        <v>28780</v>
      </c>
      <c r="L8" s="1769">
        <f>F8-K8</f>
        <v>28779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622132</v>
      </c>
      <c r="D12" s="844">
        <v>203345</v>
      </c>
      <c r="E12" s="844">
        <v>114384</v>
      </c>
      <c r="F12" s="1760">
        <f>(C12+D12)-E12</f>
        <v>711093</v>
      </c>
      <c r="G12" s="843">
        <v>10</v>
      </c>
      <c r="H12" s="765">
        <v>260827</v>
      </c>
      <c r="I12" s="765">
        <v>79863</v>
      </c>
      <c r="J12" s="765">
        <v>114384</v>
      </c>
      <c r="K12" s="1769">
        <f>(H12+I12)-J12</f>
        <v>226306</v>
      </c>
      <c r="L12" s="1769">
        <f>F12-K12</f>
        <v>484787</v>
      </c>
    </row>
    <row r="13" spans="1:14" ht="14.25" thickTop="1" thickBot="1" x14ac:dyDescent="0.25">
      <c r="A13" s="848" t="s">
        <v>1122</v>
      </c>
      <c r="B13" s="840">
        <v>252</v>
      </c>
      <c r="C13" s="844">
        <v>328280</v>
      </c>
      <c r="D13" s="844"/>
      <c r="E13" s="844">
        <v>252248</v>
      </c>
      <c r="F13" s="1760">
        <f>(C13+D13)-E13</f>
        <v>76032</v>
      </c>
      <c r="G13" s="843">
        <v>5</v>
      </c>
      <c r="H13" s="765">
        <v>232214</v>
      </c>
      <c r="I13" s="765">
        <v>65655</v>
      </c>
      <c r="J13" s="765">
        <v>252248</v>
      </c>
      <c r="K13" s="1769">
        <f>(H13+I13)-J13</f>
        <v>45621</v>
      </c>
      <c r="L13" s="1769">
        <f>F13-K13</f>
        <v>30411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46421</v>
      </c>
      <c r="D15" s="844">
        <v>10880</v>
      </c>
      <c r="E15" s="844"/>
      <c r="F15" s="1760">
        <f>(C15+D15)-E15</f>
        <v>57301</v>
      </c>
      <c r="G15" s="849" t="s">
        <v>862</v>
      </c>
      <c r="H15" s="781"/>
      <c r="I15" s="781"/>
      <c r="J15" s="781"/>
      <c r="K15" s="781"/>
      <c r="L15" s="1769">
        <f>F15-K15</f>
        <v>57301</v>
      </c>
    </row>
    <row r="16" spans="1:14" ht="15" customHeight="1" thickTop="1" thickBot="1" x14ac:dyDescent="0.25">
      <c r="A16" s="1765" t="s">
        <v>643</v>
      </c>
      <c r="B16" s="1766">
        <v>200</v>
      </c>
      <c r="C16" s="1760">
        <f>SUM(C3,C5:C6,C8:C10,C12:C15)</f>
        <v>1758862</v>
      </c>
      <c r="D16" s="1760">
        <f>SUM(D3,D5:D6,D8:D10,D12:D15)</f>
        <v>214225</v>
      </c>
      <c r="E16" s="1760">
        <f>SUM(E3,E5:E6,E8:E10,E12:E15)</f>
        <v>366632</v>
      </c>
      <c r="F16" s="1760">
        <f>SUM(F3,F5:F6,F8:F10,F12:F15)</f>
        <v>1606455</v>
      </c>
      <c r="G16" s="843"/>
      <c r="H16" s="1760">
        <f>SUM(H3,H6,H8:H10,H12:H14,)</f>
        <v>518943</v>
      </c>
      <c r="I16" s="1760">
        <f>SUM(I3,I6,I8:I10,I12:I14,)</f>
        <v>148396</v>
      </c>
      <c r="J16" s="1760">
        <f>SUM(J3,J6,J8:J10,J12:J14,)</f>
        <v>366632</v>
      </c>
      <c r="K16" s="1760">
        <f>(H16+I16)-J16</f>
        <v>300707</v>
      </c>
      <c r="L16" s="1760">
        <f>F16-K16</f>
        <v>1305748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148396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&amp;F&amp;C&amp;"Franklin Gothic Book,Regular"&amp;8The Notes to Financial Statements are an integral part of this statement.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9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1975</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3235156</v>
      </c>
      <c r="G8" s="865"/>
    </row>
    <row r="9" spans="1:7" x14ac:dyDescent="0.2">
      <c r="A9" s="869" t="s">
        <v>460</v>
      </c>
      <c r="B9" s="870" t="s">
        <v>1877</v>
      </c>
      <c r="C9" s="871"/>
      <c r="D9" s="869" t="s">
        <v>501</v>
      </c>
      <c r="E9" s="868"/>
      <c r="F9" s="1909">
        <f>'Expenditures 15-22'!K151</f>
        <v>438300</v>
      </c>
      <c r="G9" s="872"/>
    </row>
    <row r="10" spans="1:7" x14ac:dyDescent="0.2">
      <c r="A10" s="869" t="s">
        <v>499</v>
      </c>
      <c r="B10" s="870" t="s">
        <v>1878</v>
      </c>
      <c r="C10" s="871"/>
      <c r="D10" s="869" t="s">
        <v>501</v>
      </c>
      <c r="E10" s="868"/>
      <c r="F10" s="1909">
        <f>'Expenditures 15-22'!K174</f>
        <v>0</v>
      </c>
      <c r="G10" s="872"/>
    </row>
    <row r="11" spans="1:7" x14ac:dyDescent="0.2">
      <c r="A11" s="869" t="s">
        <v>461</v>
      </c>
      <c r="B11" s="870" t="s">
        <v>1879</v>
      </c>
      <c r="C11" s="871"/>
      <c r="D11" s="869" t="s">
        <v>501</v>
      </c>
      <c r="E11" s="868"/>
      <c r="F11" s="1909">
        <f>'Expenditures 15-22'!K210</f>
        <v>386684</v>
      </c>
      <c r="G11" s="872"/>
    </row>
    <row r="12" spans="1:7" x14ac:dyDescent="0.2">
      <c r="A12" s="869" t="s">
        <v>462</v>
      </c>
      <c r="B12" s="870" t="s">
        <v>1880</v>
      </c>
      <c r="C12" s="871"/>
      <c r="D12" s="869" t="s">
        <v>501</v>
      </c>
      <c r="E12" s="868"/>
      <c r="F12" s="1909">
        <f>'Expenditures 15-22'!K295</f>
        <v>100816</v>
      </c>
      <c r="G12" s="872"/>
    </row>
    <row r="13" spans="1:7" x14ac:dyDescent="0.2">
      <c r="A13" s="869" t="s">
        <v>106</v>
      </c>
      <c r="B13" s="870" t="s">
        <v>1881</v>
      </c>
      <c r="C13" s="871"/>
      <c r="D13" s="869" t="s">
        <v>501</v>
      </c>
      <c r="E13" s="868"/>
      <c r="F13" s="1909">
        <f>'Expenditures 15-22'!K342</f>
        <v>280126</v>
      </c>
      <c r="G13" s="873"/>
    </row>
    <row r="14" spans="1:7" ht="12" customHeight="1" thickBot="1" x14ac:dyDescent="0.25">
      <c r="A14" s="1770"/>
      <c r="B14" s="1771"/>
      <c r="C14" s="1772"/>
      <c r="D14" s="1773" t="s">
        <v>501</v>
      </c>
      <c r="E14" s="1774" t="s">
        <v>958</v>
      </c>
      <c r="F14" s="1775">
        <f>SUM(F8:F13)</f>
        <v>4441082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9175</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344584</v>
      </c>
      <c r="G53" s="865"/>
    </row>
    <row r="54" spans="1:7" x14ac:dyDescent="0.2">
      <c r="A54" s="869" t="s">
        <v>459</v>
      </c>
      <c r="B54" s="869" t="s">
        <v>1476</v>
      </c>
      <c r="C54" s="889" t="s">
        <v>982</v>
      </c>
      <c r="D54" s="885" t="s">
        <v>1095</v>
      </c>
      <c r="E54" s="868"/>
      <c r="F54" s="1913">
        <f>'Expenditures 15-22'!G114</f>
        <v>148441</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98446</v>
      </c>
      <c r="G57" s="865"/>
    </row>
    <row r="58" spans="1:7" x14ac:dyDescent="0.2">
      <c r="A58" s="869" t="s">
        <v>460</v>
      </c>
      <c r="B58" s="869" t="s">
        <v>1883</v>
      </c>
      <c r="C58" s="886" t="s">
        <v>982</v>
      </c>
      <c r="D58" s="885" t="s">
        <v>1095</v>
      </c>
      <c r="E58" s="868"/>
      <c r="F58" s="1915">
        <f>'Expenditures 15-22'!G151</f>
        <v>27219</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35745</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663610</v>
      </c>
      <c r="G76" s="865"/>
    </row>
    <row r="77" spans="1:8" s="893" customFormat="1" ht="12" customHeight="1" thickTop="1" thickBot="1" x14ac:dyDescent="0.25">
      <c r="A77" s="1779"/>
      <c r="B77" s="1776"/>
      <c r="C77" s="1772"/>
      <c r="D77" s="1777" t="s">
        <v>1900</v>
      </c>
      <c r="E77" s="1774"/>
      <c r="F77" s="1780">
        <f>(F14-F76)</f>
        <v>3777472</v>
      </c>
      <c r="G77" s="869"/>
    </row>
    <row r="78" spans="1:8" s="893" customFormat="1" ht="12" customHeight="1" thickTop="1" x14ac:dyDescent="0.2">
      <c r="A78" s="1781"/>
      <c r="B78" s="1776"/>
      <c r="C78" s="1772"/>
      <c r="D78" s="1777" t="s">
        <v>2062</v>
      </c>
      <c r="E78" s="1774"/>
      <c r="F78" s="898">
        <v>293.10000000000002</v>
      </c>
      <c r="G78" s="899"/>
      <c r="H78" s="869"/>
    </row>
    <row r="79" spans="1:8" s="893" customFormat="1" ht="12" customHeight="1" thickBot="1" x14ac:dyDescent="0.25">
      <c r="A79" s="1782"/>
      <c r="B79" s="1776"/>
      <c r="C79" s="1772"/>
      <c r="D79" s="1777" t="s">
        <v>1901</v>
      </c>
      <c r="E79" s="1774" t="s">
        <v>958</v>
      </c>
      <c r="F79" s="1783">
        <f>IF(F78&gt;0,F77/F78," Complete Line 78")</f>
        <v>12887.997270556123</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16131</v>
      </c>
      <c r="G94" s="912"/>
    </row>
    <row r="95" spans="1:7" x14ac:dyDescent="0.2">
      <c r="A95" s="908" t="s">
        <v>140</v>
      </c>
      <c r="B95" s="908" t="s">
        <v>175</v>
      </c>
      <c r="C95" s="910">
        <v>1700</v>
      </c>
      <c r="D95" s="918" t="str">
        <f>'Revenues 9-14'!A82</f>
        <v>Total District/School Activity Income</v>
      </c>
      <c r="E95" s="906"/>
      <c r="F95" s="1789">
        <f>SUM('Revenues 9-14'!C82,'Revenues 9-14'!D82)</f>
        <v>18453</v>
      </c>
      <c r="G95" s="912"/>
    </row>
    <row r="96" spans="1:7" x14ac:dyDescent="0.2">
      <c r="A96" s="908" t="s">
        <v>459</v>
      </c>
      <c r="B96" s="908" t="s">
        <v>176</v>
      </c>
      <c r="C96" s="910">
        <f>'Revenues 9-14'!B84</f>
        <v>1811</v>
      </c>
      <c r="D96" s="911" t="str">
        <f>'Revenues 9-14'!A84</f>
        <v>Rentals - Regular Textbooks</v>
      </c>
      <c r="E96" s="906"/>
      <c r="F96" s="1789">
        <f>'Revenues 9-14'!C84</f>
        <v>24488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676</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18262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39411</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121451</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88873</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657</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14427</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161262</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1662</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33737</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119393</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49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3998</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100778</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763708</v>
      </c>
    </row>
    <row r="175" spans="1:7" ht="12" customHeight="1" x14ac:dyDescent="0.2">
      <c r="A175" s="1770"/>
      <c r="B175" s="1784"/>
      <c r="C175" s="1785"/>
      <c r="D175" s="1786" t="s">
        <v>2057</v>
      </c>
      <c r="E175" s="1787"/>
      <c r="F175" s="1789">
        <f>'PCTC-OEPP 27-28'!F77-F174</f>
        <v>3013764</v>
      </c>
    </row>
    <row r="176" spans="1:7" ht="12" customHeight="1" x14ac:dyDescent="0.2">
      <c r="A176" s="1770"/>
      <c r="B176" s="1784"/>
      <c r="C176" s="1785"/>
      <c r="D176" s="1786" t="s">
        <v>1817</v>
      </c>
      <c r="E176" s="1787"/>
      <c r="F176" s="1789">
        <f>'Cap Outlay Deprec 26'!I18</f>
        <v>148396</v>
      </c>
    </row>
    <row r="177" spans="1:7" ht="12" customHeight="1" x14ac:dyDescent="0.2">
      <c r="A177" s="1770"/>
      <c r="B177" s="1784"/>
      <c r="C177" s="1785"/>
      <c r="D177" s="1786" t="s">
        <v>2058</v>
      </c>
      <c r="E177" s="1787"/>
      <c r="F177" s="1789">
        <f>F175+F176</f>
        <v>3162160</v>
      </c>
    </row>
    <row r="178" spans="1:7" ht="12" customHeight="1" x14ac:dyDescent="0.2">
      <c r="A178" s="1770"/>
      <c r="B178" s="1790"/>
      <c r="C178" s="1785"/>
      <c r="D178" s="1786" t="str">
        <f>D78</f>
        <v>9 Month ADA from District Average Daily Attendance/Prior General State Aid Inquiry 2018-2019</v>
      </c>
      <c r="E178" s="1787"/>
      <c r="F178" s="1791">
        <f>'PCTC-OEPP 27-28'!F78</f>
        <v>293.10000000000002</v>
      </c>
      <c r="G178" s="930"/>
    </row>
    <row r="179" spans="1:7" ht="12" customHeight="1" thickBot="1" x14ac:dyDescent="0.25">
      <c r="A179" s="1770"/>
      <c r="B179" s="1790"/>
      <c r="C179" s="1785"/>
      <c r="D179" s="1786" t="s">
        <v>2059</v>
      </c>
      <c r="E179" s="1787" t="s">
        <v>1545</v>
      </c>
      <c r="F179" s="1792">
        <f>F177/F178</f>
        <v>10788.672807915387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&amp;F&amp;C&amp;"Franklin Gothic Book,Regular"&amp;8The Notes to Financial Statements are an integral part of this statement.</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B20" sqref="B20"/>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9" t="s">
        <v>1818</v>
      </c>
      <c r="B4" s="2280"/>
      <c r="C4" s="2280"/>
      <c r="D4" s="2280"/>
      <c r="E4" s="2280"/>
      <c r="F4" s="2280"/>
      <c r="G4" s="2281"/>
    </row>
    <row r="5" spans="1:7" x14ac:dyDescent="0.25">
      <c r="A5" s="2282"/>
      <c r="B5" s="2283"/>
      <c r="C5" s="2283"/>
      <c r="D5" s="2283"/>
      <c r="E5" s="2283"/>
      <c r="F5" s="2283"/>
      <c r="G5" s="2284"/>
    </row>
    <row r="6" spans="1:7" ht="18.75" x14ac:dyDescent="0.25">
      <c r="A6" s="1534" t="s">
        <v>1819</v>
      </c>
      <c r="B6" s="1535"/>
      <c r="C6" s="1535"/>
      <c r="D6" s="1535"/>
      <c r="E6" s="1535"/>
      <c r="F6" s="1535"/>
      <c r="G6" s="1536"/>
    </row>
    <row r="7" spans="1:7" ht="30.75" customHeight="1" x14ac:dyDescent="0.25">
      <c r="A7" s="2285" t="s">
        <v>1932</v>
      </c>
      <c r="B7" s="2286"/>
      <c r="C7" s="2286"/>
      <c r="D7" s="2286"/>
      <c r="E7" s="2286"/>
      <c r="F7" s="2286"/>
      <c r="G7" s="2287"/>
    </row>
    <row r="8" spans="1:7" ht="15.75" customHeight="1" x14ac:dyDescent="0.25">
      <c r="A8" s="2288" t="s">
        <v>1907</v>
      </c>
      <c r="B8" s="2289"/>
      <c r="C8" s="2289"/>
      <c r="D8" s="2289"/>
      <c r="E8" s="2289"/>
      <c r="F8" s="2289"/>
      <c r="G8" s="2290"/>
    </row>
    <row r="9" spans="1:7" ht="35.25" customHeight="1" x14ac:dyDescent="0.25">
      <c r="A9" s="2285" t="s">
        <v>1935</v>
      </c>
      <c r="B9" s="2286"/>
      <c r="C9" s="2286"/>
      <c r="D9" s="2286"/>
      <c r="E9" s="2286"/>
      <c r="F9" s="2286"/>
      <c r="G9" s="2287"/>
    </row>
    <row r="10" spans="1:7" ht="15" customHeight="1" x14ac:dyDescent="0.25">
      <c r="A10" s="1537" t="s">
        <v>1820</v>
      </c>
      <c r="B10" s="1538"/>
      <c r="C10" s="1538"/>
      <c r="D10" s="1538"/>
      <c r="E10" s="1538"/>
      <c r="F10" s="1538"/>
      <c r="G10" s="1539"/>
    </row>
    <row r="11" spans="1:7" ht="17.25" customHeight="1" x14ac:dyDescent="0.25">
      <c r="A11" s="2285" t="s">
        <v>1934</v>
      </c>
      <c r="B11" s="2286"/>
      <c r="C11" s="2286"/>
      <c r="D11" s="2286"/>
      <c r="E11" s="2286"/>
      <c r="F11" s="2286"/>
      <c r="G11" s="2287"/>
    </row>
    <row r="12" spans="1:7" ht="15" customHeight="1" x14ac:dyDescent="0.25">
      <c r="A12" s="1537" t="s">
        <v>1825</v>
      </c>
      <c r="B12" s="1538"/>
      <c r="C12" s="1538"/>
      <c r="D12" s="1538"/>
      <c r="E12" s="1538"/>
      <c r="F12" s="1538"/>
      <c r="G12" s="1539"/>
    </row>
    <row r="13" spans="1:7" ht="32.25" customHeight="1" x14ac:dyDescent="0.25">
      <c r="A13" s="2276" t="s">
        <v>1976</v>
      </c>
      <c r="B13" s="2277"/>
      <c r="C13" s="2277"/>
      <c r="D13" s="2277"/>
      <c r="E13" s="2277"/>
      <c r="F13" s="2277"/>
      <c r="G13" s="227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2082</v>
      </c>
      <c r="B17" s="1938" t="s">
        <v>2083</v>
      </c>
      <c r="C17" s="1939" t="s">
        <v>2084</v>
      </c>
      <c r="D17" s="1844">
        <v>71400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46400</v>
      </c>
      <c r="H17" s="1647"/>
    </row>
    <row r="18" spans="1:8" x14ac:dyDescent="0.25">
      <c r="A18" s="1937" t="s">
        <v>2085</v>
      </c>
      <c r="B18" s="1938" t="s">
        <v>2086</v>
      </c>
      <c r="C18" s="1940" t="s">
        <v>2096</v>
      </c>
      <c r="D18" s="1844">
        <v>63747</v>
      </c>
      <c r="E18" s="1540">
        <f t="shared" ref="E18:E140" si="2">IF(D18&lt;=25000,D18,IF(D18&gt;25000,25000,0))</f>
        <v>25000</v>
      </c>
      <c r="F18" s="1932">
        <f t="shared" si="1"/>
        <v>25000</v>
      </c>
      <c r="G18" s="1793">
        <f t="shared" ref="G18:G140" si="3">IF(F18=0,0,D18-F18)</f>
        <v>38747</v>
      </c>
    </row>
    <row r="19" spans="1:8" x14ac:dyDescent="0.25">
      <c r="A19" s="1941" t="s">
        <v>2098</v>
      </c>
      <c r="B19" s="2496" t="s">
        <v>2123</v>
      </c>
      <c r="C19" s="1940" t="s">
        <v>2097</v>
      </c>
      <c r="D19" s="1844">
        <v>600</v>
      </c>
      <c r="E19" s="1540">
        <f t="shared" si="2"/>
        <v>600</v>
      </c>
      <c r="F19" s="1932">
        <f t="shared" si="1"/>
        <v>600</v>
      </c>
      <c r="G19" s="1793">
        <f t="shared" si="3"/>
        <v>0</v>
      </c>
    </row>
    <row r="20" spans="1:8" x14ac:dyDescent="0.25">
      <c r="A20" s="1947" t="s">
        <v>2119</v>
      </c>
      <c r="B20" s="1948" t="s">
        <v>2120</v>
      </c>
      <c r="C20" s="1949" t="s">
        <v>2121</v>
      </c>
      <c r="D20" s="1844">
        <v>17195</v>
      </c>
      <c r="E20" s="1540">
        <f t="shared" si="2"/>
        <v>17195</v>
      </c>
      <c r="F20" s="1932">
        <f t="shared" si="1"/>
        <v>17195</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152942</v>
      </c>
      <c r="E141" s="1541">
        <f t="shared" si="0"/>
        <v>25000</v>
      </c>
      <c r="F141" s="1933">
        <f>SUM(F17:F140)</f>
        <v>67795</v>
      </c>
      <c r="G141" s="1795">
        <f>SUM(G17:G140)</f>
        <v>85147</v>
      </c>
    </row>
  </sheetData>
  <sheetProtection password="F60E" sheet="1" selectLockedCells="1"/>
  <mergeCells count="6">
    <mergeCell ref="A13:G13"/>
    <mergeCell ref="A4:G5"/>
    <mergeCell ref="A11:G11"/>
    <mergeCell ref="A7:G7"/>
    <mergeCell ref="A8:G8"/>
    <mergeCell ref="A9:G9"/>
  </mergeCells>
  <pageMargins left="0.2" right="0.2" top="0.5" bottom="0.5" header="0.3" footer="0.3"/>
  <pageSetup scale="83" firstPageNumber="30" fitToHeight="0" orientation="landscape" r:id="rId1"/>
  <headerFooter>
    <oddHeader>&amp;RPage 29</oddHeader>
    <oddFooter>&amp;C&amp;"Franklin Gothic Book,Regular"&amp;8The Notes to Financial Statements are an integral part of this statement.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1679</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26281</v>
      </c>
      <c r="F10" s="974"/>
      <c r="G10" s="975"/>
      <c r="H10" s="162"/>
      <c r="I10" s="162"/>
    </row>
    <row r="11" spans="1:9" s="668" customFormat="1" ht="22.5" customHeight="1" x14ac:dyDescent="0.2">
      <c r="A11" s="2296" t="s">
        <v>1977</v>
      </c>
      <c r="B11" s="2297"/>
      <c r="C11" s="2297"/>
      <c r="D11" s="2298"/>
      <c r="E11" s="977">
        <v>4066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2171913</v>
      </c>
      <c r="F19" s="1799"/>
      <c r="G19" s="1801">
        <f>'Expenditures 15-22'!K33-SUM('Expenditures 15-22'!G33,'Expenditures 15-22'!I33)+'Expenditures 15-22'!D229</f>
        <v>2171913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74726</v>
      </c>
      <c r="F21" s="1802"/>
      <c r="G21" s="1805">
        <f>'Expenditures 15-22'!K42-SUM('Expenditures 15-22'!G42,'Expenditures 15-22'!I42)+'Expenditures 15-22'!K120-SUM('Expenditures 15-22'!G120,'Expenditures 15-22'!I120)+'Expenditures 15-22'!K180-SUM('Expenditures 15-22'!G180,'Expenditures 15-22'!I180)+'Expenditures 15-22'!D238</f>
        <v>74726</v>
      </c>
      <c r="H21" s="987"/>
      <c r="I21" s="162"/>
    </row>
    <row r="22" spans="1:9" s="668" customFormat="1" ht="12" customHeight="1" x14ac:dyDescent="0.2">
      <c r="A22" s="994" t="s">
        <v>564</v>
      </c>
      <c r="B22" s="995"/>
      <c r="C22" s="993">
        <v>2200</v>
      </c>
      <c r="D22" s="1802"/>
      <c r="E22" s="1804">
        <f>'Expenditures 15-22'!K47-SUM('Expenditures 15-22'!G47,'Expenditures 15-22'!I47)+'Expenditures 15-22'!D243</f>
        <v>752</v>
      </c>
      <c r="F22" s="1802"/>
      <c r="G22" s="1805">
        <f>'Expenditures 15-22'!K47-SUM('Expenditures 15-22'!G47,'Expenditures 15-22'!I47)+'Expenditures 15-22'!D243</f>
        <v>752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449838</v>
      </c>
      <c r="F23" s="1802"/>
      <c r="G23" s="1804">
        <f>'Expenditures 15-22'!K53-SUM('Expenditures 15-22'!G53,'Expenditures 15-22'!I53)+'Expenditures 15-22'!D257+'Expenditures 15-22'!K330-SUM('Expenditures 15-22'!G330,'Expenditures 15-22'!I330)</f>
        <v>449838</v>
      </c>
      <c r="H23" s="987"/>
      <c r="I23" s="162"/>
    </row>
    <row r="24" spans="1:9" s="668" customFormat="1" ht="12" customHeight="1" x14ac:dyDescent="0.2">
      <c r="A24" s="994" t="s">
        <v>566</v>
      </c>
      <c r="B24" s="995"/>
      <c r="C24" s="993">
        <v>2400</v>
      </c>
      <c r="D24" s="1802"/>
      <c r="E24" s="1804">
        <f>'Expenditures 15-22'!K57-SUM('Expenditures 15-22'!G57,'Expenditures 15-22'!I57)+'Expenditures 15-22'!D261</f>
        <v>230959</v>
      </c>
      <c r="F24" s="1802"/>
      <c r="G24" s="1805">
        <f>'Expenditures 15-22'!K57-SUM('Expenditures 15-22'!G57,'Expenditures 15-22'!I57)+'Expenditures 15-22'!D261</f>
        <v>230959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54118</v>
      </c>
      <c r="E27" s="1804">
        <f>E8</f>
        <v>0</v>
      </c>
      <c r="F27" s="1804">
        <f>'Expenditures 15-22'!K60-SUM('Expenditures 15-22'!G60,'Expenditures 15-22'!I60)+'Expenditures 15-22'!D264-E8</f>
        <v>54118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251011</v>
      </c>
      <c r="F28" s="1806">
        <f>'Expenditures 15-22'!K61-SUM('Expenditures 15-22'!G61,'Expenditures 15-22'!I61)+'Expenditures 15-22'!K124-SUM('Expenditures 15-22'!G124,'Expenditures 15-22'!I124)+'Expenditures 15-22'!D266-E9</f>
        <v>251011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373944</v>
      </c>
      <c r="F29" s="1802"/>
      <c r="G29" s="1805">
        <f>'Expenditures 15-22'!K62-SUM('Expenditures 15-22'!G62,'Expenditures 15-22'!I62)+'Expenditures 15-22'!K125-SUM('Expenditures 15-22'!G125,'Expenditures 15-22'!I125)+'Expenditures 15-22'!K182-SUM('Expenditures 15-22'!G182,'Expenditures 15-22'!I182)+'Expenditures 15-22'!D267</f>
        <v>373944</v>
      </c>
      <c r="H29" s="985"/>
    </row>
    <row r="30" spans="1:9" ht="12" customHeight="1" x14ac:dyDescent="0.2">
      <c r="A30" s="994" t="s">
        <v>100</v>
      </c>
      <c r="B30" s="997"/>
      <c r="C30" s="993">
        <v>2560</v>
      </c>
      <c r="D30" s="1802"/>
      <c r="E30" s="1804">
        <f>'Expenditures 15-22'!K63-SUM('Expenditures 15-22'!G63,'Expenditures 15-22'!I63)+'Expenditures 15-22'!D268-E10</f>
        <v>-26281</v>
      </c>
      <c r="F30" s="1802"/>
      <c r="G30" s="1804">
        <f>'Expenditures 15-22'!K63-SUM('Expenditures 15-22'!G63,'Expenditures 15-22'!I63)+'Expenditures 15-22'!D268-E10</f>
        <v>-26281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78524</v>
      </c>
      <c r="E37" s="1804">
        <f>E14</f>
        <v>0</v>
      </c>
      <c r="F37" s="1804">
        <f>'Expenditures 15-22'!K71-SUM('Expenditures 15-22'!G71,'Expenditures 15-22'!I71)+'Expenditures 15-22'!D276-E14</f>
        <v>78524</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94556</v>
      </c>
      <c r="F38" s="1802"/>
      <c r="G38" s="1804">
        <f>'Expenditures 15-22'!K73-SUM('Expenditures 15-22'!G73,'Expenditures 15-22'!I73)+'Expenditures 15-22'!K128-SUM('Expenditures 15-22'!G128,'Expenditures 15-22'!I128)+'Expenditures 15-22'!K183-SUM('Expenditures 15-22'!G183,'Expenditures 15-22'!I183)+'Expenditures 15-22'!D278</f>
        <v>94556</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-85147</v>
      </c>
      <c r="F40" s="1802"/>
      <c r="G40" s="1806">
        <f>-'Contracts Paid in CY 29'!G141</f>
        <v>-85147</v>
      </c>
    </row>
    <row r="41" spans="1:7" ht="12" customHeight="1" x14ac:dyDescent="0.2">
      <c r="A41" s="998" t="s">
        <v>156</v>
      </c>
      <c r="B41" s="999"/>
      <c r="C41" s="1000"/>
      <c r="D41" s="1806">
        <f>SUM(D19:D39)</f>
        <v>132642</v>
      </c>
      <c r="E41" s="1806">
        <f>SUM(E19:E40)</f>
        <v>3536271</v>
      </c>
      <c r="F41" s="1806">
        <f>SUM(F19:F39)</f>
        <v>383653</v>
      </c>
      <c r="G41" s="1806">
        <f>SUM(G19:G40)</f>
        <v>3285260</v>
      </c>
    </row>
    <row r="42" spans="1:7" x14ac:dyDescent="0.2">
      <c r="A42" s="987"/>
      <c r="B42" s="162"/>
      <c r="C42" s="1001"/>
      <c r="D42" s="2294" t="s">
        <v>522</v>
      </c>
      <c r="E42" s="2295"/>
      <c r="F42" s="1002" t="s">
        <v>523</v>
      </c>
      <c r="G42" s="1003"/>
    </row>
    <row r="43" spans="1:7" ht="12" customHeight="1" x14ac:dyDescent="0.2">
      <c r="A43" s="987"/>
      <c r="B43" s="162"/>
      <c r="C43" s="1001"/>
      <c r="D43" s="1807" t="s">
        <v>473</v>
      </c>
      <c r="E43" s="1808">
        <f>D41</f>
        <v>132642</v>
      </c>
      <c r="F43" s="1807" t="s">
        <v>473</v>
      </c>
      <c r="G43" s="1808">
        <f>F41</f>
        <v>383653</v>
      </c>
    </row>
    <row r="44" spans="1:7" ht="12" customHeight="1" x14ac:dyDescent="0.2">
      <c r="A44" s="987"/>
      <c r="B44" s="162"/>
      <c r="C44" s="1001"/>
      <c r="D44" s="1807" t="s">
        <v>474</v>
      </c>
      <c r="E44" s="1808">
        <f>E41</f>
        <v>3536271</v>
      </c>
      <c r="F44" s="1807" t="s">
        <v>474</v>
      </c>
      <c r="G44" s="1808">
        <f>G41</f>
        <v>3285260</v>
      </c>
    </row>
    <row r="45" spans="1:7" ht="12" customHeight="1" x14ac:dyDescent="0.2">
      <c r="A45" s="987"/>
      <c r="B45" s="162"/>
      <c r="C45" s="162"/>
      <c r="D45" s="1809" t="s">
        <v>1006</v>
      </c>
      <c r="E45" s="1810">
        <f>(E43/E44)</f>
        <v>3.7509003127871136E-2</v>
      </c>
      <c r="F45" s="1809" t="s">
        <v>1006</v>
      </c>
      <c r="G45" s="1810">
        <f>(G43/G44)</f>
        <v>0.11678010264027809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&amp;F&amp;C&amp;"Franklin Gothic Book,Regular"&amp;8The Notes to Financial Statements are an integral part of this statement.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0" activePane="bottomLeft" state="frozen"/>
      <selection activeCell="A47" sqref="A47"/>
      <selection pane="bottomLeft" activeCell="F21" sqref="F2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3" t="s">
        <v>1379</v>
      </c>
      <c r="B1" s="2313"/>
      <c r="C1" s="2313"/>
      <c r="D1" s="2313"/>
      <c r="E1" s="2313"/>
      <c r="F1" s="2313"/>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14" t="s">
        <v>1546</v>
      </c>
      <c r="B5" s="2315"/>
      <c r="C5" s="2316"/>
      <c r="D5" s="2316"/>
      <c r="E5" s="2316"/>
      <c r="F5" s="2316"/>
    </row>
    <row r="6" spans="1:10" ht="12" customHeight="1" x14ac:dyDescent="0.25">
      <c r="A6" s="1850"/>
      <c r="B6" s="1851"/>
      <c r="C6" s="2317" t="str">
        <f>COVER!A17</f>
        <v>Illini West H S Dist 307</v>
      </c>
      <c r="D6" s="2317"/>
      <c r="E6" s="2317"/>
      <c r="F6" s="1852"/>
    </row>
    <row r="7" spans="1:10" ht="11.25" customHeight="1" thickBot="1" x14ac:dyDescent="0.3">
      <c r="A7" s="1850"/>
      <c r="B7" s="1851"/>
      <c r="C7" s="2318">
        <f>COVER!A13</f>
        <v>26034307016</v>
      </c>
      <c r="D7" s="2318"/>
      <c r="E7" s="2318"/>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t="s">
        <v>2064</v>
      </c>
      <c r="D12" s="1865" t="s">
        <v>2064</v>
      </c>
      <c r="E12" s="1868" t="s">
        <v>2064</v>
      </c>
      <c r="F12" s="1867" t="s">
        <v>2087</v>
      </c>
      <c r="H12" s="1878">
        <f t="shared" ref="H12:H33" si="0">IF(C12="X",5,0)</f>
        <v>5</v>
      </c>
      <c r="I12" s="1878">
        <f t="shared" ref="I12:I33" si="1">IF(D12="X",5,0)</f>
        <v>5</v>
      </c>
      <c r="J12" s="1878">
        <f t="shared" ref="J12:J33" si="2">IF(E12="X",5,0)</f>
        <v>5</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2064</v>
      </c>
      <c r="D16" s="1865" t="s">
        <v>2064</v>
      </c>
      <c r="E16" s="1868" t="s">
        <v>2064</v>
      </c>
      <c r="F16" s="1867" t="s">
        <v>2087</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t="s">
        <v>2088</v>
      </c>
      <c r="D18" s="1865" t="s">
        <v>2064</v>
      </c>
      <c r="E18" s="1868" t="s">
        <v>2064</v>
      </c>
      <c r="F18" s="1867" t="s">
        <v>2087</v>
      </c>
      <c r="H18" s="1878">
        <f t="shared" si="0"/>
        <v>0</v>
      </c>
      <c r="I18" s="1878">
        <f t="shared" si="1"/>
        <v>5</v>
      </c>
      <c r="J18" s="1878">
        <f t="shared" si="2"/>
        <v>5</v>
      </c>
    </row>
    <row r="19" spans="1:12" ht="12" customHeight="1" x14ac:dyDescent="0.2">
      <c r="A19" s="1863" t="s">
        <v>1527</v>
      </c>
      <c r="B19" s="1864"/>
      <c r="C19" s="1865" t="s">
        <v>2088</v>
      </c>
      <c r="D19" s="1865" t="s">
        <v>2064</v>
      </c>
      <c r="E19" s="1868" t="s">
        <v>2064</v>
      </c>
      <c r="F19" s="1867" t="s">
        <v>2089</v>
      </c>
      <c r="H19" s="1878">
        <f t="shared" si="0"/>
        <v>0</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2064</v>
      </c>
      <c r="D24" s="1865" t="s">
        <v>2064</v>
      </c>
      <c r="E24" s="1868" t="s">
        <v>2064</v>
      </c>
      <c r="F24" s="1867" t="s">
        <v>2090</v>
      </c>
      <c r="H24" s="1878">
        <f t="shared" si="0"/>
        <v>5</v>
      </c>
      <c r="I24" s="1878">
        <f t="shared" si="1"/>
        <v>5</v>
      </c>
      <c r="J24" s="1878">
        <f t="shared" si="2"/>
        <v>5</v>
      </c>
    </row>
    <row r="25" spans="1:12" ht="12" customHeight="1" x14ac:dyDescent="0.2">
      <c r="A25" s="1863" t="s">
        <v>1533</v>
      </c>
      <c r="B25" s="1864"/>
      <c r="C25" s="1865" t="s">
        <v>2064</v>
      </c>
      <c r="D25" s="1865" t="s">
        <v>2064</v>
      </c>
      <c r="E25" s="1868" t="s">
        <v>2064</v>
      </c>
      <c r="F25" s="1867" t="s">
        <v>2087</v>
      </c>
      <c r="H25" s="1878">
        <f t="shared" si="0"/>
        <v>5</v>
      </c>
      <c r="I25" s="1878">
        <f t="shared" si="1"/>
        <v>5</v>
      </c>
      <c r="J25" s="1878">
        <f t="shared" si="2"/>
        <v>5</v>
      </c>
    </row>
    <row r="26" spans="1:12" ht="12" customHeight="1" x14ac:dyDescent="0.2">
      <c r="A26" s="1863" t="s">
        <v>1534</v>
      </c>
      <c r="B26" s="1864"/>
      <c r="C26" s="1865" t="s">
        <v>2064</v>
      </c>
      <c r="D26" s="1865" t="s">
        <v>2064</v>
      </c>
      <c r="E26" s="1868" t="s">
        <v>2064</v>
      </c>
      <c r="F26" s="1867" t="s">
        <v>2091</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2064</v>
      </c>
      <c r="D28" s="1865" t="s">
        <v>2064</v>
      </c>
      <c r="E28" s="1868" t="s">
        <v>2064</v>
      </c>
      <c r="F28" s="1867" t="s">
        <v>2095</v>
      </c>
      <c r="H28" s="1878">
        <f t="shared" si="0"/>
        <v>5</v>
      </c>
      <c r="I28" s="1878">
        <f t="shared" si="1"/>
        <v>5</v>
      </c>
      <c r="J28" s="1878">
        <f t="shared" si="2"/>
        <v>5</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2092</v>
      </c>
      <c r="H30" s="1878">
        <f t="shared" si="0"/>
        <v>5</v>
      </c>
      <c r="I30" s="1878">
        <f t="shared" si="1"/>
        <v>5</v>
      </c>
      <c r="J30" s="1878">
        <f t="shared" si="2"/>
        <v>5</v>
      </c>
    </row>
    <row r="31" spans="1:12" ht="12" customHeight="1" x14ac:dyDescent="0.2">
      <c r="A31" s="1863" t="s">
        <v>1539</v>
      </c>
      <c r="B31" s="1864"/>
      <c r="C31" s="1865" t="s">
        <v>2064</v>
      </c>
      <c r="D31" s="1865" t="s">
        <v>2064</v>
      </c>
      <c r="E31" s="1868" t="s">
        <v>2064</v>
      </c>
      <c r="F31" s="1867" t="s">
        <v>2093</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50</v>
      </c>
      <c r="J34" s="1878">
        <f>SUM(J11:J32)</f>
        <v>50</v>
      </c>
      <c r="K34" s="1878">
        <f>SUM(H34:J34)</f>
        <v>140</v>
      </c>
    </row>
    <row r="35" spans="1:11" ht="12" customHeight="1" x14ac:dyDescent="0.2">
      <c r="A35" s="1871" t="s">
        <v>1392</v>
      </c>
      <c r="B35" s="1872"/>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t="s">
        <v>2094</v>
      </c>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&amp;L&amp;"Franklin Gothic Book,Regular"&amp;8The Notes to Financial Statements are an integral part of this statement.&amp;C&amp;8Page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6" t="str">
        <f>COVER!A17</f>
        <v>Illini West H S Dist 307</v>
      </c>
      <c r="J6" s="2327"/>
      <c r="Q6" s="1664"/>
    </row>
    <row r="7" spans="1:17" x14ac:dyDescent="0.2">
      <c r="A7" s="2328" t="s">
        <v>869</v>
      </c>
      <c r="B7" s="2329"/>
      <c r="C7" s="2329"/>
      <c r="D7" s="2329"/>
      <c r="E7" s="2330"/>
      <c r="F7" s="1017"/>
      <c r="G7" s="1009"/>
      <c r="H7" s="1016" t="s">
        <v>372</v>
      </c>
      <c r="I7" s="2331">
        <f>COVER!A13</f>
        <v>26034307016</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145703</v>
      </c>
      <c r="F12" s="1039"/>
      <c r="G12" s="1811">
        <f t="shared" ref="G12:G18" si="0">SUM(E12:F12)</f>
        <v>145703</v>
      </c>
      <c r="H12" s="1040">
        <v>152706</v>
      </c>
      <c r="I12" s="1039"/>
      <c r="J12" s="1811">
        <f t="shared" ref="J12:J18" si="1">SUM(H12:I12)</f>
        <v>152706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5" t="s">
        <v>7</v>
      </c>
      <c r="C18" s="2336"/>
      <c r="D18" s="233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145703</v>
      </c>
      <c r="F19" s="1813">
        <f t="shared" si="2"/>
        <v>0</v>
      </c>
      <c r="G19" s="1813">
        <f t="shared" si="2"/>
        <v>145703</v>
      </c>
      <c r="H19" s="1813">
        <f t="shared" si="2"/>
        <v>152706</v>
      </c>
      <c r="I19" s="1813">
        <f t="shared" si="2"/>
        <v>0</v>
      </c>
      <c r="J19" s="1813">
        <f t="shared" si="2"/>
        <v>152706</v>
      </c>
    </row>
    <row r="20" spans="1:10" ht="13.5" thickTop="1" x14ac:dyDescent="0.2">
      <c r="A20" s="1035">
        <v>9</v>
      </c>
      <c r="B20" s="2338" t="s">
        <v>1981</v>
      </c>
      <c r="C20" s="2338"/>
      <c r="D20" s="2339"/>
      <c r="E20" s="1046"/>
      <c r="F20" s="1046"/>
      <c r="G20" s="1046"/>
      <c r="H20" s="1046"/>
      <c r="I20" s="1046"/>
      <c r="J20" s="1814">
        <f>IF(AND(G19&gt;0,J19&gt;0),(((J19-G19)/G19)),"Enter Budget Data")</f>
        <v>4.8063526488816288E-2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1509</v>
      </c>
      <c r="G27" s="2340"/>
    </row>
    <row r="28" spans="1:10" ht="28.5" customHeight="1" x14ac:dyDescent="0.2">
      <c r="B28" s="1047"/>
      <c r="C28" s="2342"/>
      <c r="D28" s="2342"/>
      <c r="E28" s="1054"/>
      <c r="F28" s="2342"/>
      <c r="G28" s="2342"/>
    </row>
    <row r="29" spans="1:10" x14ac:dyDescent="0.2">
      <c r="B29" s="1047"/>
      <c r="C29" s="1055" t="s">
        <v>1561</v>
      </c>
      <c r="E29" s="1056"/>
      <c r="F29" s="2341" t="s">
        <v>1510</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1983</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&amp;C&amp;"Franklin Gothic Book,Regular"&amp;8The Notes to Financial Statements are an integral part of this statement.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49"/>
  <sheetViews>
    <sheetView showGridLines="0" topLeftCell="A26" zoomScale="110" zoomScaleNormal="110" workbookViewId="0">
      <selection activeCell="D44" sqref="D44"/>
    </sheetView>
  </sheetViews>
  <sheetFormatPr defaultColWidth="9.140625" defaultRowHeight="12.75" x14ac:dyDescent="0.2"/>
  <cols>
    <col min="1" max="1" width="3" style="329" customWidth="1"/>
    <col min="2" max="2" width="109.140625" style="329" customWidth="1"/>
    <col min="3" max="3" width="2.5703125" style="329" customWidth="1"/>
    <col min="4" max="4" width="9.140625" style="1944"/>
    <col min="5" max="16384" width="9.140625" style="329"/>
  </cols>
  <sheetData>
    <row r="2" spans="1:4" x14ac:dyDescent="0.2">
      <c r="A2" s="389" t="s">
        <v>258</v>
      </c>
    </row>
    <row r="3" spans="1:4" x14ac:dyDescent="0.2">
      <c r="A3" s="329" t="s">
        <v>259</v>
      </c>
    </row>
    <row r="5" spans="1:4" x14ac:dyDescent="0.2">
      <c r="A5" s="1942" t="s">
        <v>2099</v>
      </c>
    </row>
    <row r="6" spans="1:4" x14ac:dyDescent="0.2">
      <c r="A6" s="1068"/>
      <c r="B6" s="329" t="s">
        <v>2100</v>
      </c>
    </row>
    <row r="7" spans="1:4" ht="15" x14ac:dyDescent="0.35">
      <c r="A7" s="1068"/>
      <c r="B7" s="329" t="s">
        <v>2101</v>
      </c>
      <c r="C7" s="329" t="s">
        <v>958</v>
      </c>
      <c r="D7" s="1945">
        <v>676</v>
      </c>
    </row>
    <row r="8" spans="1:4" x14ac:dyDescent="0.2">
      <c r="A8" s="1068"/>
    </row>
    <row r="9" spans="1:4" x14ac:dyDescent="0.2">
      <c r="A9" s="1942" t="s">
        <v>2102</v>
      </c>
    </row>
    <row r="10" spans="1:4" x14ac:dyDescent="0.2">
      <c r="A10" s="1069"/>
      <c r="B10" s="329" t="s">
        <v>2100</v>
      </c>
    </row>
    <row r="11" spans="1:4" ht="15" x14ac:dyDescent="0.35">
      <c r="A11" s="1069"/>
      <c r="B11" s="329" t="s">
        <v>2104</v>
      </c>
      <c r="C11" s="329" t="s">
        <v>958</v>
      </c>
      <c r="D11" s="1945">
        <v>3826</v>
      </c>
    </row>
    <row r="12" spans="1:4" x14ac:dyDescent="0.2">
      <c r="A12" s="1069"/>
    </row>
    <row r="13" spans="1:4" x14ac:dyDescent="0.2">
      <c r="A13" s="1942" t="s">
        <v>2102</v>
      </c>
    </row>
    <row r="14" spans="1:4" x14ac:dyDescent="0.2">
      <c r="A14" s="1069"/>
      <c r="B14" s="329" t="s">
        <v>2103</v>
      </c>
    </row>
    <row r="15" spans="1:4" ht="15" x14ac:dyDescent="0.35">
      <c r="A15" s="1069"/>
      <c r="B15" s="329" t="s">
        <v>2104</v>
      </c>
      <c r="C15" s="329" t="s">
        <v>958</v>
      </c>
      <c r="D15" s="1945">
        <v>4188</v>
      </c>
    </row>
    <row r="16" spans="1:4" x14ac:dyDescent="0.2">
      <c r="A16" s="1069"/>
    </row>
    <row r="17" spans="1:4" x14ac:dyDescent="0.2">
      <c r="A17" s="1942" t="s">
        <v>2122</v>
      </c>
    </row>
    <row r="18" spans="1:4" x14ac:dyDescent="0.2">
      <c r="A18" s="1069"/>
      <c r="B18" s="329" t="s">
        <v>2100</v>
      </c>
    </row>
    <row r="19" spans="1:4" ht="15" x14ac:dyDescent="0.35">
      <c r="A19" s="1069"/>
      <c r="B19" s="329" t="s">
        <v>2105</v>
      </c>
      <c r="C19" s="329" t="s">
        <v>958</v>
      </c>
      <c r="D19" s="1945">
        <v>1662</v>
      </c>
    </row>
    <row r="20" spans="1:4" x14ac:dyDescent="0.2">
      <c r="A20" s="1069"/>
    </row>
    <row r="21" spans="1:4" x14ac:dyDescent="0.2">
      <c r="A21" s="1942" t="s">
        <v>2106</v>
      </c>
    </row>
    <row r="22" spans="1:4" x14ac:dyDescent="0.2">
      <c r="A22" s="1069"/>
      <c r="B22" s="329" t="s">
        <v>2107</v>
      </c>
    </row>
    <row r="23" spans="1:4" x14ac:dyDescent="0.2">
      <c r="A23" s="1069"/>
      <c r="B23" s="329" t="s">
        <v>2108</v>
      </c>
      <c r="C23" s="329" t="s">
        <v>958</v>
      </c>
      <c r="D23" s="1944">
        <v>17195</v>
      </c>
    </row>
    <row r="24" spans="1:4" x14ac:dyDescent="0.2">
      <c r="A24" s="1069"/>
      <c r="B24" s="329" t="s">
        <v>2109</v>
      </c>
      <c r="D24" s="1944">
        <v>1800</v>
      </c>
    </row>
    <row r="25" spans="1:4" ht="15" x14ac:dyDescent="0.35">
      <c r="A25" s="1069"/>
      <c r="B25" s="329" t="s">
        <v>2110</v>
      </c>
      <c r="D25" s="1943">
        <v>1000</v>
      </c>
    </row>
    <row r="26" spans="1:4" x14ac:dyDescent="0.2">
      <c r="A26" s="1069"/>
    </row>
    <row r="27" spans="1:4" ht="15" x14ac:dyDescent="0.35">
      <c r="A27" s="1069"/>
      <c r="B27" s="329" t="s">
        <v>156</v>
      </c>
      <c r="C27" s="329" t="s">
        <v>958</v>
      </c>
      <c r="D27" s="1945">
        <f>SUM(D23:D26)</f>
        <v>19995</v>
      </c>
    </row>
    <row r="28" spans="1:4" x14ac:dyDescent="0.2">
      <c r="A28" s="1069"/>
    </row>
    <row r="29" spans="1:4" x14ac:dyDescent="0.2">
      <c r="A29" s="1942" t="s">
        <v>2111</v>
      </c>
      <c r="B29" s="1946"/>
    </row>
    <row r="30" spans="1:4" x14ac:dyDescent="0.2">
      <c r="A30" s="1069"/>
      <c r="B30" s="329" t="s">
        <v>2107</v>
      </c>
    </row>
    <row r="31" spans="1:4" ht="15" x14ac:dyDescent="0.35">
      <c r="A31" s="1069"/>
      <c r="B31" s="329" t="s">
        <v>2112</v>
      </c>
      <c r="C31" s="329" t="s">
        <v>958</v>
      </c>
      <c r="D31" s="1945">
        <v>60308</v>
      </c>
    </row>
    <row r="32" spans="1:4" x14ac:dyDescent="0.2">
      <c r="A32" s="1069"/>
    </row>
    <row r="33" spans="1:4" x14ac:dyDescent="0.2">
      <c r="A33" s="1942" t="s">
        <v>2113</v>
      </c>
    </row>
    <row r="34" spans="1:4" x14ac:dyDescent="0.2">
      <c r="A34" s="1069"/>
      <c r="B34" s="329" t="s">
        <v>2107</v>
      </c>
    </row>
    <row r="35" spans="1:4" ht="15" x14ac:dyDescent="0.35">
      <c r="A35" s="1069"/>
      <c r="B35" s="329" t="s">
        <v>2114</v>
      </c>
      <c r="C35" s="329" t="s">
        <v>958</v>
      </c>
      <c r="D35" s="1945">
        <v>71400</v>
      </c>
    </row>
    <row r="36" spans="1:4" x14ac:dyDescent="0.2">
      <c r="A36" s="1069"/>
    </row>
    <row r="37" spans="1:4" x14ac:dyDescent="0.2">
      <c r="A37" s="1942" t="s">
        <v>2113</v>
      </c>
    </row>
    <row r="38" spans="1:4" x14ac:dyDescent="0.2">
      <c r="A38" s="1069"/>
      <c r="B38" s="329" t="s">
        <v>2115</v>
      </c>
    </row>
    <row r="39" spans="1:4" ht="15" x14ac:dyDescent="0.35">
      <c r="A39" s="1069"/>
      <c r="B39" s="329" t="s">
        <v>2116</v>
      </c>
      <c r="C39" s="329" t="s">
        <v>958</v>
      </c>
      <c r="D39" s="1945">
        <v>3161</v>
      </c>
    </row>
    <row r="40" spans="1:4" x14ac:dyDescent="0.2">
      <c r="A40" s="1069"/>
    </row>
    <row r="41" spans="1:4" x14ac:dyDescent="0.2">
      <c r="A41" s="1942" t="s">
        <v>2117</v>
      </c>
    </row>
    <row r="42" spans="1:4" x14ac:dyDescent="0.2">
      <c r="A42" s="1069"/>
      <c r="B42" s="329" t="s">
        <v>2107</v>
      </c>
    </row>
    <row r="43" spans="1:4" ht="15" x14ac:dyDescent="0.35">
      <c r="A43" s="1069"/>
      <c r="B43" s="329" t="s">
        <v>2118</v>
      </c>
      <c r="C43" s="329" t="s">
        <v>958</v>
      </c>
      <c r="D43" s="1945">
        <v>98446</v>
      </c>
    </row>
    <row r="44" spans="1:4" x14ac:dyDescent="0.2">
      <c r="A44" s="1069"/>
    </row>
    <row r="45" spans="1:4" x14ac:dyDescent="0.2">
      <c r="A45" s="1069"/>
    </row>
    <row r="46" spans="1:4" x14ac:dyDescent="0.2">
      <c r="A46" s="1069"/>
    </row>
    <row r="47" spans="1:4" x14ac:dyDescent="0.2">
      <c r="A47" s="1069"/>
    </row>
    <row r="48" spans="1:4" x14ac:dyDescent="0.2">
      <c r="A48" s="1069"/>
      <c r="B48" s="258" t="str">
        <f>COVER!A17</f>
        <v>Illini West H S Dist 307</v>
      </c>
    </row>
    <row r="49" spans="2:2" x14ac:dyDescent="0.2">
      <c r="B49" s="1070">
        <f>COVER!A13</f>
        <v>26034307016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oddFooter>&amp;C&amp;"Franklin Gothic Book,Regular"&amp;8The Notes to Financial Statements are an integral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7"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9" sqref="F1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5" t="s">
        <v>1685</v>
      </c>
      <c r="B18" s="234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85725</xdr:colOff>
                <xdr:row>2</xdr:row>
                <xdr:rowOff>9525</xdr:rowOff>
              </from>
              <to>
                <xdr:col>1</xdr:col>
                <xdr:colOff>876300</xdr:colOff>
                <xdr:row>6</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952500</xdr:colOff>
                <xdr:row>2</xdr:row>
                <xdr:rowOff>9525</xdr:rowOff>
              </from>
              <to>
                <xdr:col>1</xdr:col>
                <xdr:colOff>1866900</xdr:colOff>
                <xdr:row>6</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2028825</xdr:colOff>
                <xdr:row>2</xdr:row>
                <xdr:rowOff>19050</xdr:rowOff>
              </from>
              <to>
                <xdr:col>1</xdr:col>
                <xdr:colOff>2943225</xdr:colOff>
                <xdr:row>6</xdr:row>
                <xdr:rowOff>57150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3057525</xdr:colOff>
                <xdr:row>2</xdr:row>
                <xdr:rowOff>19050</xdr:rowOff>
              </from>
              <to>
                <xdr:col>1</xdr:col>
                <xdr:colOff>3971925</xdr:colOff>
                <xdr:row>6</xdr:row>
                <xdr:rowOff>57150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2</xdr:col>
                <xdr:colOff>0</xdr:colOff>
                <xdr:row>2</xdr:row>
                <xdr:rowOff>19050</xdr:rowOff>
              </from>
              <to>
                <xdr:col>3</xdr:col>
                <xdr:colOff>304800</xdr:colOff>
                <xdr:row>6</xdr:row>
                <xdr:rowOff>57150</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3</xdr:col>
                <xdr:colOff>361950</xdr:colOff>
                <xdr:row>2</xdr:row>
                <xdr:rowOff>19050</xdr:rowOff>
              </from>
              <to>
                <xdr:col>5</xdr:col>
                <xdr:colOff>57150</xdr:colOff>
                <xdr:row>6</xdr:row>
                <xdr:rowOff>57150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1690</v>
      </c>
      <c r="B1" s="2347"/>
      <c r="C1" s="2347"/>
      <c r="D1" s="2347"/>
      <c r="E1" s="2347"/>
      <c r="F1" s="2348"/>
    </row>
    <row r="2" spans="1:8" ht="45" customHeight="1" x14ac:dyDescent="0.2">
      <c r="A2" s="2356" t="s">
        <v>1987</v>
      </c>
      <c r="B2" s="2357"/>
      <c r="C2" s="2357"/>
      <c r="D2" s="2357"/>
      <c r="E2" s="2357"/>
      <c r="F2" s="2358"/>
      <c r="G2" s="1074"/>
      <c r="H2" s="1074"/>
    </row>
    <row r="3" spans="1:8" ht="57" customHeight="1" x14ac:dyDescent="0.2">
      <c r="A3" s="2359" t="s">
        <v>1686</v>
      </c>
      <c r="B3" s="2360"/>
      <c r="C3" s="2360"/>
      <c r="D3" s="2360"/>
      <c r="E3" s="2360"/>
      <c r="F3" s="2361"/>
      <c r="G3" s="1074"/>
      <c r="H3" s="1074"/>
    </row>
    <row r="4" spans="1:8" ht="14.25" customHeight="1" x14ac:dyDescent="0.2">
      <c r="A4" s="2365" t="s">
        <v>1988</v>
      </c>
      <c r="B4" s="2366"/>
      <c r="C4" s="2366"/>
      <c r="D4" s="2366"/>
      <c r="E4" s="2366"/>
      <c r="F4" s="2367"/>
      <c r="G4" s="1074"/>
      <c r="H4" s="1074"/>
    </row>
    <row r="5" spans="1:8" ht="14.25" customHeight="1" x14ac:dyDescent="0.2">
      <c r="A5" s="2368" t="s">
        <v>1984</v>
      </c>
      <c r="B5" s="2369"/>
      <c r="C5" s="2369"/>
      <c r="D5" s="2369"/>
      <c r="E5" s="2369"/>
      <c r="F5" s="2370"/>
      <c r="G5" s="1074"/>
      <c r="H5" s="1074"/>
    </row>
    <row r="6" spans="1:8" s="1075" customFormat="1" ht="41.25" customHeight="1" x14ac:dyDescent="0.2">
      <c r="A6" s="2362" t="s">
        <v>1691</v>
      </c>
      <c r="B6" s="2363"/>
      <c r="C6" s="2363"/>
      <c r="D6" s="2363"/>
      <c r="E6" s="2363"/>
      <c r="F6" s="236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3311550</v>
      </c>
      <c r="C8" s="1815">
        <f>'Acct Summary 7-8'!D8</f>
        <v>560321</v>
      </c>
      <c r="D8" s="1815">
        <f>'Acct Summary 7-8'!F8</f>
        <v>356328</v>
      </c>
      <c r="E8" s="1815">
        <f>'Acct Summary 7-8'!I8</f>
        <v>74139</v>
      </c>
      <c r="F8" s="1815">
        <f>SUM(B8:E8)</f>
        <v>4302338</v>
      </c>
    </row>
    <row r="9" spans="1:8" s="1079" customFormat="1" ht="14.25" customHeight="1" thickBot="1" x14ac:dyDescent="0.25">
      <c r="A9" s="1078" t="s">
        <v>1369</v>
      </c>
      <c r="B9" s="1816">
        <f>'Acct Summary 7-8'!C17</f>
        <v>3235156</v>
      </c>
      <c r="C9" s="1816">
        <f>'Acct Summary 7-8'!D17</f>
        <v>438300</v>
      </c>
      <c r="D9" s="1816">
        <f>'Acct Summary 7-8'!F17</f>
        <v>386684</v>
      </c>
      <c r="E9" s="1815"/>
      <c r="F9" s="1815">
        <f>SUM(B9:E9)</f>
        <v>4060140</v>
      </c>
    </row>
    <row r="10" spans="1:8" s="1079" customFormat="1" ht="14.25" thickTop="1" thickBot="1" x14ac:dyDescent="0.25">
      <c r="A10" s="1080" t="s">
        <v>1370</v>
      </c>
      <c r="B10" s="1817">
        <f>(B8-B9)</f>
        <v>76394</v>
      </c>
      <c r="C10" s="1817">
        <f>(C8-C9)</f>
        <v>122021</v>
      </c>
      <c r="D10" s="1817">
        <f>(D8-D9)</f>
        <v>-30356</v>
      </c>
      <c r="E10" s="1816">
        <f>(E8-E9)</f>
        <v>74139</v>
      </c>
      <c r="F10" s="1818">
        <f>SUM(F8-F9)</f>
        <v>242198</v>
      </c>
    </row>
    <row r="11" spans="1:8" s="1079" customFormat="1" ht="14.25" thickTop="1" thickBot="1" x14ac:dyDescent="0.25">
      <c r="A11" s="1081" t="s">
        <v>1985</v>
      </c>
      <c r="B11" s="1819">
        <f>'Acct Summary 7-8'!C81</f>
        <v>1905313</v>
      </c>
      <c r="C11" s="1819">
        <f>'Acct Summary 7-8'!D81</f>
        <v>425711</v>
      </c>
      <c r="D11" s="1819">
        <f>'Acct Summary 7-8'!F81</f>
        <v>386193</v>
      </c>
      <c r="E11" s="1819">
        <f>'Acct Summary 7-8'!I81</f>
        <v>344281</v>
      </c>
      <c r="F11" s="1820">
        <f>SUM(B11:E11)</f>
        <v>3061498</v>
      </c>
    </row>
    <row r="12" spans="1:8" ht="16.5" customHeight="1" thickTop="1" x14ac:dyDescent="0.2">
      <c r="A12" s="1082"/>
      <c r="B12" s="1083"/>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1687</v>
      </c>
      <c r="B16" s="2349"/>
      <c r="C16" s="2349"/>
      <c r="D16" s="2349"/>
      <c r="E16" s="234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&amp;C&amp;"Franklin Gothic Book,Regular"&amp;8The Notes to Financial Statements are an integral part of this statement.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1" t="s">
        <v>665</v>
      </c>
      <c r="B3" s="2372"/>
      <c r="C3" s="2372"/>
      <c r="D3" s="237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1504</v>
      </c>
      <c r="D7" s="238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6" t="s">
        <v>314</v>
      </c>
      <c r="D21" s="2387"/>
    </row>
    <row r="22" spans="1:10" ht="12.75" x14ac:dyDescent="0.2">
      <c r="A22" s="1139"/>
      <c r="B22" s="1140">
        <v>2</v>
      </c>
      <c r="C22" s="2384" t="s">
        <v>1524</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80" t="s">
        <v>1696</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26034307016</v>
      </c>
    </row>
    <row r="3" spans="1:2" x14ac:dyDescent="0.2">
      <c r="A3" t="s">
        <v>956</v>
      </c>
      <c r="B3" s="138" t="str">
        <f>COVER!A15</f>
        <v>HANCOCK</v>
      </c>
    </row>
    <row r="4" spans="1:2" x14ac:dyDescent="0.2">
      <c r="A4" t="s">
        <v>1007</v>
      </c>
      <c r="B4" s="138" t="str">
        <f>COVER!A17</f>
        <v>Illini West H S Dist 307</v>
      </c>
    </row>
    <row r="5" spans="1:2" x14ac:dyDescent="0.2">
      <c r="A5" t="s">
        <v>704</v>
      </c>
      <c r="B5" s="138" t="str">
        <f>COVER!A38</f>
        <v>KIM SCHILSON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066-003689</v>
      </c>
    </row>
    <row r="16" spans="1:2" x14ac:dyDescent="0.2">
      <c r="A16" t="s">
        <v>422</v>
      </c>
      <c r="B16" s="138" t="str">
        <f>COVER!T13</f>
        <v>GRAY HUNTER STENN LLP</v>
      </c>
    </row>
    <row r="17" spans="1:2" x14ac:dyDescent="0.2">
      <c r="A17" t="s">
        <v>884</v>
      </c>
      <c r="B17" s="138" t="str">
        <f>COVER!T15</f>
        <v>JEFFREY A. MCPHERSON</v>
      </c>
    </row>
    <row r="18" spans="1:2" x14ac:dyDescent="0.2">
      <c r="A18" t="s">
        <v>1150</v>
      </c>
      <c r="B18" s="138" t="str">
        <f>COVER!T17</f>
        <v>500 MAINE STREET, PO BOX 32</v>
      </c>
    </row>
    <row r="19" spans="1:2" x14ac:dyDescent="0.2">
      <c r="A19" t="s">
        <v>886</v>
      </c>
      <c r="B19" s="138" t="str">
        <f>COVER!T25</f>
        <v>JAM@GRAY-HUNTER-STENN.COM</v>
      </c>
    </row>
    <row r="20" spans="1:2" x14ac:dyDescent="0.2">
      <c r="A20" t="s">
        <v>887</v>
      </c>
      <c r="B20" s="138" t="str">
        <f>COVER!T19</f>
        <v>QUINCY</v>
      </c>
    </row>
    <row r="21" spans="1:2" x14ac:dyDescent="0.2">
      <c r="A21" t="s">
        <v>479</v>
      </c>
      <c r="B21" s="138" t="str">
        <f>COVER!X19</f>
        <v>IL</v>
      </c>
    </row>
    <row r="22" spans="1:2" x14ac:dyDescent="0.2">
      <c r="A22" t="s">
        <v>888</v>
      </c>
      <c r="B22" s="138" t="str">
        <f>COVER!Z19</f>
        <v>62306-0032</v>
      </c>
    </row>
    <row r="23" spans="1:2" x14ac:dyDescent="0.2">
      <c r="A23" t="s">
        <v>1152</v>
      </c>
      <c r="B23" s="138" t="str">
        <f>COVER!T21</f>
        <v>217-222-0304</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1522302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1905723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v>
      </c>
      <c r="D86" s="2" t="str">
        <f t="shared" si="0"/>
        <v>Error?</v>
      </c>
    </row>
    <row r="87" spans="1:4" x14ac:dyDescent="0.2">
      <c r="A87" s="10">
        <v>26</v>
      </c>
      <c r="D87" s="2" t="str">
        <f t="shared" si="0"/>
        <v>OK</v>
      </c>
    </row>
    <row r="88" spans="1:4" x14ac:dyDescent="0.2">
      <c r="A88" s="5">
        <v>27</v>
      </c>
      <c r="B88" s="138">
        <f>'Assets-Liab 5-6'!C32</f>
        <v>408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410</v>
      </c>
      <c r="C91" s="2" t="s">
        <v>573</v>
      </c>
      <c r="D91" s="2" t="str">
        <f t="shared" si="0"/>
        <v>Error?</v>
      </c>
    </row>
    <row r="92" spans="1:4" x14ac:dyDescent="0.2">
      <c r="A92" s="5">
        <v>31</v>
      </c>
      <c r="B92" s="138">
        <f>'Assets-Liab 5-6'!C39</f>
        <v>1789717</v>
      </c>
      <c r="D92" s="2" t="str">
        <f t="shared" si="0"/>
        <v>Error?</v>
      </c>
    </row>
    <row r="93" spans="1:4" x14ac:dyDescent="0.2">
      <c r="A93" s="5">
        <v>32</v>
      </c>
      <c r="B93" s="138">
        <f>'Assets-Liab 5-6'!C41</f>
        <v>1905723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202294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425711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425711</v>
      </c>
      <c r="D123" s="2" t="str">
        <f t="shared" si="0"/>
        <v>Error?</v>
      </c>
    </row>
    <row r="124" spans="1:4" x14ac:dyDescent="0.2">
      <c r="A124" s="5">
        <v>63</v>
      </c>
      <c r="B124" s="138">
        <f>'Assets-Liab 5-6'!D41</f>
        <v>425711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386193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386193</v>
      </c>
      <c r="D170" s="2" t="str">
        <f t="shared" si="1"/>
        <v>Error?</v>
      </c>
    </row>
    <row r="171" spans="1:4" x14ac:dyDescent="0.2">
      <c r="A171" s="5">
        <v>110</v>
      </c>
      <c r="B171" s="138">
        <f>'Assets-Liab 5-6'!F41</f>
        <v>386193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231947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231947</v>
      </c>
      <c r="D189" s="2" t="str">
        <f t="shared" si="1"/>
        <v>Error?</v>
      </c>
    </row>
    <row r="190" spans="1:4" x14ac:dyDescent="0.2">
      <c r="A190" s="5">
        <v>129</v>
      </c>
      <c r="B190" s="138">
        <f>'Assets-Liab 5-6'!G41</f>
        <v>231947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4872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4872</v>
      </c>
      <c r="D212" s="2" t="str">
        <f t="shared" si="2"/>
        <v>Error?</v>
      </c>
    </row>
    <row r="213" spans="1:4" x14ac:dyDescent="0.2">
      <c r="A213" s="12">
        <v>152</v>
      </c>
      <c r="B213" s="138">
        <f>'Assets-Liab 5-6'!H41</f>
        <v>4872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704470</v>
      </c>
      <c r="D273" s="2" t="str">
        <f t="shared" si="3"/>
        <v>Error?</v>
      </c>
    </row>
    <row r="274" spans="1:4" x14ac:dyDescent="0.2">
      <c r="A274" s="5">
        <v>213</v>
      </c>
      <c r="B274" s="138">
        <f>'Assets-Liab 5-6'!M17</f>
        <v>57559</v>
      </c>
      <c r="D274" s="2" t="str">
        <f t="shared" si="3"/>
        <v>Error?</v>
      </c>
    </row>
    <row r="275" spans="1:4" x14ac:dyDescent="0.2">
      <c r="A275" s="5">
        <v>214</v>
      </c>
      <c r="B275" s="138">
        <f>'Assets-Liab 5-6'!M18</f>
        <v>0</v>
      </c>
      <c r="D275" s="2" t="str">
        <f t="shared" si="3"/>
        <v>Error?</v>
      </c>
    </row>
    <row r="276" spans="1:4" x14ac:dyDescent="0.2">
      <c r="A276" s="5">
        <v>215</v>
      </c>
      <c r="B276" s="138">
        <f>'Assets-Liab 5-6'!M19</f>
        <v>787125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1606455</v>
      </c>
      <c r="C279" s="2" t="s">
        <v>573</v>
      </c>
      <c r="D279" s="2" t="str">
        <f t="shared" si="3"/>
        <v>Error?</v>
      </c>
    </row>
    <row r="280" spans="1:4" x14ac:dyDescent="0.2">
      <c r="A280" s="5">
        <v>219</v>
      </c>
      <c r="B280" s="138">
        <f>'Assets-Liab 5-6'!M40</f>
        <v>1606455</v>
      </c>
      <c r="D280" s="2" t="str">
        <f t="shared" si="3"/>
        <v>Error?</v>
      </c>
    </row>
    <row r="281" spans="1:4" x14ac:dyDescent="0.2">
      <c r="A281" s="5">
        <v>220</v>
      </c>
      <c r="B281" s="138">
        <f>'Assets-Liab 5-6'!M41</f>
        <v>1606455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977545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175736</v>
      </c>
      <c r="D717" s="2" t="str">
        <f t="shared" si="10"/>
        <v>Error?</v>
      </c>
    </row>
    <row r="718" spans="1:4" x14ac:dyDescent="0.2">
      <c r="A718" s="5">
        <v>657</v>
      </c>
      <c r="B718" s="138">
        <f>'Expenditures 15-22'!C14</f>
        <v>114772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1521943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56477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56477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107738</v>
      </c>
      <c r="D733" s="2" t="str">
        <f t="shared" si="10"/>
        <v>Error?</v>
      </c>
    </row>
    <row r="734" spans="1:4" x14ac:dyDescent="0.2">
      <c r="A734" s="5">
        <v>673</v>
      </c>
      <c r="B734" s="138">
        <f>'Expenditures 15-22'!C53</f>
        <v>107738</v>
      </c>
      <c r="C734" s="2" t="s">
        <v>573</v>
      </c>
      <c r="D734" s="2" t="str">
        <f t="shared" si="10"/>
        <v>Error?</v>
      </c>
    </row>
    <row r="735" spans="1:4" x14ac:dyDescent="0.2">
      <c r="A735" s="5">
        <v>674</v>
      </c>
      <c r="B735" s="138">
        <f>'Expenditures 15-22'!C55</f>
        <v>165093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165093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36538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36538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41080</v>
      </c>
      <c r="D751" s="2" t="str">
        <f t="shared" si="10"/>
        <v>Error?</v>
      </c>
    </row>
    <row r="752" spans="1:4" x14ac:dyDescent="0.2">
      <c r="A752" s="10">
        <v>691</v>
      </c>
      <c r="D752" s="2" t="str">
        <f t="shared" si="10"/>
        <v>OK</v>
      </c>
    </row>
    <row r="753" spans="1:4" x14ac:dyDescent="0.2">
      <c r="A753" s="5">
        <v>692</v>
      </c>
      <c r="B753" s="138">
        <f>'Expenditures 15-22'!C72</f>
        <v>41080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406926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1928869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288145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52347</v>
      </c>
      <c r="D775" s="2" t="str">
        <f t="shared" si="11"/>
        <v>Error?</v>
      </c>
    </row>
    <row r="776" spans="1:4" x14ac:dyDescent="0.2">
      <c r="A776" s="5">
        <v>715</v>
      </c>
      <c r="B776" s="138">
        <f>'Expenditures 15-22'!D14</f>
        <v>8148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412541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16900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16900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31754</v>
      </c>
      <c r="D791" s="2" t="str">
        <f t="shared" si="11"/>
        <v>Error?</v>
      </c>
    </row>
    <row r="792" spans="1:4" x14ac:dyDescent="0.2">
      <c r="A792" s="5">
        <v>731</v>
      </c>
      <c r="B792" s="138">
        <f>'Expenditures 15-22'!D53</f>
        <v>31754</v>
      </c>
      <c r="C792" s="2" t="s">
        <v>573</v>
      </c>
      <c r="D792" s="2" t="str">
        <f t="shared" si="11"/>
        <v>Error?</v>
      </c>
    </row>
    <row r="793" spans="1:4" x14ac:dyDescent="0.2">
      <c r="A793" s="5">
        <v>732</v>
      </c>
      <c r="B793" s="138">
        <f>'Expenditures 15-22'!D55</f>
        <v>56152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56152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9647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9647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7717</v>
      </c>
      <c r="D809" s="2" t="str">
        <f t="shared" si="11"/>
        <v>Error?</v>
      </c>
    </row>
    <row r="810" spans="1:4" x14ac:dyDescent="0.2">
      <c r="A810" s="10">
        <v>749</v>
      </c>
      <c r="D810" s="2" t="str">
        <f t="shared" si="11"/>
        <v>OK</v>
      </c>
    </row>
    <row r="811" spans="1:4" x14ac:dyDescent="0.2">
      <c r="A811" s="5">
        <v>750</v>
      </c>
      <c r="B811" s="138">
        <f>'Expenditures 15-22'!D72</f>
        <v>7717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122170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534711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18916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3224</v>
      </c>
      <c r="D833" s="2" t="str">
        <f t="shared" si="12"/>
        <v>Error?</v>
      </c>
    </row>
    <row r="834" spans="1:4" x14ac:dyDescent="0.2">
      <c r="A834" s="5">
        <v>773</v>
      </c>
      <c r="B834" s="138">
        <f>'Expenditures 15-22'!E14</f>
        <v>29138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80371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116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116</v>
      </c>
      <c r="C843" s="2" t="s">
        <v>573</v>
      </c>
      <c r="D843" s="2" t="str">
        <f t="shared" si="12"/>
        <v>Error?</v>
      </c>
    </row>
    <row r="844" spans="1:4" x14ac:dyDescent="0.2">
      <c r="A844" s="5">
        <v>783</v>
      </c>
      <c r="B844" s="138">
        <f>'Expenditures 15-22'!E44</f>
        <v>49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703</v>
      </c>
      <c r="D846" s="2" t="str">
        <f t="shared" si="12"/>
        <v>Error?</v>
      </c>
    </row>
    <row r="847" spans="1:4" x14ac:dyDescent="0.2">
      <c r="A847" s="5">
        <v>786</v>
      </c>
      <c r="B847" s="138">
        <f>'Expenditures 15-22'!E47</f>
        <v>752</v>
      </c>
      <c r="C847" s="2" t="s">
        <v>573</v>
      </c>
      <c r="D847" s="2" t="str">
        <f t="shared" si="12"/>
        <v>Error?</v>
      </c>
    </row>
    <row r="848" spans="1:4" x14ac:dyDescent="0.2">
      <c r="A848" s="5">
        <v>787</v>
      </c>
      <c r="B848" s="138">
        <f>'Expenditures 15-22'!E49</f>
        <v>11207</v>
      </c>
      <c r="D848" s="2" t="str">
        <f t="shared" si="12"/>
        <v>Error?</v>
      </c>
    </row>
    <row r="849" spans="1:4" x14ac:dyDescent="0.2">
      <c r="A849" s="5">
        <v>788</v>
      </c>
      <c r="B849" s="138">
        <f>'Expenditures 15-22'!E50</f>
        <v>2710</v>
      </c>
      <c r="D849" s="2" t="str">
        <f t="shared" si="12"/>
        <v>Error?</v>
      </c>
    </row>
    <row r="850" spans="1:4" x14ac:dyDescent="0.2">
      <c r="A850" s="5">
        <v>789</v>
      </c>
      <c r="B850" s="138">
        <f>'Expenditures 15-22'!E53</f>
        <v>13917</v>
      </c>
      <c r="C850" s="2" t="s">
        <v>573</v>
      </c>
      <c r="D850" s="2" t="str">
        <f t="shared" si="12"/>
        <v>Error?</v>
      </c>
    </row>
    <row r="851" spans="1:4" x14ac:dyDescent="0.2">
      <c r="A851" s="5">
        <v>790</v>
      </c>
      <c r="B851" s="138">
        <f>'Expenditures 15-22'!E55</f>
        <v>1205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1205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159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15926</v>
      </c>
      <c r="D867" s="2" t="str">
        <f t="shared" si="12"/>
        <v>Error?</v>
      </c>
    </row>
    <row r="868" spans="1:4" x14ac:dyDescent="0.2">
      <c r="A868" s="10">
        <v>807</v>
      </c>
      <c r="D868" s="2" t="str">
        <f t="shared" si="12"/>
        <v>OK</v>
      </c>
    </row>
    <row r="869" spans="1:4" x14ac:dyDescent="0.2">
      <c r="A869" s="5">
        <v>808</v>
      </c>
      <c r="B869" s="138">
        <f>'Expenditures 15-22'!E72</f>
        <v>15926</v>
      </c>
      <c r="C869" s="2" t="s">
        <v>573</v>
      </c>
      <c r="D869" s="2" t="str">
        <f t="shared" si="12"/>
        <v>Error?</v>
      </c>
    </row>
    <row r="870" spans="1:4" x14ac:dyDescent="0.2">
      <c r="A870" s="5">
        <v>809</v>
      </c>
      <c r="B870" s="138">
        <f>'Expenditures 15-22'!E73</f>
        <v>19995</v>
      </c>
      <c r="D870" s="2" t="str">
        <f t="shared" si="12"/>
        <v>Error?</v>
      </c>
    </row>
    <row r="871" spans="1:4" x14ac:dyDescent="0.2">
      <c r="A871" s="5">
        <v>810</v>
      </c>
      <c r="B871" s="138">
        <f>'Expenditures 15-22'!E74</f>
        <v>52070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339704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28993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26576</v>
      </c>
      <c r="D891" s="2" t="str">
        <f t="shared" si="12"/>
        <v>Error?</v>
      </c>
    </row>
    <row r="892" spans="1:4" x14ac:dyDescent="0.2">
      <c r="A892" s="5">
        <v>831</v>
      </c>
      <c r="B892" s="138">
        <f>'Expenditures 15-22'!F14</f>
        <v>41912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99344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143</v>
      </c>
      <c r="D896" s="2" t="str">
        <f t="shared" si="13"/>
        <v>Error?</v>
      </c>
    </row>
    <row r="897" spans="1:4" x14ac:dyDescent="0.2">
      <c r="A897" s="5">
        <v>836</v>
      </c>
      <c r="B897" s="138">
        <f>'Expenditures 15-22'!F38</f>
        <v>0</v>
      </c>
      <c r="D897" s="2" t="str">
        <f t="shared" si="13"/>
        <v>Error?</v>
      </c>
    </row>
    <row r="898" spans="1:4" x14ac:dyDescent="0.2">
      <c r="A898" s="5">
        <v>837</v>
      </c>
      <c r="B898" s="138">
        <f>'Expenditures 15-22'!F39</f>
        <v>284</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427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7212</v>
      </c>
      <c r="D906" s="2" t="str">
        <f t="shared" si="13"/>
        <v>Error?</v>
      </c>
    </row>
    <row r="907" spans="1:4" x14ac:dyDescent="0.2">
      <c r="A907" s="5">
        <v>846</v>
      </c>
      <c r="B907" s="138">
        <f>'Expenditures 15-22'!F50</f>
        <v>923</v>
      </c>
      <c r="D907" s="2" t="str">
        <f t="shared" si="13"/>
        <v>Error?</v>
      </c>
    </row>
    <row r="908" spans="1:4" x14ac:dyDescent="0.2">
      <c r="A908" s="5">
        <v>847</v>
      </c>
      <c r="B908" s="138">
        <f>'Expenditures 15-22'!F53</f>
        <v>8135</v>
      </c>
      <c r="C908" s="2" t="s">
        <v>573</v>
      </c>
      <c r="D908" s="2" t="str">
        <f t="shared" si="13"/>
        <v>Error?</v>
      </c>
    </row>
    <row r="909" spans="1:4" x14ac:dyDescent="0.2">
      <c r="A909" s="5">
        <v>848</v>
      </c>
      <c r="B909" s="138">
        <f>'Expenditures 15-22'!F55</f>
        <v>501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501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8665</v>
      </c>
      <c r="D925" s="2" t="str">
        <f t="shared" si="13"/>
        <v>Error?</v>
      </c>
    </row>
    <row r="926" spans="1:4" x14ac:dyDescent="0.2">
      <c r="A926" s="10">
        <v>865</v>
      </c>
      <c r="D926" s="2" t="str">
        <f t="shared" si="13"/>
        <v>OK</v>
      </c>
    </row>
    <row r="927" spans="1:4" x14ac:dyDescent="0.2">
      <c r="A927" s="5">
        <v>866</v>
      </c>
      <c r="B927" s="138">
        <f>'Expenditures 15-22'!F72</f>
        <v>8665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18754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118098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6127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69582</v>
      </c>
      <c r="D949" s="2" t="str">
        <f t="shared" si="13"/>
        <v>Error?</v>
      </c>
    </row>
    <row r="950" spans="1:4" x14ac:dyDescent="0.2">
      <c r="A950" s="5">
        <v>889</v>
      </c>
      <c r="B950" s="138">
        <f>'Expenditures 15-22'!G14</f>
        <v>3588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112721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1268</v>
      </c>
      <c r="D965" s="2" t="str">
        <f t="shared" si="14"/>
        <v>Error?</v>
      </c>
    </row>
    <row r="966" spans="1:4" x14ac:dyDescent="0.2">
      <c r="A966" s="5">
        <v>905</v>
      </c>
      <c r="B966" s="138">
        <f>'Expenditures 15-22'!G53</f>
        <v>1268</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34452</v>
      </c>
      <c r="D983" s="2" t="str">
        <f t="shared" si="14"/>
        <v>Error?</v>
      </c>
    </row>
    <row r="984" spans="1:4" x14ac:dyDescent="0.2">
      <c r="A984" s="10">
        <v>923</v>
      </c>
      <c r="D984" s="2" t="str">
        <f t="shared" si="14"/>
        <v>OK</v>
      </c>
    </row>
    <row r="985" spans="1:4" x14ac:dyDescent="0.2">
      <c r="A985" s="5">
        <v>924</v>
      </c>
      <c r="B985" s="138">
        <f>'Expenditures 15-22'!G72</f>
        <v>34452</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35720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148441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848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8677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18700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5078</v>
      </c>
      <c r="D1022" s="2" t="str">
        <f t="shared" si="14"/>
        <v>Error?</v>
      </c>
    </row>
    <row r="1023" spans="1:4" x14ac:dyDescent="0.2">
      <c r="A1023" s="5">
        <v>962</v>
      </c>
      <c r="B1023" s="138">
        <f>'Expenditures 15-22'!H50</f>
        <v>1310</v>
      </c>
      <c r="D1023" s="2" t="str">
        <f t="shared" ref="D1023:D1086" si="15">IF(ISBLANK(B1023),"OK",IF(A1023-B1023=0,"OK","Error?"))</f>
        <v>Error?</v>
      </c>
    </row>
    <row r="1024" spans="1:4" x14ac:dyDescent="0.2">
      <c r="A1024" s="5">
        <v>963</v>
      </c>
      <c r="B1024" s="138">
        <f>'Expenditures 15-22'!H53</f>
        <v>6388</v>
      </c>
      <c r="C1024" s="2" t="s">
        <v>573</v>
      </c>
      <c r="D1024" s="2" t="str">
        <f t="shared" si="15"/>
        <v>Error?</v>
      </c>
    </row>
    <row r="1025" spans="1:4" x14ac:dyDescent="0.2">
      <c r="A1025" s="5">
        <v>964</v>
      </c>
      <c r="B1025" s="138">
        <f>'Expenditures 15-22'!H55</f>
        <v>675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675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2249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2249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9312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137321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165333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1320574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327465</v>
      </c>
      <c r="C1105" s="2" t="s">
        <v>573</v>
      </c>
      <c r="D1105" s="2" t="str">
        <f t="shared" si="16"/>
        <v>Error?</v>
      </c>
    </row>
    <row r="1106" spans="1:4" x14ac:dyDescent="0.2">
      <c r="A1106" s="5">
        <v>1045</v>
      </c>
      <c r="B1106" s="138">
        <f>'Expenditures 15-22'!K14</f>
        <v>206235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2245620</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73636</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284</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73920</v>
      </c>
      <c r="C1115" s="2" t="s">
        <v>573</v>
      </c>
      <c r="D1115" s="2" t="str">
        <f t="shared" si="16"/>
        <v>Error?</v>
      </c>
    </row>
    <row r="1116" spans="1:4" x14ac:dyDescent="0.2">
      <c r="A1116" s="5">
        <v>1055</v>
      </c>
      <c r="B1116" s="138">
        <f>'Expenditures 15-22'!K44</f>
        <v>49</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703</v>
      </c>
      <c r="C1118" s="2" t="s">
        <v>573</v>
      </c>
      <c r="D1118" s="2" t="str">
        <f t="shared" si="16"/>
        <v>Error?</v>
      </c>
    </row>
    <row r="1119" spans="1:4" x14ac:dyDescent="0.2">
      <c r="A1119" s="5">
        <v>1058</v>
      </c>
      <c r="B1119" s="138">
        <f>'Expenditures 15-22'!K47</f>
        <v>752</v>
      </c>
      <c r="C1119" s="2" t="s">
        <v>573</v>
      </c>
      <c r="D1119" s="2" t="str">
        <f t="shared" si="16"/>
        <v>Error?</v>
      </c>
    </row>
    <row r="1120" spans="1:4" x14ac:dyDescent="0.2">
      <c r="A1120" s="5">
        <v>1059</v>
      </c>
      <c r="B1120" s="138">
        <f>'Expenditures 15-22'!K49</f>
        <v>23497</v>
      </c>
      <c r="C1120" s="2" t="s">
        <v>573</v>
      </c>
      <c r="D1120" s="2" t="str">
        <f t="shared" si="16"/>
        <v>Error?</v>
      </c>
    </row>
    <row r="1121" spans="1:4" x14ac:dyDescent="0.2">
      <c r="A1121" s="5">
        <v>1060</v>
      </c>
      <c r="B1121" s="138">
        <f>'Expenditures 15-22'!K50</f>
        <v>145703</v>
      </c>
      <c r="C1121" s="2" t="s">
        <v>573</v>
      </c>
      <c r="D1121" s="2" t="str">
        <f t="shared" si="16"/>
        <v>Error?</v>
      </c>
    </row>
    <row r="1122" spans="1:4" x14ac:dyDescent="0.2">
      <c r="A1122" s="5">
        <v>1061</v>
      </c>
      <c r="B1122" s="138">
        <f>'Expenditures 15-22'!K53</f>
        <v>169200</v>
      </c>
      <c r="C1122" s="2" t="s">
        <v>573</v>
      </c>
      <c r="D1122" s="2" t="str">
        <f t="shared" si="16"/>
        <v>Error?</v>
      </c>
    </row>
    <row r="1123" spans="1:4" x14ac:dyDescent="0.2">
      <c r="A1123" s="5">
        <v>1062</v>
      </c>
      <c r="B1123" s="138">
        <f>'Expenditures 15-22'!K55</f>
        <v>223626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223626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49619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49619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107840</v>
      </c>
      <c r="C1139" s="2" t="s">
        <v>573</v>
      </c>
      <c r="D1139" s="2" t="str">
        <f t="shared" si="16"/>
        <v>Error?</v>
      </c>
    </row>
    <row r="1140" spans="1:4" x14ac:dyDescent="0.2">
      <c r="A1140" s="10">
        <v>1079</v>
      </c>
      <c r="D1140" s="2" t="str">
        <f t="shared" si="16"/>
        <v>OK</v>
      </c>
    </row>
    <row r="1141" spans="1:4" x14ac:dyDescent="0.2">
      <c r="A1141" s="5">
        <v>1080</v>
      </c>
      <c r="B1141" s="138">
        <f>'Expenditures 15-22'!K72</f>
        <v>107840</v>
      </c>
      <c r="C1141" s="2" t="s">
        <v>573</v>
      </c>
      <c r="D1141" s="2" t="str">
        <f t="shared" si="16"/>
        <v>Error?</v>
      </c>
    </row>
    <row r="1142" spans="1:4" x14ac:dyDescent="0.2">
      <c r="A1142" s="5">
        <v>1081</v>
      </c>
      <c r="B1142" s="138">
        <f>'Expenditures 15-22'!K73</f>
        <v>19995</v>
      </c>
      <c r="C1142" s="2" t="s">
        <v>573</v>
      </c>
      <c r="D1142" s="2" t="str">
        <f t="shared" si="16"/>
        <v>Error?</v>
      </c>
    </row>
    <row r="1143" spans="1:4" x14ac:dyDescent="0.2">
      <c r="A1143" s="5">
        <v>1082</v>
      </c>
      <c r="B1143" s="138">
        <f>'Expenditures 15-22'!K74</f>
        <v>644952</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344584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3235156</v>
      </c>
      <c r="C1152" s="2" t="s">
        <v>573</v>
      </c>
      <c r="D1152" s="2" t="str">
        <f t="shared" si="17"/>
        <v>Error?</v>
      </c>
    </row>
    <row r="1153" spans="1:4" x14ac:dyDescent="0.2">
      <c r="A1153" s="5">
        <v>1092</v>
      </c>
      <c r="B1153" s="138">
        <f>'Expenditures 15-22'!K115</f>
        <v>76394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111736</v>
      </c>
      <c r="D1221" s="2" t="str">
        <f t="shared" si="18"/>
        <v>Error?</v>
      </c>
    </row>
    <row r="1222" spans="1:4" x14ac:dyDescent="0.2">
      <c r="A1222" s="10">
        <v>1161</v>
      </c>
      <c r="D1222" s="2" t="str">
        <f t="shared" si="18"/>
        <v>OK</v>
      </c>
    </row>
    <row r="1223" spans="1:4" x14ac:dyDescent="0.2">
      <c r="A1223" s="5">
        <v>1162</v>
      </c>
      <c r="B1223" s="138">
        <f>'Expenditures 15-22'!C127</f>
        <v>111736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111736</v>
      </c>
      <c r="C1225" s="2" t="s">
        <v>573</v>
      </c>
      <c r="D1225" s="2" t="str">
        <f t="shared" si="18"/>
        <v>Error?</v>
      </c>
    </row>
    <row r="1226" spans="1:4" x14ac:dyDescent="0.2">
      <c r="A1226" s="5">
        <v>1165</v>
      </c>
      <c r="B1226" s="138">
        <f>'Expenditures 15-22'!C151</f>
        <v>111736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21225</v>
      </c>
      <c r="D1229" s="2" t="str">
        <f t="shared" si="18"/>
        <v>Error?</v>
      </c>
    </row>
    <row r="1230" spans="1:4" x14ac:dyDescent="0.2">
      <c r="A1230" s="10">
        <v>1169</v>
      </c>
      <c r="D1230" s="2" t="str">
        <f t="shared" si="18"/>
        <v>OK</v>
      </c>
    </row>
    <row r="1231" spans="1:4" x14ac:dyDescent="0.2">
      <c r="A1231" s="5">
        <v>1170</v>
      </c>
      <c r="B1231" s="138">
        <f>'Expenditures 15-22'!D127</f>
        <v>21225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21225</v>
      </c>
      <c r="C1233" s="2" t="s">
        <v>573</v>
      </c>
      <c r="D1233" s="2" t="str">
        <f t="shared" si="18"/>
        <v>Error?</v>
      </c>
    </row>
    <row r="1234" spans="1:4" x14ac:dyDescent="0.2">
      <c r="A1234" s="5">
        <v>1173</v>
      </c>
      <c r="B1234" s="138">
        <f>'Expenditures 15-22'!D151</f>
        <v>21225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21154</v>
      </c>
      <c r="D1237" s="2" t="str">
        <f t="shared" si="18"/>
        <v>Error?</v>
      </c>
    </row>
    <row r="1238" spans="1:4" x14ac:dyDescent="0.2">
      <c r="A1238" s="10">
        <v>1177</v>
      </c>
      <c r="D1238" s="2" t="str">
        <f t="shared" si="18"/>
        <v>OK</v>
      </c>
    </row>
    <row r="1239" spans="1:4" x14ac:dyDescent="0.2">
      <c r="A1239" s="5">
        <v>1178</v>
      </c>
      <c r="B1239" s="138">
        <f>'Expenditures 15-22'!E127</f>
        <v>21154</v>
      </c>
      <c r="C1239" s="2" t="s">
        <v>573</v>
      </c>
      <c r="D1239" s="2" t="str">
        <f t="shared" si="18"/>
        <v>Error?</v>
      </c>
    </row>
    <row r="1240" spans="1:4" x14ac:dyDescent="0.2">
      <c r="A1240" s="5">
        <v>1179</v>
      </c>
      <c r="B1240" s="138">
        <f>'Expenditures 15-22'!E128</f>
        <v>71400</v>
      </c>
      <c r="D1240" s="2" t="str">
        <f t="shared" si="18"/>
        <v>Error?</v>
      </c>
    </row>
    <row r="1241" spans="1:4" x14ac:dyDescent="0.2">
      <c r="A1241" s="5">
        <v>1180</v>
      </c>
      <c r="B1241" s="138">
        <f>'Expenditures 15-22'!E129</f>
        <v>92554</v>
      </c>
      <c r="C1241" s="2" t="s">
        <v>573</v>
      </c>
      <c r="D1241" s="2" t="str">
        <f t="shared" si="18"/>
        <v>Error?</v>
      </c>
    </row>
    <row r="1242" spans="1:4" x14ac:dyDescent="0.2">
      <c r="A1242" s="5">
        <v>1181</v>
      </c>
      <c r="B1242" s="138">
        <f>'Expenditures 15-22'!E151</f>
        <v>191000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83959</v>
      </c>
      <c r="D1245" s="2" t="str">
        <f t="shared" si="18"/>
        <v>Error?</v>
      </c>
    </row>
    <row r="1246" spans="1:4" x14ac:dyDescent="0.2">
      <c r="A1246" s="10">
        <v>1185</v>
      </c>
      <c r="D1246" s="2" t="str">
        <f t="shared" si="18"/>
        <v>OK</v>
      </c>
    </row>
    <row r="1247" spans="1:4" x14ac:dyDescent="0.2">
      <c r="A1247" s="5">
        <v>1186</v>
      </c>
      <c r="B1247" s="138">
        <f>'Expenditures 15-22'!F127</f>
        <v>83959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83959</v>
      </c>
      <c r="C1249" s="2" t="s">
        <v>573</v>
      </c>
      <c r="D1249" s="2" t="str">
        <f t="shared" si="18"/>
        <v>Error?</v>
      </c>
    </row>
    <row r="1250" spans="1:4" x14ac:dyDescent="0.2">
      <c r="A1250" s="5">
        <v>1189</v>
      </c>
      <c r="B1250" s="138">
        <f>'Expenditures 15-22'!F151</f>
        <v>83959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27219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27219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27219</v>
      </c>
      <c r="C1258" s="2" t="s">
        <v>573</v>
      </c>
      <c r="D1258" s="2" t="str">
        <f t="shared" si="18"/>
        <v>Error?</v>
      </c>
    </row>
    <row r="1259" spans="1:4" x14ac:dyDescent="0.2">
      <c r="A1259" s="5">
        <v>1198</v>
      </c>
      <c r="B1259" s="138">
        <f>'Expenditures 15-22'!G151</f>
        <v>27219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3161</v>
      </c>
      <c r="D1265" s="2" t="str">
        <f t="shared" si="18"/>
        <v>Error?</v>
      </c>
    </row>
    <row r="1266" spans="1:4" x14ac:dyDescent="0.2">
      <c r="A1266" s="5">
        <v>1205</v>
      </c>
      <c r="B1266" s="138">
        <f>'Expenditures 15-22'!H129</f>
        <v>3161</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3161</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265293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265293</v>
      </c>
      <c r="C1279" s="2" t="s">
        <v>573</v>
      </c>
      <c r="D1279" s="2" t="str">
        <f t="shared" ref="D1279:D1342" si="19">IF(ISBLANK(B1279),"OK",IF(A1279-B1279=0,"OK","Error?"))</f>
        <v>Error?</v>
      </c>
    </row>
    <row r="1280" spans="1:4" x14ac:dyDescent="0.2">
      <c r="A1280" s="5">
        <v>1219</v>
      </c>
      <c r="B1280" s="138">
        <f>'Expenditures 15-22'!K128</f>
        <v>74561</v>
      </c>
      <c r="C1280" s="2" t="s">
        <v>573</v>
      </c>
      <c r="D1280" s="2" t="str">
        <f t="shared" si="19"/>
        <v>Error?</v>
      </c>
    </row>
    <row r="1281" spans="1:4" x14ac:dyDescent="0.2">
      <c r="A1281" s="5">
        <v>1220</v>
      </c>
      <c r="B1281" s="138">
        <f>'Expenditures 15-22'!K129</f>
        <v>339854</v>
      </c>
      <c r="C1281" s="2" t="s">
        <v>573</v>
      </c>
      <c r="D1281" s="2" t="str">
        <f t="shared" si="19"/>
        <v>Error?</v>
      </c>
    </row>
    <row r="1282" spans="1:4" x14ac:dyDescent="0.2">
      <c r="A1282" s="5">
        <v>1221</v>
      </c>
      <c r="B1282" s="138">
        <f>'Expenditures 15-22'!K139</f>
        <v>98446</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438300</v>
      </c>
      <c r="C1288" s="2" t="s">
        <v>573</v>
      </c>
      <c r="D1288" s="2" t="str">
        <f t="shared" si="19"/>
        <v>Error?</v>
      </c>
    </row>
    <row r="1289" spans="1:4" x14ac:dyDescent="0.2">
      <c r="A1289" s="5">
        <v>1228</v>
      </c>
      <c r="B1289" s="138">
        <f>'Expenditures 15-22'!K152</f>
        <v>122021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200809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200809</v>
      </c>
      <c r="C1339" s="2" t="s">
        <v>573</v>
      </c>
      <c r="D1339" s="2" t="str">
        <f t="shared" si="19"/>
        <v>Error?</v>
      </c>
    </row>
    <row r="1340" spans="1:4" x14ac:dyDescent="0.2">
      <c r="A1340" s="5">
        <v>1279</v>
      </c>
      <c r="B1340" s="138">
        <f>'Expenditures 15-22'!C210</f>
        <v>200809</v>
      </c>
      <c r="C1340" s="2" t="s">
        <v>573</v>
      </c>
      <c r="D1340" s="2" t="str">
        <f t="shared" si="19"/>
        <v>Error?</v>
      </c>
    </row>
    <row r="1341" spans="1:4" x14ac:dyDescent="0.2">
      <c r="A1341" s="5">
        <v>1280</v>
      </c>
      <c r="B1341" s="138">
        <f>'Expenditures 15-22'!D182</f>
        <v>18154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18154</v>
      </c>
      <c r="C1345" s="2" t="s">
        <v>573</v>
      </c>
      <c r="D1345" s="2" t="str">
        <f t="shared" si="20"/>
        <v>Error?</v>
      </c>
    </row>
    <row r="1346" spans="1:4" x14ac:dyDescent="0.2">
      <c r="A1346" s="5">
        <v>1285</v>
      </c>
      <c r="B1346" s="138">
        <f>'Expenditures 15-22'!D210</f>
        <v>18154</v>
      </c>
      <c r="C1346" s="2" t="s">
        <v>573</v>
      </c>
      <c r="D1346" s="2" t="str">
        <f t="shared" si="20"/>
        <v>Error?</v>
      </c>
    </row>
    <row r="1347" spans="1:4" x14ac:dyDescent="0.2">
      <c r="A1347" s="5">
        <v>1286</v>
      </c>
      <c r="B1347" s="138">
        <f>'Expenditures 15-22'!E182</f>
        <v>82730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82730</v>
      </c>
      <c r="C1351" s="2" t="s">
        <v>573</v>
      </c>
      <c r="D1351" s="2" t="str">
        <f t="shared" si="20"/>
        <v>Error?</v>
      </c>
    </row>
    <row r="1352" spans="1:4" x14ac:dyDescent="0.2">
      <c r="A1352" s="5">
        <v>1291</v>
      </c>
      <c r="B1352" s="138">
        <f>'Expenditures 15-22'!E196</f>
        <v>35745</v>
      </c>
      <c r="C1352" s="2" t="s">
        <v>573</v>
      </c>
      <c r="D1352" s="2" t="str">
        <f t="shared" si="20"/>
        <v>Error?</v>
      </c>
    </row>
    <row r="1353" spans="1:4" x14ac:dyDescent="0.2">
      <c r="A1353" s="5">
        <v>1292</v>
      </c>
      <c r="B1353" s="138">
        <f>'Expenditures 15-22'!E210</f>
        <v>118475</v>
      </c>
      <c r="C1353" s="2" t="s">
        <v>573</v>
      </c>
      <c r="D1353" s="2" t="str">
        <f t="shared" si="20"/>
        <v>Error?</v>
      </c>
    </row>
    <row r="1354" spans="1:4" x14ac:dyDescent="0.2">
      <c r="A1354" s="5">
        <v>1293</v>
      </c>
      <c r="B1354" s="138">
        <f>'Expenditures 15-22'!F182</f>
        <v>49070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49070</v>
      </c>
      <c r="C1358" s="2" t="s">
        <v>573</v>
      </c>
      <c r="D1358" s="2" t="str">
        <f t="shared" si="20"/>
        <v>Error?</v>
      </c>
    </row>
    <row r="1359" spans="1:4" x14ac:dyDescent="0.2">
      <c r="A1359" s="5">
        <v>1298</v>
      </c>
      <c r="B1359" s="138">
        <f>'Expenditures 15-22'!F210</f>
        <v>49070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176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176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176</v>
      </c>
      <c r="C1376" s="2" t="s">
        <v>573</v>
      </c>
      <c r="D1376" s="2" t="str">
        <f t="shared" si="20"/>
        <v>Error?</v>
      </c>
    </row>
    <row r="1377" spans="1:4" x14ac:dyDescent="0.2">
      <c r="A1377" s="5">
        <v>1316</v>
      </c>
      <c r="B1377" s="138">
        <f>'Expenditures 15-22'!K182</f>
        <v>350939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350939</v>
      </c>
      <c r="C1381" s="2" t="s">
        <v>573</v>
      </c>
      <c r="D1381" s="2" t="str">
        <f t="shared" si="20"/>
        <v>Error?</v>
      </c>
    </row>
    <row r="1382" spans="1:4" x14ac:dyDescent="0.2">
      <c r="A1382" s="5">
        <v>1321</v>
      </c>
      <c r="B1382" s="138">
        <f>'Expenditures 15-22'!K196</f>
        <v>35745</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386684</v>
      </c>
      <c r="C1388" s="2" t="s">
        <v>573</v>
      </c>
      <c r="D1388" s="2" t="str">
        <f t="shared" si="20"/>
        <v>Error?</v>
      </c>
    </row>
    <row r="1389" spans="1:4" x14ac:dyDescent="0.2">
      <c r="A1389" s="5">
        <v>1328</v>
      </c>
      <c r="B1389" s="138">
        <f>'Expenditures 15-22'!K211</f>
        <v>-30356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2283</v>
      </c>
      <c r="D1407" s="2" t="str">
        <f t="shared" ref="D1407:D1470" si="21">IF(ISBLANK(B1407),"OK",IF(A1407-B1407=0,"OK","Error?"))</f>
        <v>Error?</v>
      </c>
    </row>
    <row r="1408" spans="1:4" x14ac:dyDescent="0.2">
      <c r="A1408" s="5">
        <v>1347</v>
      </c>
      <c r="B1408" s="138">
        <f>'Expenditures 15-22'!D223</f>
        <v>4887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39014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806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806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2713</v>
      </c>
      <c r="D1423" s="2" t="str">
        <f t="shared" si="21"/>
        <v>Error?</v>
      </c>
    </row>
    <row r="1424" spans="1:4" x14ac:dyDescent="0.2">
      <c r="A1424" s="5">
        <v>1363</v>
      </c>
      <c r="B1424" s="138">
        <f>'Expenditures 15-22'!D257</f>
        <v>8086</v>
      </c>
      <c r="C1424" s="2" t="s">
        <v>573</v>
      </c>
      <c r="D1424" s="2" t="str">
        <f t="shared" si="21"/>
        <v>Error?</v>
      </c>
    </row>
    <row r="1425" spans="1:4" x14ac:dyDescent="0.2">
      <c r="A1425" s="5">
        <v>1364</v>
      </c>
      <c r="B1425" s="138">
        <f>'Expenditures 15-22'!D259</f>
        <v>7333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7333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4499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12937</v>
      </c>
      <c r="D1431" s="2" t="str">
        <f t="shared" si="21"/>
        <v>Error?</v>
      </c>
    </row>
    <row r="1432" spans="1:4" x14ac:dyDescent="0.2">
      <c r="A1432" s="5">
        <v>1371</v>
      </c>
      <c r="B1432" s="138">
        <f>'Expenditures 15-22'!D267</f>
        <v>23005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40441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5136</v>
      </c>
      <c r="D1442" s="2" t="str">
        <f t="shared" si="21"/>
        <v>Error?</v>
      </c>
    </row>
    <row r="1443" spans="1:4" x14ac:dyDescent="0.2">
      <c r="A1443" s="10">
        <v>1382</v>
      </c>
      <c r="D1443" s="2" t="str">
        <f t="shared" si="21"/>
        <v>OK</v>
      </c>
    </row>
    <row r="1444" spans="1:4" x14ac:dyDescent="0.2">
      <c r="A1444" s="5">
        <v>1383</v>
      </c>
      <c r="B1444" s="138">
        <f>'Expenditures 15-22'!D277</f>
        <v>5136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61802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100816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2283</v>
      </c>
      <c r="C1471" s="2" t="s">
        <v>573</v>
      </c>
      <c r="D1471" s="2" t="str">
        <f t="shared" ref="D1471:D1534" si="22">IF(ISBLANK(B1471),"OK",IF(A1471-B1471=0,"OK","Error?"))</f>
        <v>Error?</v>
      </c>
    </row>
    <row r="1472" spans="1:4" x14ac:dyDescent="0.2">
      <c r="A1472" s="5">
        <v>1411</v>
      </c>
      <c r="B1472" s="138">
        <f>'Expenditures 15-22'!K223</f>
        <v>4887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39014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806</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806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2713</v>
      </c>
      <c r="C1487" s="2" t="s">
        <v>573</v>
      </c>
      <c r="D1487" s="2" t="str">
        <f t="shared" si="22"/>
        <v>Error?</v>
      </c>
    </row>
    <row r="1488" spans="1:4" x14ac:dyDescent="0.2">
      <c r="A1488" s="5">
        <v>1427</v>
      </c>
      <c r="B1488" s="138">
        <f>'Expenditures 15-22'!K257</f>
        <v>8086</v>
      </c>
      <c r="C1488" s="2" t="s">
        <v>573</v>
      </c>
      <c r="D1488" s="2" t="str">
        <f t="shared" si="22"/>
        <v>Error?</v>
      </c>
    </row>
    <row r="1489" spans="1:4" x14ac:dyDescent="0.2">
      <c r="A1489" s="5">
        <v>1428</v>
      </c>
      <c r="B1489" s="138">
        <f>'Expenditures 15-22'!K259</f>
        <v>7333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7333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4499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12937</v>
      </c>
      <c r="C1495" s="2" t="s">
        <v>573</v>
      </c>
      <c r="D1495" s="2" t="str">
        <f t="shared" si="22"/>
        <v>Error?</v>
      </c>
    </row>
    <row r="1496" spans="1:4" x14ac:dyDescent="0.2">
      <c r="A1496" s="5">
        <v>1435</v>
      </c>
      <c r="B1496" s="138">
        <f>'Expenditures 15-22'!K267</f>
        <v>23005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40441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5136</v>
      </c>
      <c r="C1506" s="2" t="s">
        <v>573</v>
      </c>
      <c r="D1506" s="2" t="str">
        <f t="shared" si="22"/>
        <v>Error?</v>
      </c>
    </row>
    <row r="1507" spans="1:4" x14ac:dyDescent="0.2">
      <c r="A1507" s="10">
        <v>1446</v>
      </c>
      <c r="D1507" s="2" t="str">
        <f t="shared" si="22"/>
        <v>OK</v>
      </c>
    </row>
    <row r="1508" spans="1:4" x14ac:dyDescent="0.2">
      <c r="A1508" s="5">
        <v>1447</v>
      </c>
      <c r="B1508" s="138">
        <f>'Expenditures 15-22'!K277</f>
        <v>5136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61802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100816</v>
      </c>
      <c r="C1517" s="2" t="s">
        <v>573</v>
      </c>
      <c r="D1517" s="2" t="str">
        <f t="shared" si="22"/>
        <v>Error?</v>
      </c>
    </row>
    <row r="1518" spans="1:4" x14ac:dyDescent="0.2">
      <c r="A1518" s="5">
        <v>1457</v>
      </c>
      <c r="B1518" s="138">
        <f>'Expenditures 15-22'!K296</f>
        <v>-29339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26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1828919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1905313</v>
      </c>
      <c r="C1630" s="2" t="s">
        <v>573</v>
      </c>
      <c r="D1630" s="2" t="str">
        <f t="shared" si="24"/>
        <v>Error?</v>
      </c>
    </row>
    <row r="1631" spans="1:4" x14ac:dyDescent="0.2">
      <c r="A1631" s="5">
        <v>1570</v>
      </c>
      <c r="B1631" s="138">
        <f>'Acct Summary 7-8'!D79</f>
        <v>303690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425711</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415026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386193</v>
      </c>
      <c r="C1672" s="2" t="s">
        <v>573</v>
      </c>
      <c r="D1672" s="2" t="str">
        <f t="shared" si="25"/>
        <v>Error?</v>
      </c>
    </row>
    <row r="1673" spans="1:4" x14ac:dyDescent="0.2">
      <c r="A1673" s="5">
        <v>1612</v>
      </c>
      <c r="B1673" s="138">
        <f>'Acct Summary 7-8'!G79</f>
        <v>261286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231947</v>
      </c>
      <c r="C1686" s="2" t="s">
        <v>573</v>
      </c>
      <c r="D1686" s="2" t="str">
        <f t="shared" si="25"/>
        <v>Error?</v>
      </c>
    </row>
    <row r="1687" spans="1:4" x14ac:dyDescent="0.2">
      <c r="A1687" s="5">
        <v>1626</v>
      </c>
      <c r="B1687" s="138">
        <f>'Acct Summary 7-8'!H79</f>
        <v>4846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4872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1537630</v>
      </c>
      <c r="C1744" s="2" t="s">
        <v>573</v>
      </c>
      <c r="D1744" s="2" t="str">
        <f t="shared" si="26"/>
        <v>Error?</v>
      </c>
    </row>
    <row r="1745" spans="1:5" x14ac:dyDescent="0.2">
      <c r="A1745" s="5">
        <v>1684</v>
      </c>
      <c r="B1745" s="138">
        <f>'Tax Sched 23'!B5</f>
        <v>512544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175729</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73222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325392</v>
      </c>
      <c r="C1752" s="2" t="s">
        <v>573</v>
      </c>
      <c r="D1752" s="2" t="str">
        <f t="shared" si="26"/>
        <v>Error?</v>
      </c>
    </row>
    <row r="1753" spans="1:5" x14ac:dyDescent="0.2">
      <c r="A1753" s="5">
        <v>1692</v>
      </c>
      <c r="B1753" s="138">
        <f>'Tax Sched 23'!B12</f>
        <v>73222</v>
      </c>
      <c r="C1753" s="2" t="s">
        <v>573</v>
      </c>
      <c r="D1753" s="2" t="str">
        <f t="shared" si="26"/>
        <v>Error?</v>
      </c>
    </row>
    <row r="1754" spans="1:5" x14ac:dyDescent="0.2">
      <c r="A1754" s="5">
        <v>1693</v>
      </c>
      <c r="B1754" s="138">
        <f>'Tax Sched 23'!B14</f>
        <v>29288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2870333</v>
      </c>
      <c r="C1759" s="2" t="s">
        <v>573</v>
      </c>
      <c r="D1759" s="2" t="str">
        <f t="shared" si="26"/>
        <v>Error?</v>
      </c>
    </row>
    <row r="1760" spans="1:5" x14ac:dyDescent="0.2">
      <c r="A1760" s="5">
        <v>1699</v>
      </c>
      <c r="B1760" s="138">
        <f>'Tax Sched 23'!D4</f>
        <v>1537630</v>
      </c>
      <c r="C1760" s="2" t="s">
        <v>573</v>
      </c>
      <c r="D1760" s="2" t="str">
        <f t="shared" si="26"/>
        <v>Error?</v>
      </c>
    </row>
    <row r="1761" spans="1:5" x14ac:dyDescent="0.2">
      <c r="A1761" s="5">
        <v>1700</v>
      </c>
      <c r="B1761" s="138">
        <f>'Tax Sched 23'!D5</f>
        <v>512544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175729</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73222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325392</v>
      </c>
      <c r="C1768" s="2" t="s">
        <v>573</v>
      </c>
      <c r="D1768" s="2" t="str">
        <f t="shared" si="26"/>
        <v>Error?</v>
      </c>
    </row>
    <row r="1769" spans="1:5" x14ac:dyDescent="0.2">
      <c r="A1769" s="5">
        <v>1708</v>
      </c>
      <c r="B1769" s="138">
        <f>'Tax Sched 23'!D12</f>
        <v>73222</v>
      </c>
      <c r="C1769" s="2" t="s">
        <v>573</v>
      </c>
      <c r="D1769" s="2" t="str">
        <f t="shared" si="26"/>
        <v>Error?</v>
      </c>
    </row>
    <row r="1770" spans="1:5" x14ac:dyDescent="0.2">
      <c r="A1770" s="5">
        <v>1709</v>
      </c>
      <c r="B1770" s="138">
        <f>'Tax Sched 23'!D14</f>
        <v>29288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2870333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1562262</v>
      </c>
      <c r="C1792" s="2" t="s">
        <v>573</v>
      </c>
      <c r="D1792" s="2" t="str">
        <f t="shared" si="27"/>
        <v>Error?</v>
      </c>
    </row>
    <row r="1793" spans="1:4" x14ac:dyDescent="0.2">
      <c r="A1793" s="5">
        <v>1732</v>
      </c>
      <c r="B1793" s="138">
        <f>'Tax Sched 23'!F5</f>
        <v>520749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178556</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74397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275012</v>
      </c>
      <c r="C1800" s="2" t="s">
        <v>573</v>
      </c>
      <c r="D1800" s="2" t="str">
        <f t="shared" si="27"/>
        <v>Error?</v>
      </c>
    </row>
    <row r="1801" spans="1:4" x14ac:dyDescent="0.2">
      <c r="A1801" s="5">
        <v>1740</v>
      </c>
      <c r="B1801" s="138">
        <f>'Tax Sched 23'!F12</f>
        <v>74397</v>
      </c>
      <c r="C1801" s="2" t="s">
        <v>573</v>
      </c>
      <c r="D1801" s="2" t="str">
        <f t="shared" si="27"/>
        <v>Error?</v>
      </c>
    </row>
    <row r="1802" spans="1:4" x14ac:dyDescent="0.2">
      <c r="A1802" s="5">
        <v>1741</v>
      </c>
      <c r="B1802" s="138">
        <f>'Tax Sched 23'!F14</f>
        <v>29762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2884541</v>
      </c>
      <c r="C1807" s="2" t="s">
        <v>573</v>
      </c>
      <c r="D1807" s="2" t="str">
        <f t="shared" si="27"/>
        <v>Error?</v>
      </c>
    </row>
    <row r="1808" spans="1:4" x14ac:dyDescent="0.2">
      <c r="A1808" s="5">
        <v>1747</v>
      </c>
      <c r="B1808" s="138">
        <f>'Tax Sched 23'!E4</f>
        <v>1562262</v>
      </c>
      <c r="D1808" s="2" t="str">
        <f t="shared" si="27"/>
        <v>Error?</v>
      </c>
    </row>
    <row r="1809" spans="1:4" x14ac:dyDescent="0.2">
      <c r="A1809" s="5">
        <v>1748</v>
      </c>
      <c r="B1809" s="138">
        <f>'Tax Sched 23'!E5</f>
        <v>520749</v>
      </c>
      <c r="D1809" s="2" t="str">
        <f t="shared" si="27"/>
        <v>Error?</v>
      </c>
    </row>
    <row r="1810" spans="1:4" x14ac:dyDescent="0.2">
      <c r="A1810" s="5">
        <v>1749</v>
      </c>
      <c r="B1810" s="138">
        <f>'Tax Sched 23'!E6</f>
        <v>0</v>
      </c>
      <c r="D1810" s="2" t="str">
        <f t="shared" si="27"/>
        <v>Error?</v>
      </c>
    </row>
    <row r="1811" spans="1:4" x14ac:dyDescent="0.2">
      <c r="A1811" s="5">
        <v>1750</v>
      </c>
      <c r="B1811" s="138">
        <f>'Tax Sched 23'!E7</f>
        <v>178556</v>
      </c>
      <c r="D1811" s="2" t="str">
        <f t="shared" si="27"/>
        <v>Error?</v>
      </c>
    </row>
    <row r="1812" spans="1:4" x14ac:dyDescent="0.2">
      <c r="A1812" s="5">
        <v>1751</v>
      </c>
      <c r="B1812" s="138">
        <f>'Tax Sched 23'!E8</f>
        <v>0</v>
      </c>
      <c r="D1812" s="2" t="str">
        <f t="shared" si="27"/>
        <v>Error?</v>
      </c>
    </row>
    <row r="1813" spans="1:4" x14ac:dyDescent="0.2">
      <c r="A1813" s="5">
        <v>1752</v>
      </c>
      <c r="B1813" s="138">
        <f>'Tax Sched 23'!E10</f>
        <v>74397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275012</v>
      </c>
      <c r="D1816" s="2" t="str">
        <f t="shared" si="27"/>
        <v>Error?</v>
      </c>
    </row>
    <row r="1817" spans="1:4" x14ac:dyDescent="0.2">
      <c r="A1817" s="5">
        <v>1756</v>
      </c>
      <c r="B1817" s="138">
        <f>'Tax Sched 23'!E12</f>
        <v>74397</v>
      </c>
      <c r="D1817" s="2" t="str">
        <f t="shared" si="27"/>
        <v>Error?</v>
      </c>
    </row>
    <row r="1818" spans="1:4" x14ac:dyDescent="0.2">
      <c r="A1818" s="5">
        <v>1757</v>
      </c>
      <c r="B1818" s="138">
        <f>'Tax Sched 23'!E14</f>
        <v>29762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2884541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29288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29288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29288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704470</v>
      </c>
      <c r="D2008" s="2" t="str">
        <f t="shared" si="30"/>
        <v>Error?</v>
      </c>
    </row>
    <row r="2009" spans="1:4" x14ac:dyDescent="0.2">
      <c r="A2009" s="5">
        <v>1948</v>
      </c>
      <c r="B2009" s="138">
        <f>'Cap Outlay Deprec 26'!C8</f>
        <v>57559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622132</v>
      </c>
      <c r="D2011" s="2" t="str">
        <f t="shared" si="30"/>
        <v>Error?</v>
      </c>
    </row>
    <row r="2012" spans="1:4" x14ac:dyDescent="0.2">
      <c r="A2012" s="5">
        <v>1951</v>
      </c>
      <c r="B2012" s="138">
        <f>'Cap Outlay Deprec 26'!C13</f>
        <v>328280</v>
      </c>
      <c r="D2012" s="2" t="str">
        <f t="shared" si="30"/>
        <v>Error?</v>
      </c>
    </row>
    <row r="2013" spans="1:4" x14ac:dyDescent="0.2">
      <c r="A2013" s="5">
        <v>1952</v>
      </c>
      <c r="B2013" s="138">
        <f>'Cap Outlay Deprec 26'!C16</f>
        <v>1758862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203345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214225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114384</v>
      </c>
      <c r="D2023" s="2" t="str">
        <f t="shared" si="30"/>
        <v>Error?</v>
      </c>
    </row>
    <row r="2024" spans="1:4" x14ac:dyDescent="0.2">
      <c r="A2024" s="5">
        <v>1963</v>
      </c>
      <c r="B2024" s="138">
        <f>'Cap Outlay Deprec 26'!E13</f>
        <v>252248</v>
      </c>
      <c r="D2024" s="2" t="str">
        <f t="shared" si="30"/>
        <v>Error?</v>
      </c>
    </row>
    <row r="2025" spans="1:4" x14ac:dyDescent="0.2">
      <c r="A2025" s="5">
        <v>1964</v>
      </c>
      <c r="B2025" s="138">
        <f>'Cap Outlay Deprec 26'!E16</f>
        <v>366632</v>
      </c>
      <c r="C2025" s="2" t="s">
        <v>573</v>
      </c>
      <c r="D2025" s="2" t="str">
        <f t="shared" si="30"/>
        <v>Error?</v>
      </c>
    </row>
    <row r="2026" spans="1:4" x14ac:dyDescent="0.2">
      <c r="A2026" s="5">
        <v>1965</v>
      </c>
      <c r="B2026" s="138">
        <f>'Cap Outlay Deprec 26'!F5</f>
        <v>704470</v>
      </c>
      <c r="C2026" s="2" t="s">
        <v>573</v>
      </c>
      <c r="D2026" s="2" t="str">
        <f t="shared" si="30"/>
        <v>Error?</v>
      </c>
    </row>
    <row r="2027" spans="1:4" x14ac:dyDescent="0.2">
      <c r="A2027" s="5">
        <v>1966</v>
      </c>
      <c r="B2027" s="138">
        <f>'Cap Outlay Deprec 26'!F8</f>
        <v>57559</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711093</v>
      </c>
      <c r="C2029" s="2" t="s">
        <v>573</v>
      </c>
      <c r="D2029" s="2" t="str">
        <f t="shared" si="30"/>
        <v>Error?</v>
      </c>
    </row>
    <row r="2030" spans="1:4" x14ac:dyDescent="0.2">
      <c r="A2030" s="5">
        <v>1969</v>
      </c>
      <c r="B2030" s="138">
        <f>'Cap Outlay Deprec 26'!F13</f>
        <v>76032</v>
      </c>
      <c r="C2030" s="2" t="s">
        <v>573</v>
      </c>
      <c r="D2030" s="2" t="str">
        <f t="shared" si="30"/>
        <v>Error?</v>
      </c>
    </row>
    <row r="2031" spans="1:4" x14ac:dyDescent="0.2">
      <c r="A2031" s="5">
        <v>1970</v>
      </c>
      <c r="B2031" s="138">
        <f>'Cap Outlay Deprec 26'!F16</f>
        <v>1606455</v>
      </c>
      <c r="C2031" s="2" t="s">
        <v>573</v>
      </c>
      <c r="D2031" s="2" t="str">
        <f t="shared" si="30"/>
        <v>Error?</v>
      </c>
    </row>
    <row r="2032" spans="1:4" x14ac:dyDescent="0.2">
      <c r="A2032" s="10">
        <v>1971</v>
      </c>
      <c r="D2032" s="2" t="str">
        <f t="shared" si="30"/>
        <v>OK</v>
      </c>
    </row>
    <row r="2033" spans="1:4" x14ac:dyDescent="0.2">
      <c r="A2033" s="5">
        <v>1972</v>
      </c>
      <c r="B2033" s="138">
        <f>'Cap Outlay Deprec 26'!H8</f>
        <v>25902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260827</v>
      </c>
      <c r="D2035" s="2" t="str">
        <f t="shared" si="30"/>
        <v>Error?</v>
      </c>
    </row>
    <row r="2036" spans="1:4" x14ac:dyDescent="0.2">
      <c r="A2036" s="5">
        <v>1975</v>
      </c>
      <c r="B2036" s="138">
        <f>'Cap Outlay Deprec 26'!H13</f>
        <v>232214</v>
      </c>
      <c r="D2036" s="2" t="str">
        <f t="shared" si="30"/>
        <v>Error?</v>
      </c>
    </row>
    <row r="2037" spans="1:4" x14ac:dyDescent="0.2">
      <c r="A2037" s="5">
        <v>1976</v>
      </c>
      <c r="B2037" s="138">
        <f>'Cap Outlay Deprec 26'!H16</f>
        <v>518943</v>
      </c>
      <c r="C2037" s="2" t="s">
        <v>573</v>
      </c>
      <c r="D2037" s="2" t="str">
        <f t="shared" si="30"/>
        <v>Error?</v>
      </c>
    </row>
    <row r="2038" spans="1:4" x14ac:dyDescent="0.2">
      <c r="A2038" s="10">
        <v>1977</v>
      </c>
      <c r="D2038" s="2" t="str">
        <f t="shared" si="30"/>
        <v>OK</v>
      </c>
    </row>
    <row r="2039" spans="1:4" x14ac:dyDescent="0.2">
      <c r="A2039" s="5">
        <v>1978</v>
      </c>
      <c r="B2039" s="138">
        <f>'Cap Outlay Deprec 26'!I8</f>
        <v>2878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79863</v>
      </c>
      <c r="D2041" s="2" t="str">
        <f t="shared" si="30"/>
        <v>Error?</v>
      </c>
    </row>
    <row r="2042" spans="1:4" x14ac:dyDescent="0.2">
      <c r="A2042" s="5">
        <v>1981</v>
      </c>
      <c r="B2042" s="138">
        <f>'Cap Outlay Deprec 26'!I13</f>
        <v>65655</v>
      </c>
      <c r="D2042" s="2" t="str">
        <f t="shared" si="30"/>
        <v>Error?</v>
      </c>
    </row>
    <row r="2043" spans="1:4" x14ac:dyDescent="0.2">
      <c r="A2043" s="5">
        <v>1982</v>
      </c>
      <c r="B2043" s="138">
        <f>'Cap Outlay Deprec 26'!I16</f>
        <v>148396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114384</v>
      </c>
      <c r="D2047" s="2" t="str">
        <f t="shared" ref="D2047:D2110" si="31">IF(ISBLANK(B2047),"OK",IF(A2047-B2047=0,"OK","Error?"))</f>
        <v>Error?</v>
      </c>
    </row>
    <row r="2048" spans="1:4" x14ac:dyDescent="0.2">
      <c r="A2048" s="5">
        <v>1987</v>
      </c>
      <c r="B2048" s="138">
        <f>'Cap Outlay Deprec 26'!J13</f>
        <v>252248</v>
      </c>
      <c r="D2048" s="2" t="str">
        <f t="shared" si="31"/>
        <v>Error?</v>
      </c>
    </row>
    <row r="2049" spans="1:4" x14ac:dyDescent="0.2">
      <c r="A2049" s="5">
        <v>1988</v>
      </c>
      <c r="B2049" s="138">
        <f>'Cap Outlay Deprec 26'!J16</f>
        <v>366632</v>
      </c>
      <c r="C2049" s="2" t="s">
        <v>573</v>
      </c>
      <c r="D2049" s="2" t="str">
        <f t="shared" si="31"/>
        <v>Error?</v>
      </c>
    </row>
    <row r="2050" spans="1:4" x14ac:dyDescent="0.2">
      <c r="A2050" s="10">
        <v>1989</v>
      </c>
      <c r="D2050" s="2" t="str">
        <f t="shared" si="31"/>
        <v>OK</v>
      </c>
    </row>
    <row r="2051" spans="1:4" x14ac:dyDescent="0.2">
      <c r="A2051" s="5">
        <v>1990</v>
      </c>
      <c r="B2051" s="138">
        <f>'Cap Outlay Deprec 26'!K8</f>
        <v>28780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226306</v>
      </c>
      <c r="C2053" s="2" t="s">
        <v>573</v>
      </c>
      <c r="D2053" s="2" t="str">
        <f t="shared" si="31"/>
        <v>Error?</v>
      </c>
    </row>
    <row r="2054" spans="1:4" x14ac:dyDescent="0.2">
      <c r="A2054" s="5">
        <v>1993</v>
      </c>
      <c r="B2054" s="138">
        <f>'Cap Outlay Deprec 26'!K13</f>
        <v>45621</v>
      </c>
      <c r="C2054" s="2" t="s">
        <v>573</v>
      </c>
      <c r="D2054" s="2" t="str">
        <f t="shared" si="31"/>
        <v>Error?</v>
      </c>
    </row>
    <row r="2055" spans="1:4" x14ac:dyDescent="0.2">
      <c r="A2055" s="5">
        <v>1994</v>
      </c>
      <c r="B2055" s="138">
        <f>'Cap Outlay Deprec 26'!K16</f>
        <v>300707</v>
      </c>
      <c r="C2055" s="2" t="s">
        <v>573</v>
      </c>
      <c r="D2055" s="2" t="str">
        <f t="shared" si="31"/>
        <v>Error?</v>
      </c>
    </row>
    <row r="2056" spans="1:4" x14ac:dyDescent="0.2">
      <c r="A2056" s="5">
        <v>1995</v>
      </c>
      <c r="B2056" s="138">
        <f>'Cap Outlay Deprec 26'!L5</f>
        <v>704470</v>
      </c>
      <c r="C2056" s="2" t="s">
        <v>573</v>
      </c>
      <c r="D2056" s="2" t="str">
        <f t="shared" si="31"/>
        <v>Error?</v>
      </c>
    </row>
    <row r="2057" spans="1:4" x14ac:dyDescent="0.2">
      <c r="A2057" s="5">
        <v>1996</v>
      </c>
      <c r="B2057" s="138">
        <f>'Cap Outlay Deprec 26'!L8</f>
        <v>28779</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484787</v>
      </c>
      <c r="C2059" s="2" t="s">
        <v>573</v>
      </c>
      <c r="D2059" s="2" t="str">
        <f t="shared" si="31"/>
        <v>Error?</v>
      </c>
    </row>
    <row r="2060" spans="1:4" x14ac:dyDescent="0.2">
      <c r="A2060" s="5">
        <v>1999</v>
      </c>
      <c r="B2060" s="138">
        <f>'Cap Outlay Deprec 26'!L13</f>
        <v>30411</v>
      </c>
      <c r="C2060" s="2" t="s">
        <v>573</v>
      </c>
      <c r="D2060" s="2" t="str">
        <f t="shared" si="31"/>
        <v>Error?</v>
      </c>
    </row>
    <row r="2061" spans="1:4" x14ac:dyDescent="0.2">
      <c r="A2061" s="5">
        <v>2000</v>
      </c>
      <c r="B2061" s="138">
        <f>'Cap Outlay Deprec 26'!L16</f>
        <v>1305748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8114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215377</v>
      </c>
      <c r="C2088" s="2" t="s">
        <v>573</v>
      </c>
      <c r="D2088" s="2" t="str">
        <f t="shared" si="31"/>
        <v>Error?</v>
      </c>
    </row>
    <row r="2089" spans="1:4" x14ac:dyDescent="0.2">
      <c r="A2089" s="5">
        <v>2028</v>
      </c>
      <c r="B2089" s="138">
        <f>'Expenditures 15-22'!K92</f>
        <v>129207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98446</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115596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1775713</v>
      </c>
      <c r="C2551" s="2" t="s">
        <v>573</v>
      </c>
      <c r="D2551" s="2" t="str">
        <f t="shared" si="38"/>
        <v>Error?</v>
      </c>
    </row>
    <row r="2552" spans="1:4" x14ac:dyDescent="0.2">
      <c r="A2552" s="10">
        <v>2491</v>
      </c>
      <c r="D2552" s="2" t="str">
        <f t="shared" si="38"/>
        <v>OK</v>
      </c>
    </row>
    <row r="2553" spans="1:4" x14ac:dyDescent="0.2">
      <c r="A2553" s="5">
        <v>2492</v>
      </c>
      <c r="B2553" s="138">
        <f>'Acct Summary 7-8'!C6</f>
        <v>1378660</v>
      </c>
      <c r="C2553" s="2" t="s">
        <v>573</v>
      </c>
      <c r="D2553" s="2" t="str">
        <f t="shared" si="38"/>
        <v>Error?</v>
      </c>
    </row>
    <row r="2554" spans="1:4" x14ac:dyDescent="0.2">
      <c r="A2554" s="5">
        <v>2493</v>
      </c>
      <c r="B2554" s="138">
        <f>'Acct Summary 7-8'!C7</f>
        <v>157177</v>
      </c>
      <c r="C2554" s="2" t="s">
        <v>573</v>
      </c>
      <c r="D2554" s="2" t="str">
        <f t="shared" si="38"/>
        <v>Error?</v>
      </c>
    </row>
    <row r="2555" spans="1:4" x14ac:dyDescent="0.2">
      <c r="A2555" s="5">
        <v>2494</v>
      </c>
      <c r="B2555" s="138">
        <f>'Acct Summary 7-8'!C8</f>
        <v>3311550</v>
      </c>
      <c r="C2555" s="2" t="s">
        <v>573</v>
      </c>
      <c r="D2555" s="2" t="str">
        <f t="shared" si="38"/>
        <v>Error?</v>
      </c>
    </row>
    <row r="2556" spans="1:4" x14ac:dyDescent="0.2">
      <c r="A2556" s="5">
        <v>2495</v>
      </c>
      <c r="B2556" s="138">
        <f>'Acct Summary 7-8'!C12</f>
        <v>2245620</v>
      </c>
      <c r="C2556" s="2" t="s">
        <v>573</v>
      </c>
      <c r="D2556" s="2" t="str">
        <f t="shared" si="38"/>
        <v>Error?</v>
      </c>
    </row>
    <row r="2557" spans="1:4" x14ac:dyDescent="0.2">
      <c r="A2557" s="5">
        <v>2496</v>
      </c>
      <c r="B2557" s="138">
        <f>'Acct Summary 7-8'!C13</f>
        <v>644952</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344584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3235156</v>
      </c>
      <c r="C2561" s="2" t="s">
        <v>573</v>
      </c>
      <c r="D2561" s="2" t="str">
        <f t="shared" si="39"/>
        <v>Error?</v>
      </c>
    </row>
    <row r="2562" spans="1:4" x14ac:dyDescent="0.2">
      <c r="A2562" s="5">
        <v>2501</v>
      </c>
      <c r="B2562" s="138">
        <f>'Acct Summary 7-8'!C20</f>
        <v>76394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560321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560321</v>
      </c>
      <c r="C2568" s="2" t="s">
        <v>573</v>
      </c>
      <c r="D2568" s="2" t="str">
        <f t="shared" si="39"/>
        <v>Error?</v>
      </c>
    </row>
    <row r="2569" spans="1:4" x14ac:dyDescent="0.2">
      <c r="A2569" s="5">
        <v>2508</v>
      </c>
      <c r="B2569" s="138">
        <f>'Acct Summary 7-8'!D13</f>
        <v>339854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98446</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438300</v>
      </c>
      <c r="C2573" s="2" t="s">
        <v>573</v>
      </c>
      <c r="D2573" s="2" t="str">
        <f t="shared" si="39"/>
        <v>Error?</v>
      </c>
    </row>
    <row r="2574" spans="1:4" x14ac:dyDescent="0.2">
      <c r="A2574" s="5">
        <v>2513</v>
      </c>
      <c r="B2574" s="138">
        <f>'Acct Summary 7-8'!D20</f>
        <v>122021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195066</v>
      </c>
      <c r="C2591" s="2" t="s">
        <v>573</v>
      </c>
      <c r="D2591" s="2" t="str">
        <f t="shared" si="39"/>
        <v>Error?</v>
      </c>
    </row>
    <row r="2592" spans="1:4" x14ac:dyDescent="0.2">
      <c r="A2592" s="10">
        <v>2531</v>
      </c>
      <c r="D2592" s="2" t="str">
        <f t="shared" si="39"/>
        <v>OK</v>
      </c>
    </row>
    <row r="2593" spans="1:4" x14ac:dyDescent="0.2">
      <c r="A2593" s="5">
        <v>2532</v>
      </c>
      <c r="B2593" s="138">
        <f>'Acct Summary 7-8'!F6</f>
        <v>161262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356328</v>
      </c>
      <c r="C2595" s="2" t="s">
        <v>573</v>
      </c>
      <c r="D2595" s="2" t="str">
        <f t="shared" si="39"/>
        <v>Error?</v>
      </c>
    </row>
    <row r="2596" spans="1:4" x14ac:dyDescent="0.2">
      <c r="A2596" s="5">
        <v>2535</v>
      </c>
      <c r="B2596" s="138">
        <f>'Acct Summary 7-8'!F13</f>
        <v>350939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35745</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386684</v>
      </c>
      <c r="C2600" s="2" t="s">
        <v>573</v>
      </c>
      <c r="D2600" s="2" t="str">
        <f t="shared" si="39"/>
        <v>Error?</v>
      </c>
    </row>
    <row r="2601" spans="1:4" x14ac:dyDescent="0.2">
      <c r="A2601" s="5">
        <v>2540</v>
      </c>
      <c r="B2601" s="138">
        <f>'Acct Summary 7-8'!F20</f>
        <v>-30356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71477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71477</v>
      </c>
      <c r="C2606" s="2" t="s">
        <v>573</v>
      </c>
      <c r="D2606" s="2" t="str">
        <f t="shared" si="39"/>
        <v>Error?</v>
      </c>
    </row>
    <row r="2607" spans="1:4" x14ac:dyDescent="0.2">
      <c r="A2607" s="5">
        <v>2546</v>
      </c>
      <c r="B2607" s="138">
        <f>'Acct Summary 7-8'!G12</f>
        <v>39014</v>
      </c>
      <c r="C2607" s="2" t="s">
        <v>573</v>
      </c>
      <c r="D2607" s="2" t="str">
        <f t="shared" si="39"/>
        <v>Error?</v>
      </c>
    </row>
    <row r="2608" spans="1:4" x14ac:dyDescent="0.2">
      <c r="A2608" s="5">
        <v>2547</v>
      </c>
      <c r="B2608" s="138">
        <f>'Acct Summary 7-8'!G13</f>
        <v>61802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100816</v>
      </c>
      <c r="C2612" s="2" t="s">
        <v>573</v>
      </c>
      <c r="D2612" s="2" t="str">
        <f t="shared" si="39"/>
        <v>Error?</v>
      </c>
    </row>
    <row r="2613" spans="1:4" x14ac:dyDescent="0.2">
      <c r="A2613" s="5">
        <v>2552</v>
      </c>
      <c r="B2613" s="138">
        <f>'Acct Summary 7-8'!G20</f>
        <v>-29339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26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207263</v>
      </c>
      <c r="C2789" s="2" t="s">
        <v>573</v>
      </c>
      <c r="D2789" s="2" t="str">
        <f t="shared" si="42"/>
        <v>Error?</v>
      </c>
    </row>
    <row r="2790" spans="1:4" x14ac:dyDescent="0.2">
      <c r="A2790" s="5">
        <v>2729</v>
      </c>
      <c r="B2790" s="138">
        <f>'Expenditures 15-22'!E102</f>
        <v>207263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35745</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35745</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57301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344281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239353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344281</v>
      </c>
      <c r="D2912" s="2" t="str">
        <f t="shared" si="44"/>
        <v>Error?</v>
      </c>
    </row>
    <row r="2913" spans="1:4" x14ac:dyDescent="0.2">
      <c r="A2913" s="5">
        <v>2852</v>
      </c>
      <c r="B2913" s="138">
        <f>'Assets-Liab 5-6'!I41</f>
        <v>344281</v>
      </c>
      <c r="C2913" s="2" t="s">
        <v>573</v>
      </c>
      <c r="D2913" s="2" t="str">
        <f t="shared" si="44"/>
        <v>Error?</v>
      </c>
    </row>
    <row r="2914" spans="1:4" x14ac:dyDescent="0.2">
      <c r="A2914" s="5">
        <v>2853</v>
      </c>
      <c r="B2914" s="138">
        <f>'Assets-Liab 5-6'!L33</f>
        <v>179353</v>
      </c>
      <c r="D2914" s="2" t="str">
        <f t="shared" si="44"/>
        <v>Error?</v>
      </c>
    </row>
    <row r="2915" spans="1:4" x14ac:dyDescent="0.2">
      <c r="A2915" s="10">
        <v>2854</v>
      </c>
      <c r="D2915" s="2" t="str">
        <f t="shared" si="44"/>
        <v>OK</v>
      </c>
    </row>
    <row r="2916" spans="1:4" x14ac:dyDescent="0.2">
      <c r="A2916" s="5">
        <v>2855</v>
      </c>
      <c r="B2916" s="138">
        <f>'Assets-Liab 5-6'!L34</f>
        <v>179353</v>
      </c>
      <c r="C2916" s="2" t="s">
        <v>573</v>
      </c>
      <c r="D2916" s="2" t="str">
        <f t="shared" si="44"/>
        <v>Error?</v>
      </c>
    </row>
    <row r="2917" spans="1:4" x14ac:dyDescent="0.2">
      <c r="A2917" s="5">
        <v>2856</v>
      </c>
      <c r="B2917" s="138">
        <f>'Assets-Liab 5-6'!L41</f>
        <v>239353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146955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60308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5614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2500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152569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60308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98446</v>
      </c>
      <c r="C2988" s="2" t="s">
        <v>573</v>
      </c>
      <c r="D2988" s="2" t="str">
        <f t="shared" si="45"/>
        <v>Error?</v>
      </c>
    </row>
    <row r="2989" spans="1:4" x14ac:dyDescent="0.2">
      <c r="A2989" s="5">
        <v>2928</v>
      </c>
      <c r="B2989" s="138">
        <f>'Expenditures 15-22'!E188</f>
        <v>35745</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35745</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66254</v>
      </c>
      <c r="D3055" s="2" t="str">
        <f t="shared" si="46"/>
        <v>Error?</v>
      </c>
    </row>
    <row r="3056" spans="1:4" x14ac:dyDescent="0.2">
      <c r="A3056" s="5">
        <v>2995</v>
      </c>
      <c r="B3056" s="138">
        <f>'Expenditures 15-22'!D10</f>
        <v>20</v>
      </c>
      <c r="D3056" s="2" t="str">
        <f t="shared" si="46"/>
        <v>Error?</v>
      </c>
    </row>
    <row r="3057" spans="1:4" x14ac:dyDescent="0.2">
      <c r="A3057" s="5">
        <v>2996</v>
      </c>
      <c r="B3057" s="138">
        <f>'Expenditures 15-22'!E10</f>
        <v>26093</v>
      </c>
      <c r="D3057" s="2" t="str">
        <f t="shared" si="46"/>
        <v>Error?</v>
      </c>
    </row>
    <row r="3058" spans="1:4" x14ac:dyDescent="0.2">
      <c r="A3058" s="5">
        <v>2997</v>
      </c>
      <c r="B3058" s="138">
        <f>'Expenditures 15-22'!F10</f>
        <v>84</v>
      </c>
      <c r="D3058" s="2" t="str">
        <f t="shared" si="46"/>
        <v>Error?</v>
      </c>
    </row>
    <row r="3059" spans="1:4" x14ac:dyDescent="0.2">
      <c r="A3059" s="5">
        <v>2998</v>
      </c>
      <c r="B3059" s="138">
        <f>'Expenditures 15-22'!G10</f>
        <v>33424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125875</v>
      </c>
      <c r="C3062" s="2" t="s">
        <v>573</v>
      </c>
      <c r="D3062" s="2" t="str">
        <f t="shared" si="46"/>
        <v>Error?</v>
      </c>
    </row>
    <row r="3063" spans="1:4" x14ac:dyDescent="0.2">
      <c r="A3063" s="10">
        <v>3002</v>
      </c>
      <c r="D3063" s="2" t="str">
        <f t="shared" si="46"/>
        <v>OK</v>
      </c>
    </row>
    <row r="3064" spans="1:4" x14ac:dyDescent="0.2">
      <c r="A3064" s="5">
        <v>3003</v>
      </c>
      <c r="B3064" s="138">
        <f>'Expenditures 15-22'!D219</f>
        <v>8317</v>
      </c>
      <c r="D3064" s="2" t="str">
        <f t="shared" si="46"/>
        <v>Error?</v>
      </c>
    </row>
    <row r="3065" spans="1:4" x14ac:dyDescent="0.2">
      <c r="A3065" s="5">
        <v>3004</v>
      </c>
      <c r="B3065" s="138">
        <f>'Expenditures 15-22'!K219</f>
        <v>8317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60000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74139</v>
      </c>
      <c r="C3225" s="2" t="s">
        <v>573</v>
      </c>
      <c r="D3225" s="2" t="str">
        <f t="shared" si="49"/>
        <v>Error?</v>
      </c>
    </row>
    <row r="3226" spans="1:4" x14ac:dyDescent="0.2">
      <c r="A3226" s="5">
        <v>3165</v>
      </c>
      <c r="B3226" s="138">
        <f>'Acct Summary 7-8'!I8</f>
        <v>74139</v>
      </c>
      <c r="C3226" s="2" t="s">
        <v>573</v>
      </c>
      <c r="D3226" s="2" t="str">
        <f t="shared" si="49"/>
        <v>Error?</v>
      </c>
    </row>
    <row r="3227" spans="1:4" x14ac:dyDescent="0.2">
      <c r="A3227" s="5">
        <v>3166</v>
      </c>
      <c r="B3227" s="138">
        <f>'Acct Summary 7-8'!I20</f>
        <v>74139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76394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122021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1523</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1523</v>
      </c>
      <c r="C3255" s="2" t="s">
        <v>573</v>
      </c>
      <c r="D3255" s="2" t="str">
        <f t="shared" si="49"/>
        <v>Error?</v>
      </c>
    </row>
    <row r="3256" spans="1:4" x14ac:dyDescent="0.2">
      <c r="A3256" s="5">
        <v>3195</v>
      </c>
      <c r="B3256" s="138">
        <f>'Acct Summary 7-8'!F78</f>
        <v>-28833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-29339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74139</v>
      </c>
      <c r="C3320" s="2" t="s">
        <v>573</v>
      </c>
      <c r="D3320" s="2" t="str">
        <f t="shared" si="50"/>
        <v>Error?</v>
      </c>
    </row>
    <row r="3321" spans="1:4" x14ac:dyDescent="0.2">
      <c r="A3321" s="5">
        <v>3260</v>
      </c>
      <c r="B3321" s="138">
        <f>'Acct Summary 7-8'!I79</f>
        <v>270142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344281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141734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48294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915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191099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17083</v>
      </c>
      <c r="D3387" s="2" t="str">
        <f t="shared" si="51"/>
        <v>Error?</v>
      </c>
    </row>
    <row r="3388" spans="1:4" x14ac:dyDescent="0.2">
      <c r="A3388" s="5">
        <v>3327</v>
      </c>
      <c r="B3388" s="138">
        <f>'Expenditures 15-22'!D217</f>
        <v>5779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17083</v>
      </c>
      <c r="C3390" s="2" t="s">
        <v>573</v>
      </c>
      <c r="D3390" s="2" t="str">
        <f t="shared" si="51"/>
        <v>Error?</v>
      </c>
    </row>
    <row r="3391" spans="1:4" x14ac:dyDescent="0.2">
      <c r="A3391" s="5">
        <v>3330</v>
      </c>
      <c r="B3391" s="138">
        <f>'Expenditures 15-22'!K217</f>
        <v>5779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383421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223417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386193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231947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4872</v>
      </c>
      <c r="D3425" s="2" t="str">
        <f t="shared" si="52"/>
        <v>Error?</v>
      </c>
    </row>
    <row r="3426" spans="1:4" x14ac:dyDescent="0.2">
      <c r="A3426" s="10">
        <v>3365</v>
      </c>
      <c r="D3426" s="2" t="str">
        <f t="shared" si="52"/>
        <v>OK</v>
      </c>
    </row>
    <row r="3427" spans="1:4" x14ac:dyDescent="0.2">
      <c r="A3427" s="5">
        <v>3366</v>
      </c>
      <c r="B3427" s="138">
        <f>'Assets-Liab 5-6'!I4</f>
        <v>44281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179353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70084</v>
      </c>
      <c r="C3446" s="2" t="s">
        <v>573</v>
      </c>
      <c r="D3446" s="2" t="str">
        <f t="shared" si="52"/>
        <v>Error?</v>
      </c>
    </row>
    <row r="3447" spans="1:4" x14ac:dyDescent="0.2">
      <c r="A3447" s="5">
        <v>3386</v>
      </c>
      <c r="B3447" s="138">
        <f>'Tax Sched 23'!D16</f>
        <v>70084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95009</v>
      </c>
      <c r="C3449" s="2" t="s">
        <v>573</v>
      </c>
      <c r="D3449" s="2" t="str">
        <f t="shared" si="52"/>
        <v>Error?</v>
      </c>
    </row>
    <row r="3450" spans="1:4" x14ac:dyDescent="0.2">
      <c r="A3450" s="5">
        <v>3389</v>
      </c>
      <c r="B3450" s="138">
        <f>'Tax Sched 23'!E16</f>
        <v>95009</v>
      </c>
      <c r="D3450" s="2" t="str">
        <f t="shared" si="52"/>
        <v>Error?</v>
      </c>
    </row>
    <row r="3451" spans="1:4" x14ac:dyDescent="0.2">
      <c r="A3451" s="5">
        <v>3390</v>
      </c>
      <c r="B3451" s="138">
        <f>'Cap Outlay Deprec 26'!C15</f>
        <v>46421</v>
      </c>
      <c r="D3451" s="2" t="str">
        <f t="shared" si="52"/>
        <v>Error?</v>
      </c>
    </row>
    <row r="3452" spans="1:4" x14ac:dyDescent="0.2">
      <c r="A3452" s="5">
        <v>3391</v>
      </c>
      <c r="B3452" s="138">
        <f>'Cap Outlay Deprec 26'!D15</f>
        <v>10880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57301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57301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1523</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578451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578451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578451</v>
      </c>
      <c r="D3567" s="2" t="str">
        <f t="shared" si="54"/>
        <v>Error?</v>
      </c>
    </row>
    <row r="3568" spans="1:4" x14ac:dyDescent="0.2">
      <c r="A3568" s="5">
        <v>3507</v>
      </c>
      <c r="B3568" s="138">
        <f>'Assets-Liab 5-6'!K41</f>
        <v>578451</v>
      </c>
      <c r="C3568" s="2" t="s">
        <v>573</v>
      </c>
      <c r="D3568" s="2" t="str">
        <f t="shared" si="54"/>
        <v>Error?</v>
      </c>
    </row>
    <row r="3569" spans="1:4" x14ac:dyDescent="0.2">
      <c r="A3569" s="5">
        <v>3508</v>
      </c>
      <c r="B3569" s="138">
        <f>'Acct Summary 7-8'!K4</f>
        <v>76232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76232</v>
      </c>
      <c r="C3571" s="2" t="s">
        <v>573</v>
      </c>
      <c r="D3571" s="2" t="str">
        <f t="shared" si="54"/>
        <v>Error?</v>
      </c>
    </row>
    <row r="3572" spans="1:4" x14ac:dyDescent="0.2">
      <c r="A3572" s="5">
        <v>3511</v>
      </c>
      <c r="B3572" s="138">
        <f>'Acct Summary 7-8'!K13</f>
        <v>32259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32259</v>
      </c>
      <c r="C3575" s="2" t="s">
        <v>573</v>
      </c>
      <c r="D3575" s="2" t="str">
        <f t="shared" si="54"/>
        <v>Error?</v>
      </c>
    </row>
    <row r="3576" spans="1:4" x14ac:dyDescent="0.2">
      <c r="A3576" s="5">
        <v>3515</v>
      </c>
      <c r="B3576" s="138">
        <f>'Acct Summary 7-8'!K20</f>
        <v>43973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43973</v>
      </c>
      <c r="C3588" s="2" t="s">
        <v>573</v>
      </c>
      <c r="D3588" s="2" t="str">
        <f t="shared" si="55"/>
        <v>Error?</v>
      </c>
    </row>
    <row r="3589" spans="1:4" x14ac:dyDescent="0.2">
      <c r="A3589" s="5">
        <v>3528</v>
      </c>
      <c r="B3589" s="138">
        <f>'Acct Summary 7-8'!K79</f>
        <v>534478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578451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32259</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32259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32259</v>
      </c>
      <c r="C3649" s="2" t="s">
        <v>573</v>
      </c>
      <c r="D3649" s="2" t="str">
        <f t="shared" si="56"/>
        <v>Error?</v>
      </c>
    </row>
    <row r="3650" spans="1:4" x14ac:dyDescent="0.2">
      <c r="A3650" s="5">
        <v>3589</v>
      </c>
      <c r="B3650" s="138">
        <f>'Expenditures 15-22'!G367</f>
        <v>32259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32259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32259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32259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32259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43973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73222</v>
      </c>
      <c r="C3725" s="2" t="s">
        <v>573</v>
      </c>
      <c r="D3725" s="2" t="str">
        <f t="shared" si="57"/>
        <v>Error?</v>
      </c>
    </row>
    <row r="3726" spans="1:4" x14ac:dyDescent="0.2">
      <c r="A3726" s="5">
        <v>3665</v>
      </c>
      <c r="B3726" s="138">
        <f>'Tax Sched 23'!D13</f>
        <v>73222</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74397</v>
      </c>
      <c r="C3728" s="2" t="s">
        <v>573</v>
      </c>
      <c r="D3728" s="2" t="str">
        <f t="shared" si="57"/>
        <v>Error?</v>
      </c>
    </row>
    <row r="3729" spans="1:4" x14ac:dyDescent="0.2">
      <c r="A3729" s="5">
        <v>3668</v>
      </c>
      <c r="B3729" s="138">
        <f>'Tax Sched 23'!E13</f>
        <v>74397</v>
      </c>
      <c r="D3729" s="2" t="str">
        <f t="shared" si="57"/>
        <v>Error?</v>
      </c>
    </row>
    <row r="3730" spans="1:4" x14ac:dyDescent="0.2">
      <c r="A3730" s="5">
        <v>3669</v>
      </c>
      <c r="B3730" s="138">
        <f>'ICR Computation 30'!E10</f>
        <v>26281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1178179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4489729</v>
      </c>
      <c r="C4122" s="2" t="s">
        <v>573</v>
      </c>
      <c r="D4122" s="2" t="str">
        <f t="shared" si="63"/>
        <v>Error?</v>
      </c>
    </row>
    <row r="4123" spans="1:4" x14ac:dyDescent="0.2">
      <c r="A4123" s="5">
        <v>4062</v>
      </c>
      <c r="B4123" s="138">
        <f>'Acct Summary 7-8'!D10</f>
        <v>560321</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356328</v>
      </c>
      <c r="C4125" s="2" t="s">
        <v>573</v>
      </c>
      <c r="D4125" s="2" t="str">
        <f t="shared" si="63"/>
        <v>Error?</v>
      </c>
    </row>
    <row r="4126" spans="1:4" x14ac:dyDescent="0.2">
      <c r="A4126" s="5">
        <v>4065</v>
      </c>
      <c r="B4126" s="138">
        <f>'Acct Summary 7-8'!G10</f>
        <v>71477</v>
      </c>
      <c r="C4126" s="2" t="s">
        <v>573</v>
      </c>
      <c r="D4126" s="2" t="str">
        <f t="shared" si="63"/>
        <v>Error?</v>
      </c>
    </row>
    <row r="4127" spans="1:4" x14ac:dyDescent="0.2">
      <c r="A4127" s="5">
        <v>4066</v>
      </c>
      <c r="B4127" s="138">
        <f>'Acct Summary 7-8'!H10</f>
        <v>26</v>
      </c>
      <c r="C4127" s="2" t="s">
        <v>573</v>
      </c>
      <c r="D4127" s="2" t="str">
        <f t="shared" si="63"/>
        <v>Error?</v>
      </c>
    </row>
    <row r="4128" spans="1:4" x14ac:dyDescent="0.2">
      <c r="A4128" s="5">
        <v>4067</v>
      </c>
      <c r="B4128" s="138">
        <f>'Acct Summary 7-8'!I10</f>
        <v>74139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76232</v>
      </c>
      <c r="C4130" s="2" t="s">
        <v>573</v>
      </c>
      <c r="D4130" s="2" t="str">
        <f t="shared" si="63"/>
        <v>Error?</v>
      </c>
    </row>
    <row r="4131" spans="1:4" x14ac:dyDescent="0.2">
      <c r="A4131" s="5">
        <v>4070</v>
      </c>
      <c r="B4131" s="138">
        <f>'Acct Summary 7-8'!C18</f>
        <v>1178179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4413335</v>
      </c>
      <c r="C4136" s="2" t="s">
        <v>573</v>
      </c>
      <c r="D4136" s="2" t="str">
        <f t="shared" si="63"/>
        <v>Error?</v>
      </c>
    </row>
    <row r="4137" spans="1:4" x14ac:dyDescent="0.2">
      <c r="A4137" s="5">
        <v>4076</v>
      </c>
      <c r="B4137" s="138">
        <f>'Acct Summary 7-8'!D19</f>
        <v>438300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386684</v>
      </c>
      <c r="C4139" s="2" t="s">
        <v>573</v>
      </c>
      <c r="D4139" s="2" t="str">
        <f t="shared" si="63"/>
        <v>Error?</v>
      </c>
    </row>
    <row r="4140" spans="1:4" x14ac:dyDescent="0.2">
      <c r="A4140" s="5">
        <v>4079</v>
      </c>
      <c r="B4140" s="138">
        <f>'Acct Summary 7-8'!G19</f>
        <v>100816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32259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98446</v>
      </c>
      <c r="D4201" s="2" t="str">
        <f t="shared" si="64"/>
        <v>Error?</v>
      </c>
    </row>
    <row r="4202" spans="1:4" x14ac:dyDescent="0.2">
      <c r="A4202" s="5">
        <v>4141</v>
      </c>
      <c r="B4202" s="138">
        <f>'Expenditures 15-22'!E137</f>
        <v>98446</v>
      </c>
      <c r="C4202" s="2" t="s">
        <v>573</v>
      </c>
      <c r="D4202" s="2" t="str">
        <f t="shared" si="64"/>
        <v>Error?</v>
      </c>
    </row>
    <row r="4203" spans="1:4" x14ac:dyDescent="0.2">
      <c r="A4203" s="5">
        <v>4142</v>
      </c>
      <c r="B4203" s="138">
        <f>'Expenditures 15-22'!E139</f>
        <v>98446</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1026.22</v>
      </c>
      <c r="C4265" s="2" t="s">
        <v>573</v>
      </c>
      <c r="D4265" s="2" t="str">
        <f t="shared" si="65"/>
        <v>Error?</v>
      </c>
      <c r="E4265" s="128"/>
    </row>
    <row r="4266" spans="1:5" x14ac:dyDescent="0.2">
      <c r="A4266" s="12">
        <v>4205</v>
      </c>
      <c r="B4266" s="138">
        <f>('FP Info 3'!F10)*100000</f>
        <v>342.07</v>
      </c>
      <c r="C4266" s="2" t="s">
        <v>573</v>
      </c>
      <c r="D4266" s="2" t="str">
        <f t="shared" si="65"/>
        <v>Error?</v>
      </c>
      <c r="E4266" s="128"/>
    </row>
    <row r="4267" spans="1:5" x14ac:dyDescent="0.2">
      <c r="A4267" s="12">
        <v>4206</v>
      </c>
      <c r="B4267" s="138">
        <f>('FP Info 3'!H10)*100000</f>
        <v>117.28999999999999</v>
      </c>
      <c r="C4267" s="2" t="s">
        <v>573</v>
      </c>
      <c r="D4267" s="2" t="str">
        <f t="shared" si="65"/>
        <v>Error?</v>
      </c>
      <c r="E4267" s="128"/>
    </row>
    <row r="4268" spans="1:5" x14ac:dyDescent="0.2">
      <c r="A4268" s="12">
        <v>4207</v>
      </c>
      <c r="B4268" s="138">
        <f>('FP Info 3'!J10)*100000</f>
        <v>1486</v>
      </c>
      <c r="C4268" s="2" t="s">
        <v>573</v>
      </c>
      <c r="D4268" s="2" t="str">
        <f t="shared" si="65"/>
        <v>Error?</v>
      </c>
    </row>
    <row r="4269" spans="1:5" x14ac:dyDescent="0.2">
      <c r="A4269" s="12">
        <v>4208</v>
      </c>
      <c r="B4269" s="138">
        <f>'FP Info 3'!J16</f>
        <v>3061498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3998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1662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152234605</v>
      </c>
      <c r="D4995" s="2" t="str">
        <f t="shared" si="77"/>
        <v>Error?</v>
      </c>
    </row>
    <row r="4996" spans="1:4" x14ac:dyDescent="0.2">
      <c r="A4996" s="12">
        <v>4935</v>
      </c>
      <c r="B4996" s="138">
        <f>'FP Info 3'!H31</f>
        <v>10504187.745000001</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73222</v>
      </c>
      <c r="D5026" s="2" t="str">
        <f t="shared" si="77"/>
        <v>Error?</v>
      </c>
    </row>
    <row r="5027" spans="1:4" x14ac:dyDescent="0.2">
      <c r="A5027" s="5">
        <v>4966</v>
      </c>
      <c r="B5027" s="138">
        <f>'Revenues 9-14'!F104</f>
        <v>17211</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1537630</v>
      </c>
      <c r="D5061" s="2" t="str">
        <f t="shared" si="78"/>
        <v>Error?</v>
      </c>
    </row>
    <row r="5062" spans="1:4" x14ac:dyDescent="0.2">
      <c r="A5062" s="10">
        <v>5001</v>
      </c>
      <c r="D5062" s="2" t="str">
        <f t="shared" si="78"/>
        <v>OK</v>
      </c>
    </row>
    <row r="5063" spans="1:4" x14ac:dyDescent="0.2">
      <c r="A5063" s="5">
        <v>5002</v>
      </c>
      <c r="B5063" s="138">
        <f>'Revenues 9-14'!C7</f>
        <v>29288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1640140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18929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18929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16131</v>
      </c>
      <c r="C5096" s="2" t="s">
        <v>573</v>
      </c>
      <c r="D5096" s="2" t="str">
        <f t="shared" si="78"/>
        <v>Error?</v>
      </c>
    </row>
    <row r="5097" spans="1:4" x14ac:dyDescent="0.2">
      <c r="A5097" s="5">
        <v>5036</v>
      </c>
      <c r="B5097" s="138">
        <f>'Revenues 9-14'!C77</f>
        <v>18453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18453</v>
      </c>
      <c r="C5102" s="2" t="s">
        <v>573</v>
      </c>
      <c r="D5102" s="2" t="str">
        <f t="shared" si="78"/>
        <v>Error?</v>
      </c>
    </row>
    <row r="5103" spans="1:4" x14ac:dyDescent="0.2">
      <c r="A5103" s="5">
        <v>5042</v>
      </c>
      <c r="B5103" s="138">
        <f>'Revenues 9-14'!C84</f>
        <v>24488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676</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25164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2597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7673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3826</v>
      </c>
      <c r="D5119" s="2" t="str">
        <f t="shared" ref="D5119:D5182" si="79">IF(ISBLANK(B5119),"OK",IF(A5119-B5119=0,"OK","Error?"))</f>
        <v>Error?</v>
      </c>
    </row>
    <row r="5120" spans="1:4" x14ac:dyDescent="0.2">
      <c r="A5120" s="5">
        <v>5059</v>
      </c>
      <c r="B5120" s="138">
        <f>'Revenues 9-14'!C108</f>
        <v>56896</v>
      </c>
      <c r="C5120" s="2" t="s">
        <v>573</v>
      </c>
      <c r="D5120" s="2" t="str">
        <f t="shared" si="79"/>
        <v>Error?</v>
      </c>
    </row>
    <row r="5121" spans="1:4" x14ac:dyDescent="0.2">
      <c r="A5121" s="5">
        <v>5060</v>
      </c>
      <c r="B5121" s="138">
        <f>'Revenues 9-14'!C109</f>
        <v>1775713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1151590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1151590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121451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121451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81566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88873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657</v>
      </c>
      <c r="D5167" s="2" t="str">
        <f t="shared" si="79"/>
        <v>Error?</v>
      </c>
    </row>
    <row r="5168" spans="1:4" x14ac:dyDescent="0.2">
      <c r="A5168" s="5">
        <v>5107</v>
      </c>
      <c r="B5168" s="138">
        <f>'Revenues 9-14'!C148</f>
        <v>14427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227070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1378660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26220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7517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33737</v>
      </c>
      <c r="C5246" s="2" t="s">
        <v>573</v>
      </c>
      <c r="D5246" s="2" t="str">
        <f t="shared" si="80"/>
        <v>Error?</v>
      </c>
    </row>
    <row r="5247" spans="1:4" x14ac:dyDescent="0.2">
      <c r="A5247" s="5">
        <v>5186</v>
      </c>
      <c r="B5247" s="138">
        <f>'Revenues 9-14'!C200</f>
        <v>119393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119393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157177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157177</v>
      </c>
      <c r="C5326" s="2" t="s">
        <v>573</v>
      </c>
      <c r="D5326" s="2" t="str">
        <f t="shared" si="82"/>
        <v>Error?</v>
      </c>
    </row>
    <row r="5327" spans="1:5" x14ac:dyDescent="0.2">
      <c r="A5327" s="5">
        <v>5266</v>
      </c>
      <c r="B5327" s="138">
        <f>'Revenues 9-14'!C268</f>
        <v>3311550</v>
      </c>
      <c r="C5327" s="2" t="s">
        <v>573</v>
      </c>
      <c r="D5327" s="2" t="str">
        <f t="shared" si="82"/>
        <v>Error?</v>
      </c>
    </row>
    <row r="5328" spans="1:5" x14ac:dyDescent="0.2">
      <c r="A5328" s="5">
        <v>5267</v>
      </c>
      <c r="B5328" s="138">
        <f>'Revenues 9-14'!D5</f>
        <v>512544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512544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3827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3827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18262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21500</v>
      </c>
      <c r="D5353" s="2" t="str">
        <f t="shared" si="82"/>
        <v>Error?</v>
      </c>
    </row>
    <row r="5354" spans="1:4" x14ac:dyDescent="0.2">
      <c r="A5354" s="5">
        <v>5293</v>
      </c>
      <c r="B5354" s="138">
        <f>'Revenues 9-14'!D107</f>
        <v>4188</v>
      </c>
      <c r="D5354" s="2" t="str">
        <f t="shared" si="82"/>
        <v>Error?</v>
      </c>
    </row>
    <row r="5355" spans="1:4" x14ac:dyDescent="0.2">
      <c r="A5355" s="5">
        <v>5294</v>
      </c>
      <c r="B5355" s="138">
        <f>'Revenues 9-14'!D108</f>
        <v>43950</v>
      </c>
      <c r="C5355" s="2" t="s">
        <v>573</v>
      </c>
      <c r="D5355" s="2" t="str">
        <f t="shared" si="82"/>
        <v>Error?</v>
      </c>
    </row>
    <row r="5356" spans="1:4" x14ac:dyDescent="0.2">
      <c r="A5356" s="5">
        <v>5295</v>
      </c>
      <c r="B5356" s="138">
        <f>'Revenues 9-14'!D109</f>
        <v>560321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560321</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175729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175729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17211</v>
      </c>
      <c r="C5587" s="2" t="s">
        <v>573</v>
      </c>
      <c r="D5587" s="2" t="str">
        <f t="shared" si="86"/>
        <v>Error?</v>
      </c>
    </row>
    <row r="5588" spans="1:4" x14ac:dyDescent="0.2">
      <c r="A5588" s="5">
        <v>5527</v>
      </c>
      <c r="B5588" s="138">
        <f>'Revenues 9-14'!F109</f>
        <v>195066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124171</v>
      </c>
      <c r="D5615" s="2" t="str">
        <f t="shared" si="86"/>
        <v>Error?</v>
      </c>
    </row>
    <row r="5616" spans="1:4" x14ac:dyDescent="0.2">
      <c r="A5616" s="10">
        <v>5555</v>
      </c>
      <c r="D5616" s="2" t="str">
        <f t="shared" si="86"/>
        <v>OK</v>
      </c>
    </row>
    <row r="5617" spans="1:5" x14ac:dyDescent="0.2">
      <c r="A5617" s="5">
        <v>5556</v>
      </c>
      <c r="B5617" s="138">
        <f>'Revenues 9-14'!F153</f>
        <v>37091</v>
      </c>
      <c r="D5617" s="2" t="str">
        <f t="shared" si="86"/>
        <v>Error?</v>
      </c>
    </row>
    <row r="5618" spans="1:5" x14ac:dyDescent="0.2">
      <c r="A5618" s="5">
        <v>5557</v>
      </c>
      <c r="B5618" s="138">
        <f>'Revenues 9-14'!F155</f>
        <v>161262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161262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161262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356328</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70084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70084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1393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1393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71477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v>
      </c>
      <c r="C5915" s="2" t="s">
        <v>573</v>
      </c>
      <c r="D5915" s="2" t="str">
        <f t="shared" si="91"/>
        <v>Error?</v>
      </c>
    </row>
    <row r="5916" spans="1:4" x14ac:dyDescent="0.2">
      <c r="A5916" s="5">
        <v>5855</v>
      </c>
      <c r="B5916" s="138">
        <f>'Revenues 9-14'!I5</f>
        <v>73222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73222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74139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73222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73222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3010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3010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76232</v>
      </c>
      <c r="C6023" s="2" t="s">
        <v>573</v>
      </c>
      <c r="D6023" s="2" t="str">
        <f t="shared" si="93"/>
        <v>Error?</v>
      </c>
    </row>
    <row r="6024" spans="1:5" x14ac:dyDescent="0.2">
      <c r="A6024" s="5">
        <v>5963</v>
      </c>
      <c r="B6024" s="138">
        <f>'Revenues 9-14'!G109</f>
        <v>71477</v>
      </c>
      <c r="C6024" s="2" t="s">
        <v>573</v>
      </c>
      <c r="D6024" s="2" t="str">
        <f t="shared" si="93"/>
        <v>Error?</v>
      </c>
    </row>
    <row r="6025" spans="1:5" x14ac:dyDescent="0.2">
      <c r="A6025" s="5">
        <v>5964</v>
      </c>
      <c r="B6025" s="138">
        <f>'Revenues 9-14'!H109</f>
        <v>26</v>
      </c>
      <c r="C6025" s="2" t="s">
        <v>573</v>
      </c>
      <c r="D6025" s="2" t="str">
        <f t="shared" si="93"/>
        <v>Error?</v>
      </c>
    </row>
    <row r="6026" spans="1:5" x14ac:dyDescent="0.2">
      <c r="A6026" s="5">
        <v>5965</v>
      </c>
      <c r="B6026" s="138">
        <f>'Revenues 9-14'!I109</f>
        <v>74139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76232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15016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4066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293.10000000000002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472487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472487</v>
      </c>
      <c r="D6215" s="2" t="str">
        <f t="shared" si="96"/>
        <v>Error?</v>
      </c>
      <c r="E6215" s="2" t="s">
        <v>190</v>
      </c>
    </row>
    <row r="6216" spans="1:5" x14ac:dyDescent="0.2">
      <c r="A6216">
        <v>6155</v>
      </c>
      <c r="B6216" s="138">
        <f>'Assets-Liab 5-6'!J41</f>
        <v>472487</v>
      </c>
      <c r="D6216" s="2" t="str">
        <f t="shared" si="96"/>
        <v>Error?</v>
      </c>
      <c r="E6216" s="2" t="s">
        <v>190</v>
      </c>
    </row>
    <row r="6217" spans="1:5" x14ac:dyDescent="0.2">
      <c r="A6217">
        <v>6156</v>
      </c>
      <c r="B6217" s="138">
        <f>'Assets-Liab 5-6'!J4</f>
        <v>472487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327893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327893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327893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280126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280126</v>
      </c>
      <c r="D6229" s="2" t="str">
        <f t="shared" si="96"/>
        <v>Error?</v>
      </c>
      <c r="E6229" s="2" t="s">
        <v>190</v>
      </c>
    </row>
    <row r="6230" spans="1:5" x14ac:dyDescent="0.2">
      <c r="A6230">
        <v>6169</v>
      </c>
      <c r="B6230" s="138">
        <f>'Acct Summary 7-8'!J20</f>
        <v>47767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47767</v>
      </c>
      <c r="D6263" s="2" t="str">
        <f t="shared" si="96"/>
        <v>Error?</v>
      </c>
      <c r="E6263" s="2" t="s">
        <v>190</v>
      </c>
    </row>
    <row r="6264" spans="1:5" x14ac:dyDescent="0.2">
      <c r="A6264">
        <v>6203</v>
      </c>
      <c r="B6264" s="138">
        <f>'Acct Summary 7-8'!J79</f>
        <v>424720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472487</v>
      </c>
      <c r="D6266" s="2" t="str">
        <f t="shared" si="96"/>
        <v>Error?</v>
      </c>
      <c r="E6266" s="2" t="s">
        <v>190</v>
      </c>
    </row>
    <row r="6267" spans="1:5" x14ac:dyDescent="0.2">
      <c r="A6267">
        <v>6206</v>
      </c>
      <c r="B6267" s="138">
        <f>'Acct Summary 7-8'!C82</f>
        <v>76394</v>
      </c>
      <c r="D6267" s="2" t="str">
        <f t="shared" si="96"/>
        <v>Error?</v>
      </c>
      <c r="E6267" s="2" t="s">
        <v>190</v>
      </c>
    </row>
    <row r="6268" spans="1:5" x14ac:dyDescent="0.2">
      <c r="A6268">
        <v>6207</v>
      </c>
      <c r="B6268" s="138">
        <f>'Acct Summary 7-8'!D82</f>
        <v>122021</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-28833</v>
      </c>
      <c r="D6270" s="2" t="str">
        <f t="shared" si="96"/>
        <v>Error?</v>
      </c>
      <c r="E6270" s="2" t="s">
        <v>190</v>
      </c>
    </row>
    <row r="6271" spans="1:5" x14ac:dyDescent="0.2">
      <c r="A6271">
        <v>6210</v>
      </c>
      <c r="B6271" s="138">
        <f>'Acct Summary 7-8'!G82</f>
        <v>-29339</v>
      </c>
      <c r="D6271" s="2" t="str">
        <f t="shared" ref="D6271:D6334" si="97">IF(ISBLANK(B6271),"OK",IF(A6271-B6271=0,"OK","Error?"))</f>
        <v>Error?</v>
      </c>
      <c r="E6271" s="2" t="s">
        <v>190</v>
      </c>
    </row>
    <row r="6272" spans="1:5" x14ac:dyDescent="0.2">
      <c r="A6272">
        <v>6211</v>
      </c>
      <c r="B6272" s="138">
        <f>'Acct Summary 7-8'!H82</f>
        <v>26</v>
      </c>
      <c r="D6272" s="2" t="str">
        <f t="shared" si="97"/>
        <v>Error?</v>
      </c>
      <c r="E6272" s="2" t="s">
        <v>190</v>
      </c>
    </row>
    <row r="6273" spans="1:5" x14ac:dyDescent="0.2">
      <c r="A6273">
        <v>6212</v>
      </c>
      <c r="B6273" s="138">
        <f>'Acct Summary 7-8'!I82</f>
        <v>74139</v>
      </c>
      <c r="D6273" s="2" t="str">
        <f t="shared" si="97"/>
        <v>Error?</v>
      </c>
      <c r="E6273" s="2" t="s">
        <v>190</v>
      </c>
    </row>
    <row r="6274" spans="1:5" x14ac:dyDescent="0.2">
      <c r="A6274">
        <v>6213</v>
      </c>
      <c r="B6274" s="138">
        <f>'Acct Summary 7-8'!J82</f>
        <v>47767</v>
      </c>
      <c r="D6274" s="2" t="str">
        <f t="shared" si="97"/>
        <v>Error?</v>
      </c>
      <c r="E6274" s="2" t="s">
        <v>190</v>
      </c>
    </row>
    <row r="6275" spans="1:5" x14ac:dyDescent="0.2">
      <c r="A6275">
        <v>6214</v>
      </c>
      <c r="B6275" s="138">
        <f>'Acct Summary 7-8'!K82</f>
        <v>43973</v>
      </c>
      <c r="D6275" s="2" t="str">
        <f t="shared" si="97"/>
        <v>Error?</v>
      </c>
      <c r="E6275" s="2" t="s">
        <v>190</v>
      </c>
    </row>
    <row r="6276" spans="1:5" x14ac:dyDescent="0.2">
      <c r="A6276">
        <v>6215</v>
      </c>
      <c r="B6276" s="138">
        <f>'Acct Summary 7-8'!C83</f>
        <v>4.0095249441955208E-2</v>
      </c>
      <c r="D6276" s="2" t="str">
        <f t="shared" si="97"/>
        <v>Error?</v>
      </c>
      <c r="E6276" s="2" t="s">
        <v>190</v>
      </c>
    </row>
    <row r="6277" spans="1:5" x14ac:dyDescent="0.2">
      <c r="A6277">
        <v>6216</v>
      </c>
      <c r="B6277" s="138">
        <f>'Acct Summary 7-8'!D83</f>
        <v>0.28662872230221909</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-7.4659561411004341E-2</v>
      </c>
      <c r="D6279" s="2" t="str">
        <f t="shared" si="97"/>
        <v>Error?</v>
      </c>
      <c r="E6279" s="2" t="s">
        <v>190</v>
      </c>
    </row>
    <row r="6280" spans="1:5" x14ac:dyDescent="0.2">
      <c r="A6280">
        <v>6219</v>
      </c>
      <c r="B6280" s="138">
        <f>'Acct Summary 7-8'!G83</f>
        <v>-0.12649010334257396</v>
      </c>
      <c r="D6280" s="2" t="str">
        <f t="shared" si="97"/>
        <v>Error?</v>
      </c>
      <c r="E6280" s="2" t="s">
        <v>190</v>
      </c>
    </row>
    <row r="6281" spans="1:5" x14ac:dyDescent="0.2">
      <c r="A6281">
        <v>6220</v>
      </c>
      <c r="B6281" s="138">
        <f>'Acct Summary 7-8'!H83</f>
        <v>5.3366174055829232E-3</v>
      </c>
      <c r="D6281" s="2" t="str">
        <f t="shared" si="97"/>
        <v>Error?</v>
      </c>
      <c r="E6281" s="2" t="s">
        <v>190</v>
      </c>
    </row>
    <row r="6282" spans="1:5" x14ac:dyDescent="0.2">
      <c r="A6282">
        <v>6221</v>
      </c>
      <c r="B6282" s="138">
        <f>'Acct Summary 7-8'!I83</f>
        <v>0.21534444247576834</v>
      </c>
      <c r="D6282" s="2" t="str">
        <f t="shared" si="97"/>
        <v>Error?</v>
      </c>
      <c r="E6282" s="2" t="s">
        <v>190</v>
      </c>
    </row>
    <row r="6283" spans="1:5" x14ac:dyDescent="0.2">
      <c r="A6283">
        <v>6222</v>
      </c>
      <c r="B6283" s="138">
        <f>'Acct Summary 7-8'!J83</f>
        <v>0.10109696139787973</v>
      </c>
      <c r="D6283" s="2" t="str">
        <f t="shared" si="97"/>
        <v>Error?</v>
      </c>
      <c r="E6283" s="2" t="s">
        <v>190</v>
      </c>
    </row>
    <row r="6284" spans="1:5" x14ac:dyDescent="0.2">
      <c r="A6284">
        <v>6223</v>
      </c>
      <c r="B6284" s="138">
        <f>'Acct Summary 7-8'!K83</f>
        <v>7.6018539167535371E-2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325392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325392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2501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2501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37925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4175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327893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7307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65197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9175</v>
      </c>
      <c r="D6880" s="2" t="str">
        <f t="shared" si="106"/>
        <v>Error?</v>
      </c>
    </row>
    <row r="6881" spans="1:4" x14ac:dyDescent="0.2">
      <c r="A6881">
        <v>6820</v>
      </c>
      <c r="B6881" s="138">
        <f>'Expenditures 15-22'!K22</f>
        <v>9175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129207</v>
      </c>
      <c r="D6983" s="2" t="str">
        <f t="shared" si="108"/>
        <v>Error?</v>
      </c>
    </row>
    <row r="6984" spans="1:4" x14ac:dyDescent="0.2">
      <c r="A6984">
        <v>6923</v>
      </c>
      <c r="B6984" s="138">
        <f>'Expenditures 15-22'!K86</f>
        <v>129207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129207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280126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327893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665</v>
      </c>
      <c r="D7079" s="2" t="str">
        <f t="shared" si="109"/>
        <v>Error?</v>
      </c>
    </row>
    <row r="7080" spans="1:4" x14ac:dyDescent="0.2">
      <c r="A7080">
        <v>7019</v>
      </c>
      <c r="B7080" s="138">
        <f>'Expenditures 15-22'!K226</f>
        <v>665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5373</v>
      </c>
      <c r="D7093" s="2" t="str">
        <f t="shared" si="109"/>
        <v>Error?</v>
      </c>
    </row>
    <row r="7094" spans="1:4" x14ac:dyDescent="0.2">
      <c r="A7094">
        <v>7033</v>
      </c>
      <c r="B7094" s="138">
        <f>'Expenditures 15-22'!K254</f>
        <v>5373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30655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30655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4158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4158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10821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10821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32078</v>
      </c>
      <c r="D7156" s="2" t="str">
        <f t="shared" si="110"/>
        <v>Error?</v>
      </c>
    </row>
    <row r="7157" spans="1:4" x14ac:dyDescent="0.2">
      <c r="A7157">
        <v>7096</v>
      </c>
      <c r="B7157" s="138">
        <f>'Expenditures 15-22'!F323</f>
        <v>2537</v>
      </c>
      <c r="D7157" s="2" t="str">
        <f t="shared" si="110"/>
        <v>Error?</v>
      </c>
    </row>
    <row r="7158" spans="1:4" x14ac:dyDescent="0.2">
      <c r="A7158">
        <v>7097</v>
      </c>
      <c r="B7158" s="138">
        <f>'Expenditures 15-22'!G323</f>
        <v>6306</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40921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99859</v>
      </c>
      <c r="D7172" s="2" t="str">
        <f t="shared" si="111"/>
        <v>Error?</v>
      </c>
    </row>
    <row r="7173" spans="1:4" x14ac:dyDescent="0.2">
      <c r="A7173">
        <v>7112</v>
      </c>
      <c r="B7173" s="138">
        <f>'Expenditures 15-22'!D325</f>
        <v>23582</v>
      </c>
      <c r="D7173" s="2" t="str">
        <f t="shared" si="111"/>
        <v>Error?</v>
      </c>
    </row>
    <row r="7174" spans="1:4" x14ac:dyDescent="0.2">
      <c r="A7174">
        <v>7113</v>
      </c>
      <c r="B7174" s="138">
        <f>'Expenditures 15-22'!E325</f>
        <v>3711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127152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8607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8607</v>
      </c>
      <c r="D7198" s="2" t="str">
        <f t="shared" si="111"/>
        <v>Error?</v>
      </c>
    </row>
    <row r="7199" spans="1:4" x14ac:dyDescent="0.2">
      <c r="A7199">
        <v>7138</v>
      </c>
      <c r="B7199" s="138">
        <f>'Expenditures 15-22'!C330</f>
        <v>99859</v>
      </c>
      <c r="D7199" s="2" t="str">
        <f t="shared" si="111"/>
        <v>Error?</v>
      </c>
    </row>
    <row r="7200" spans="1:4" x14ac:dyDescent="0.2">
      <c r="A7200">
        <v>7139</v>
      </c>
      <c r="B7200" s="138">
        <f>'Expenditures 15-22'!D330</f>
        <v>23582</v>
      </c>
      <c r="D7200" s="2" t="str">
        <f t="shared" si="111"/>
        <v>Error?</v>
      </c>
    </row>
    <row r="7201" spans="1:4" x14ac:dyDescent="0.2">
      <c r="A7201">
        <v>7140</v>
      </c>
      <c r="B7201" s="138">
        <f>'Expenditures 15-22'!E330</f>
        <v>147842</v>
      </c>
      <c r="D7201" s="2" t="str">
        <f t="shared" si="111"/>
        <v>Error?</v>
      </c>
    </row>
    <row r="7202" spans="1:4" x14ac:dyDescent="0.2">
      <c r="A7202">
        <v>7141</v>
      </c>
      <c r="B7202" s="138">
        <f>'Expenditures 15-22'!F330</f>
        <v>2537</v>
      </c>
      <c r="D7202" s="2" t="str">
        <f t="shared" si="111"/>
        <v>Error?</v>
      </c>
    </row>
    <row r="7203" spans="1:4" x14ac:dyDescent="0.2">
      <c r="A7203">
        <v>7142</v>
      </c>
      <c r="B7203" s="138">
        <f>'Expenditures 15-22'!G330</f>
        <v>6306</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280126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99859</v>
      </c>
      <c r="D7216" s="2" t="str">
        <f t="shared" si="111"/>
        <v>Error?</v>
      </c>
    </row>
    <row r="7217" spans="1:4" x14ac:dyDescent="0.2">
      <c r="A7217">
        <v>7156</v>
      </c>
      <c r="B7217" s="138">
        <f>'Expenditures 15-22'!D342</f>
        <v>23582</v>
      </c>
      <c r="D7217" s="2" t="str">
        <f t="shared" si="111"/>
        <v>Error?</v>
      </c>
    </row>
    <row r="7218" spans="1:4" x14ac:dyDescent="0.2">
      <c r="A7218">
        <v>7157</v>
      </c>
      <c r="B7218" s="138">
        <f>'Expenditures 15-22'!E342</f>
        <v>147842</v>
      </c>
      <c r="D7218" s="2" t="str">
        <f t="shared" si="111"/>
        <v>Error?</v>
      </c>
    </row>
    <row r="7219" spans="1:4" x14ac:dyDescent="0.2">
      <c r="A7219">
        <v>7158</v>
      </c>
      <c r="B7219" s="138">
        <f>'Expenditures 15-22'!F342</f>
        <v>2537</v>
      </c>
      <c r="D7219" s="2" t="str">
        <f t="shared" si="111"/>
        <v>Error?</v>
      </c>
    </row>
    <row r="7220" spans="1:4" x14ac:dyDescent="0.2">
      <c r="A7220">
        <v>7159</v>
      </c>
      <c r="B7220" s="138">
        <f>'Expenditures 15-22'!G342</f>
        <v>6306</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280126</v>
      </c>
      <c r="D7224" s="2" t="str">
        <f t="shared" si="111"/>
        <v>Error?</v>
      </c>
    </row>
    <row r="7225" spans="1:4" x14ac:dyDescent="0.2">
      <c r="A7225">
        <v>7164</v>
      </c>
      <c r="B7225" s="138">
        <f>'Expenditures 15-22'!K343</f>
        <v>47767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45902</v>
      </c>
      <c r="D7263" s="2" t="str">
        <f t="shared" si="112"/>
        <v>Error?</v>
      </c>
    </row>
    <row r="7264" spans="1:4" x14ac:dyDescent="0.2">
      <c r="A7264">
        <f t="shared" si="113"/>
        <v>7203</v>
      </c>
      <c r="B7264" s="138">
        <f>'Expenditures 15-22'!D17</f>
        <v>15587</v>
      </c>
      <c r="D7264" s="2" t="str">
        <f t="shared" si="112"/>
        <v>Error?</v>
      </c>
    </row>
    <row r="7265" spans="1:5" x14ac:dyDescent="0.2">
      <c r="A7265">
        <f t="shared" si="113"/>
        <v>7204</v>
      </c>
      <c r="B7265" s="138">
        <f>'Expenditures 15-22'!E17</f>
        <v>2085</v>
      </c>
      <c r="D7265" s="2" t="str">
        <f t="shared" si="112"/>
        <v>Error?</v>
      </c>
    </row>
    <row r="7266" spans="1:5" x14ac:dyDescent="0.2">
      <c r="A7266">
        <f t="shared" si="113"/>
        <v>7205</v>
      </c>
      <c r="B7266" s="138">
        <f>'Expenditures 15-22'!F17</f>
        <v>1623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148396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38200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38200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19612</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19612</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4175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14427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18602</v>
      </c>
      <c r="D7719" s="2" t="str">
        <f t="shared" si="126"/>
        <v>Error?</v>
      </c>
      <c r="E7719" s="2" t="s">
        <v>827</v>
      </c>
    </row>
    <row r="7720" spans="1:6" x14ac:dyDescent="0.2">
      <c r="A7720">
        <v>7659</v>
      </c>
      <c r="B7720" s="138">
        <f>'Rest Tax Levies-Tort Im 25'!H14</f>
        <v>29288</v>
      </c>
      <c r="D7720" s="2" t="str">
        <f t="shared" si="126"/>
        <v>Error?</v>
      </c>
      <c r="E7720" s="2" t="s">
        <v>827</v>
      </c>
    </row>
    <row r="7721" spans="1:6" x14ac:dyDescent="0.2">
      <c r="A7721">
        <v>7660</v>
      </c>
      <c r="B7721" s="138">
        <f>'Rest Tax Levies-Tort Im 25'!K14</f>
        <v>18602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152942</v>
      </c>
      <c r="D7797" s="2" t="str">
        <f t="shared" si="127"/>
        <v>Error?</v>
      </c>
      <c r="E7797" s="4" t="s">
        <v>1904</v>
      </c>
    </row>
    <row r="7798" spans="1:5" x14ac:dyDescent="0.2">
      <c r="A7798">
        <v>7737</v>
      </c>
      <c r="B7798" s="138">
        <f>'Contracts Paid in CY 29'!F141</f>
        <v>67795</v>
      </c>
      <c r="D7798" s="2" t="str">
        <f t="shared" si="127"/>
        <v>Error?</v>
      </c>
      <c r="E7798" s="4" t="s">
        <v>1904</v>
      </c>
    </row>
    <row r="7799" spans="1:5" x14ac:dyDescent="0.2">
      <c r="A7799">
        <v>7738</v>
      </c>
      <c r="B7799" s="138">
        <f>'Contracts Paid in CY 29'!G141</f>
        <v>85147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3" t="s">
        <v>1191</v>
      </c>
      <c r="B2" s="2413"/>
      <c r="C2" s="2413"/>
      <c r="D2" s="2413"/>
      <c r="E2" s="2413"/>
      <c r="F2" s="2413"/>
      <c r="G2" s="2413"/>
      <c r="H2" s="2413"/>
      <c r="I2" s="2413"/>
      <c r="J2" s="2413"/>
      <c r="K2" s="2413"/>
      <c r="L2" s="2413"/>
    </row>
    <row r="3" spans="1:29" ht="13.5" customHeight="1" x14ac:dyDescent="0.2">
      <c r="A3" s="2399" t="s">
        <v>1190</v>
      </c>
      <c r="B3" s="2399"/>
      <c r="C3" s="2399"/>
      <c r="D3" s="2399"/>
      <c r="E3" s="2399"/>
      <c r="F3" s="2399"/>
      <c r="G3" s="2399"/>
      <c r="H3" s="2399"/>
      <c r="I3" s="2399"/>
      <c r="J3" s="2399"/>
      <c r="K3" s="2399"/>
      <c r="L3" s="2399"/>
    </row>
    <row r="4" spans="1:29" ht="13.5" customHeight="1" x14ac:dyDescent="0.2">
      <c r="A4" s="2413" t="s">
        <v>1989</v>
      </c>
      <c r="B4" s="2430"/>
      <c r="C4" s="2430"/>
      <c r="D4" s="2430"/>
      <c r="E4" s="2430"/>
      <c r="F4" s="2430"/>
      <c r="G4" s="2430"/>
      <c r="H4" s="2430"/>
      <c r="I4" s="2430"/>
      <c r="J4" s="2430"/>
      <c r="K4" s="2430"/>
      <c r="L4" s="243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3" t="str">
        <f>COVER!A17</f>
        <v>Illini West H S Dist 307</v>
      </c>
      <c r="B7" s="2394"/>
      <c r="C7" s="2394"/>
      <c r="D7" s="2431"/>
      <c r="E7" s="2432">
        <f>COVER!A13</f>
        <v>26034307016</v>
      </c>
      <c r="F7" s="2433"/>
      <c r="G7" s="2400" t="str">
        <f>COVER!T23</f>
        <v>066-003689</v>
      </c>
      <c r="H7" s="2401"/>
      <c r="I7" s="2401"/>
      <c r="J7" s="2401"/>
      <c r="K7" s="2401"/>
      <c r="L7" s="240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3"/>
      <c r="B9" s="2404"/>
      <c r="C9" s="2404"/>
      <c r="D9" s="2404"/>
      <c r="E9" s="2404"/>
      <c r="F9" s="2405"/>
      <c r="G9" s="2406" t="str">
        <f>COVER!T13</f>
        <v>GRAY HUNTER STENN LLP</v>
      </c>
      <c r="H9" s="2407"/>
      <c r="I9" s="2407"/>
      <c r="J9" s="2407"/>
      <c r="K9" s="2407"/>
      <c r="L9" s="2408"/>
    </row>
    <row r="10" spans="1:29" ht="13.5" customHeight="1" x14ac:dyDescent="0.2">
      <c r="A10" s="2390" t="str">
        <f>COVER!A38</f>
        <v>KIM SCHILSON</v>
      </c>
      <c r="B10" s="2391"/>
      <c r="C10" s="2391"/>
      <c r="D10" s="2391"/>
      <c r="E10" s="2391"/>
      <c r="F10" s="2392"/>
      <c r="G10" s="2406" t="str">
        <f>COVER!T17</f>
        <v>500 MAINE STREET, PO BOX 32</v>
      </c>
      <c r="H10" s="2419"/>
      <c r="I10" s="2419"/>
      <c r="J10" s="2419"/>
      <c r="K10" s="2419"/>
      <c r="L10" s="2420"/>
    </row>
    <row r="11" spans="1:29" ht="13.5" customHeight="1" x14ac:dyDescent="0.2">
      <c r="A11" s="1184" t="s">
        <v>1519</v>
      </c>
      <c r="B11" s="1185"/>
      <c r="C11" s="1186"/>
      <c r="D11" s="1191"/>
      <c r="E11" s="1186"/>
      <c r="F11" s="1190"/>
      <c r="G11" s="2406" t="str">
        <f>COVER!T19</f>
        <v>QUINCY</v>
      </c>
      <c r="H11" s="2419"/>
      <c r="I11" s="2419"/>
      <c r="J11" s="2419"/>
      <c r="K11" s="2419"/>
      <c r="L11" s="2420"/>
    </row>
    <row r="12" spans="1:29" ht="13.5" customHeight="1" x14ac:dyDescent="0.2">
      <c r="A12" s="2424" t="s">
        <v>1518</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1520</v>
      </c>
      <c r="H13" s="2415"/>
      <c r="I13" s="2427" t="str">
        <f>COVER!T25</f>
        <v>JAM@GRAY-HUNTER-STENN.COM</v>
      </c>
      <c r="J13" s="2428"/>
      <c r="K13" s="2428"/>
      <c r="L13" s="2429"/>
    </row>
    <row r="14" spans="1:29" ht="13.5" customHeight="1" x14ac:dyDescent="0.2">
      <c r="A14" s="2406" t="str">
        <f>COVER!A19</f>
        <v>600 MILLER STREET</v>
      </c>
      <c r="B14" s="2419"/>
      <c r="C14" s="2419"/>
      <c r="D14" s="2419"/>
      <c r="E14" s="2419"/>
      <c r="F14" s="2420"/>
      <c r="G14" s="1195" t="s">
        <v>1185</v>
      </c>
      <c r="H14" s="1193"/>
      <c r="I14" s="1193"/>
      <c r="J14" s="1193"/>
      <c r="K14" s="1193"/>
      <c r="L14" s="1194"/>
    </row>
    <row r="15" spans="1:29" ht="13.5" customHeight="1" x14ac:dyDescent="0.2">
      <c r="A15" s="2406" t="str">
        <f>COVER!A21</f>
        <v>CARTHAGE</v>
      </c>
      <c r="B15" s="2419"/>
      <c r="C15" s="2419"/>
      <c r="D15" s="2419"/>
      <c r="E15" s="2419"/>
      <c r="F15" s="2420"/>
      <c r="G15" s="2416" t="str">
        <f>COVER!T15</f>
        <v>JEFFREY A. MCPHERSON</v>
      </c>
      <c r="H15" s="2417"/>
      <c r="I15" s="2417"/>
      <c r="J15" s="2417"/>
      <c r="K15" s="2417"/>
      <c r="L15" s="2418"/>
    </row>
    <row r="16" spans="1:29" ht="12.2" customHeight="1" x14ac:dyDescent="0.2">
      <c r="A16" s="2396">
        <f>COVER!A25</f>
        <v>62321</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5" t="s">
        <v>1184</v>
      </c>
      <c r="H17" s="1193"/>
      <c r="I17" s="1193"/>
      <c r="J17" s="1193"/>
      <c r="K17" s="1197" t="s">
        <v>1183</v>
      </c>
      <c r="L17" s="1190"/>
      <c r="M17" s="1183"/>
    </row>
    <row r="18" spans="1:13" ht="12.2" customHeight="1" x14ac:dyDescent="0.2">
      <c r="A18" s="2390"/>
      <c r="B18" s="2391"/>
      <c r="C18" s="2391"/>
      <c r="D18" s="2391"/>
      <c r="E18" s="2391"/>
      <c r="F18" s="2392"/>
      <c r="G18" s="2393" t="str">
        <f>COVER!T21</f>
        <v>217-222-0304</v>
      </c>
      <c r="H18" s="2394"/>
      <c r="I18" s="2394"/>
      <c r="J18" s="2394"/>
      <c r="K18" s="2393" t="str">
        <f>COVER!X21</f>
        <v>217-222-1691</v>
      </c>
      <c r="L18" s="239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3"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Illini West H S Dist 307</v>
      </c>
      <c r="B1" s="2430"/>
      <c r="C1" s="2430"/>
      <c r="D1" s="2430"/>
    </row>
    <row r="2" spans="1:11" s="1212" customFormat="1" ht="12.75" x14ac:dyDescent="0.2">
      <c r="A2" s="2435">
        <f>'Single Audit Cover'!E7</f>
        <v>26034307016</v>
      </c>
      <c r="B2" s="2436"/>
      <c r="C2" s="2436"/>
      <c r="D2" s="2436"/>
    </row>
    <row r="3" spans="1:11" s="1212" customFormat="1" ht="12.75" x14ac:dyDescent="0.2">
      <c r="A3" s="2434" t="s">
        <v>1513</v>
      </c>
      <c r="B3" s="2430"/>
      <c r="C3" s="2430"/>
      <c r="D3" s="243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Illini West H S Dist 307</v>
      </c>
      <c r="B1" s="2438"/>
      <c r="C1" s="2438"/>
      <c r="D1" s="2438"/>
      <c r="E1" s="2438"/>
    </row>
    <row r="2" spans="1:5" x14ac:dyDescent="0.2">
      <c r="A2" s="2439">
        <f>'Single Audit Cover'!E7</f>
        <v>26034307016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157177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4066</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161243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161243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7"/>
      <c r="B40" s="2437"/>
      <c r="D40" s="1265"/>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0</v>
      </c>
    </row>
    <row r="49" spans="2:4" x14ac:dyDescent="0.2">
      <c r="B49" s="1269" t="s">
        <v>1226</v>
      </c>
      <c r="C49" s="1269"/>
      <c r="D49" s="1270">
        <f>D32-D47</f>
        <v>161243</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Illini West H S Dist 307</v>
      </c>
      <c r="C1" s="2442"/>
      <c r="D1" s="2442"/>
      <c r="E1" s="2442"/>
      <c r="F1" s="2442"/>
      <c r="G1" s="2442"/>
      <c r="H1" s="2442"/>
      <c r="I1" s="2442"/>
      <c r="J1" s="2442"/>
      <c r="K1" s="2442"/>
      <c r="L1" s="2442"/>
      <c r="M1" s="2442"/>
    </row>
    <row r="2" spans="2:14" ht="15" x14ac:dyDescent="0.2">
      <c r="B2" s="2443">
        <f>'Single Audit Cover'!E7</f>
        <v>26034307016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Illini West H S Dist 307</v>
      </c>
      <c r="B1" s="2447"/>
      <c r="C1" s="2447"/>
      <c r="D1" s="2447"/>
      <c r="E1" s="2447"/>
      <c r="F1" s="2447"/>
    </row>
    <row r="2" spans="1:7" ht="13.5" customHeight="1" x14ac:dyDescent="0.2">
      <c r="A2" s="2443">
        <f>'Single Audit Cover'!E7</f>
        <v>26034307016</v>
      </c>
      <c r="B2" s="2443"/>
      <c r="C2" s="2443"/>
      <c r="D2" s="2443"/>
      <c r="E2" s="2443"/>
      <c r="F2" s="2443"/>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1729</v>
      </c>
      <c r="B7" s="2446"/>
      <c r="C7" s="2446"/>
      <c r="D7" s="2446"/>
      <c r="E7" s="2446"/>
      <c r="F7" s="244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1731</v>
      </c>
      <c r="B13" s="2446"/>
      <c r="C13" s="2446"/>
      <c r="D13" s="2446"/>
      <c r="E13" s="2446"/>
      <c r="F13" s="2446"/>
    </row>
    <row r="14" spans="1:7" ht="9.75" customHeight="1" x14ac:dyDescent="0.2">
      <c r="C14" s="1257"/>
      <c r="D14" s="1257"/>
    </row>
    <row r="15" spans="1:7" ht="13.5" customHeight="1" x14ac:dyDescent="0.2">
      <c r="C15" s="1846" t="s">
        <v>1270</v>
      </c>
      <c r="D15" s="2451" t="s">
        <v>1269</v>
      </c>
      <c r="E15" s="2451"/>
      <c r="F15" s="2451"/>
    </row>
    <row r="16" spans="1:7" ht="13.5" customHeight="1" x14ac:dyDescent="0.2">
      <c r="A16" s="1279"/>
      <c r="B16" s="1273" t="s">
        <v>1268</v>
      </c>
      <c r="C16" s="1846" t="s">
        <v>1267</v>
      </c>
      <c r="D16" s="2452" t="s">
        <v>1588</v>
      </c>
      <c r="E16" s="2452"/>
      <c r="F16" s="2452"/>
    </row>
    <row r="17" spans="1:6" ht="20.45" customHeight="1" x14ac:dyDescent="0.2">
      <c r="A17" s="1280"/>
      <c r="B17" s="1281"/>
      <c r="C17" s="1282"/>
      <c r="D17" s="2450"/>
      <c r="E17" s="2450"/>
      <c r="F17" s="2450"/>
    </row>
    <row r="18" spans="1:6" ht="20.65" customHeight="1" x14ac:dyDescent="0.2">
      <c r="A18" s="1280"/>
      <c r="B18" s="1281"/>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4" t="s">
        <v>1732</v>
      </c>
      <c r="B32" s="2454"/>
      <c r="C32" s="2454"/>
      <c r="D32" s="2454"/>
      <c r="E32" s="2454"/>
      <c r="F32" s="245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5">
        <f>+C33+C34</f>
        <v>0</v>
      </c>
      <c r="F34" s="245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7" t="s">
        <v>1590</v>
      </c>
      <c r="C49" s="2457"/>
      <c r="D49" s="2457"/>
      <c r="E49" s="1396"/>
    </row>
    <row r="50" spans="1:5" s="1297" customFormat="1" ht="3.75" customHeight="1" x14ac:dyDescent="0.2">
      <c r="A50" s="1296"/>
      <c r="B50" s="1845"/>
      <c r="C50" s="1845"/>
      <c r="D50" s="1845"/>
      <c r="E50" s="1396"/>
    </row>
    <row r="51" spans="1:5" s="1297" customFormat="1" ht="20.25" customHeight="1" x14ac:dyDescent="0.2">
      <c r="A51" s="1298">
        <v>6</v>
      </c>
      <c r="B51" s="2453" t="s">
        <v>1551</v>
      </c>
      <c r="C51" s="2453"/>
      <c r="D51" s="2453"/>
    </row>
    <row r="52" spans="1:5" ht="14.25" customHeight="1" x14ac:dyDescent="0.2">
      <c r="A52" s="1298"/>
      <c r="B52" s="2453"/>
      <c r="C52" s="2453"/>
      <c r="D52" s="245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Illini West H S Dist 307</v>
      </c>
      <c r="C1" s="2463"/>
      <c r="D1" s="2463"/>
      <c r="E1" s="2463"/>
      <c r="F1" s="2463"/>
      <c r="G1" s="2463"/>
      <c r="H1" s="2463"/>
      <c r="I1" s="2463"/>
      <c r="J1" s="1406"/>
    </row>
    <row r="2" spans="2:10" s="317" customFormat="1" ht="12.75" customHeight="1" x14ac:dyDescent="0.2">
      <c r="B2" s="2464">
        <f>'Single Audit Cover'!E7</f>
        <v>26034307016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76" t="s">
        <v>1593</v>
      </c>
      <c r="D43" s="2477"/>
      <c r="E43" s="2477"/>
      <c r="F43" s="2478"/>
      <c r="G43" s="2479">
        <f>SUM(G38:I42)</f>
        <v>0</v>
      </c>
      <c r="H43" s="2479"/>
      <c r="I43" s="2479"/>
    </row>
    <row r="44" spans="2:9" ht="12.75" customHeight="1" x14ac:dyDescent="0.2"/>
    <row r="45" spans="2:9" ht="12.75" customHeight="1" x14ac:dyDescent="0.2">
      <c r="B45" s="1419" t="s">
        <v>1841</v>
      </c>
      <c r="D45" s="2480">
        <v>0</v>
      </c>
      <c r="E45" s="248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82"/>
      <c r="F49" s="2482"/>
      <c r="G49" s="248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Illini West H S Dist 307</v>
      </c>
      <c r="C1" s="2462"/>
      <c r="D1" s="2462"/>
      <c r="E1" s="2462"/>
      <c r="F1" s="2462"/>
      <c r="G1" s="2462"/>
      <c r="H1" s="2462"/>
      <c r="I1" s="2462"/>
      <c r="J1" s="2462"/>
      <c r="K1" s="2462"/>
      <c r="L1" s="1371"/>
      <c r="M1" s="1371"/>
    </row>
    <row r="2" spans="1:13" ht="12" customHeight="1" x14ac:dyDescent="0.2">
      <c r="B2" s="2464">
        <f>'Single Audit Cover'!E7</f>
        <v>26034307016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8"/>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4"/>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3"/>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3"/>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9" t="str">
        <f>'Single Audit Cover'!A7</f>
        <v>Illini West H S Dist 307</v>
      </c>
      <c r="C1" s="2489"/>
      <c r="D1" s="2489"/>
      <c r="E1" s="2489"/>
      <c r="F1" s="2489"/>
      <c r="G1" s="2489"/>
      <c r="H1" s="2489"/>
      <c r="I1" s="2489"/>
      <c r="J1" s="2489"/>
      <c r="K1" s="2489"/>
      <c r="L1" s="1449"/>
    </row>
    <row r="2" spans="1:12" ht="12.75" customHeight="1" x14ac:dyDescent="0.2">
      <c r="B2" s="2490">
        <f>'Single Audit Cover'!E7</f>
        <v>26034307016</v>
      </c>
      <c r="C2" s="2490"/>
      <c r="D2" s="2490"/>
      <c r="E2" s="2490"/>
      <c r="F2" s="2490"/>
      <c r="G2" s="2490"/>
      <c r="H2" s="2490"/>
      <c r="I2" s="2490"/>
      <c r="J2" s="2490"/>
      <c r="K2" s="2490"/>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1" t="s">
        <v>1308</v>
      </c>
      <c r="C6" s="2491"/>
      <c r="D6" s="2491"/>
      <c r="E6" s="2491"/>
      <c r="F6" s="2491"/>
      <c r="G6" s="2491"/>
      <c r="H6" s="2491"/>
      <c r="I6" s="2491"/>
      <c r="J6" s="2491"/>
      <c r="K6" s="249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2"/>
      <c r="E14" s="2492"/>
      <c r="F14" s="2492"/>
      <c r="H14" s="1459" t="s">
        <v>1303</v>
      </c>
      <c r="I14" s="2493"/>
      <c r="J14" s="2493"/>
      <c r="K14" s="249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3"/>
      <c r="E16" s="2493"/>
      <c r="F16" s="2493"/>
      <c r="G16" s="2493"/>
      <c r="H16" s="2493"/>
      <c r="I16" s="2493"/>
      <c r="J16" s="2493"/>
      <c r="K16" s="2493"/>
      <c r="L16" s="322"/>
    </row>
    <row r="17" spans="2:12" ht="13.5" customHeight="1" x14ac:dyDescent="0.2">
      <c r="B17" s="1384" t="s">
        <v>1301</v>
      </c>
      <c r="C17" s="1384"/>
      <c r="D17" s="2494"/>
      <c r="E17" s="2494"/>
      <c r="F17" s="2494"/>
      <c r="G17" s="2494"/>
      <c r="H17" s="2494"/>
      <c r="I17" s="2494"/>
      <c r="J17" s="2494"/>
      <c r="K17" s="249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Illini West H S Dist 307</v>
      </c>
      <c r="C1" s="2462"/>
      <c r="D1" s="2462"/>
      <c r="E1" s="1469"/>
    </row>
    <row r="2" spans="2:5" s="1279" customFormat="1" ht="12.75" customHeight="1" x14ac:dyDescent="0.2">
      <c r="B2" s="2464">
        <f>'Single Audit Cover'!E7</f>
        <v>26034307016</v>
      </c>
      <c r="C2" s="2464"/>
      <c r="D2" s="2464"/>
      <c r="E2" s="1470"/>
    </row>
    <row r="3" spans="2:5" ht="12.75" customHeight="1" x14ac:dyDescent="0.2">
      <c r="B3" s="2485" t="s">
        <v>1766</v>
      </c>
      <c r="C3" s="2485"/>
      <c r="D3" s="2485"/>
      <c r="E3" s="1271"/>
    </row>
    <row r="4" spans="2:5" s="1279" customFormat="1" ht="12.75" customHeight="1" x14ac:dyDescent="0.2">
      <c r="B4" s="2495" t="str">
        <f>'Single Audit Cover'!A4</f>
        <v>Year Ending June 30, 2019</v>
      </c>
      <c r="C4" s="2495"/>
      <c r="D4" s="249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4d435f69-8686-490b-bd6d-b153bf22ab50"/>
    <ds:schemaRef ds:uri="d21dc803-237d-4c68-8692-8d731fd29118"/>
    <ds:schemaRef ds:uri="http://schemas.microsoft.com/office/2006/documentManagement/types"/>
    <ds:schemaRef ds:uri="http://purl.org/dc/terms/"/>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2019-09-27T21:41:14Z</cp:lastPrinted>
  <dcterms:created xsi:type="dcterms:W3CDTF">2003-10-29T19:06:34Z</dcterms:created>
  <dcterms:modified xsi:type="dcterms:W3CDTF">2019-12-03T17:12:06Z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&amp; Footnote Support</vt:lpwstr>
  </property>
  <property fmtid="{D5CDD505-2E9C-101B-9397-08002B2CF9AE}" pid="5" name="tabIndex">
    <vt:lpwstr>1200</vt:lpwstr>
  </property>
  <property fmtid="{D5CDD505-2E9C-101B-9397-08002B2CF9AE}" pid="6" name="workpaperIndex">
    <vt:lpwstr>1200.01</vt:lpwstr>
  </property>
</Properties>
</file>