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E4B11E5-8BB1-4F99-A21D-65B0BA97C5E6}"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6" r:id="rId28"/>
    <sheet name="SEFA (2)" sheetId="187"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9" i="186" l="1"/>
  <c r="J13" i="186"/>
  <c r="I17" i="184" l="1"/>
  <c r="F17" i="184"/>
  <c r="E16" i="184"/>
  <c r="E17" i="184" s="1"/>
  <c r="F16" i="184"/>
  <c r="G16" i="184"/>
  <c r="G17" i="184" s="1"/>
  <c r="I16" i="184"/>
  <c r="E20" i="184"/>
  <c r="E21" i="184" s="1"/>
  <c r="F20" i="184"/>
  <c r="G20" i="184"/>
  <c r="I20" i="184"/>
  <c r="K28" i="187"/>
  <c r="K27" i="187"/>
  <c r="K26" i="187"/>
  <c r="K25" i="187"/>
  <c r="K24" i="187"/>
  <c r="K23" i="187"/>
  <c r="K22" i="187"/>
  <c r="K21" i="187"/>
  <c r="K20" i="187"/>
  <c r="K18" i="187"/>
  <c r="L16" i="187"/>
  <c r="H16" i="187"/>
  <c r="F16" i="187"/>
  <c r="K16" i="187" s="1"/>
  <c r="E16" i="187"/>
  <c r="D16" i="187"/>
  <c r="D19" i="187" s="1"/>
  <c r="K15" i="187"/>
  <c r="K14" i="187"/>
  <c r="K13" i="187"/>
  <c r="K12" i="187"/>
  <c r="K11" i="187"/>
  <c r="A4" i="187"/>
  <c r="H22" i="186"/>
  <c r="F22" i="186"/>
  <c r="E22" i="186"/>
  <c r="D22" i="186"/>
  <c r="B4" i="186"/>
  <c r="H25" i="186"/>
  <c r="F25" i="186"/>
  <c r="E25" i="186"/>
  <c r="E19" i="187" s="1"/>
  <c r="D25" i="186"/>
  <c r="K24" i="186"/>
  <c r="K23" i="186"/>
  <c r="K21" i="186"/>
  <c r="K20" i="186"/>
  <c r="L19" i="186"/>
  <c r="H19" i="186"/>
  <c r="F19" i="186"/>
  <c r="K19" i="186" s="1"/>
  <c r="E19" i="186"/>
  <c r="D19" i="186"/>
  <c r="K18" i="186"/>
  <c r="K17" i="186"/>
  <c r="L16" i="186"/>
  <c r="H16" i="186"/>
  <c r="F16" i="186"/>
  <c r="E16" i="186"/>
  <c r="D16" i="186"/>
  <c r="K15" i="186"/>
  <c r="K14" i="186"/>
  <c r="L13" i="186"/>
  <c r="H13" i="186"/>
  <c r="F13" i="186"/>
  <c r="K13" i="186" s="1"/>
  <c r="E13" i="186"/>
  <c r="D13" i="186"/>
  <c r="K12" i="186"/>
  <c r="K11" i="186"/>
  <c r="K10" i="186"/>
  <c r="K9" i="186"/>
  <c r="K8" i="186"/>
  <c r="G21" i="184" l="1"/>
  <c r="H19" i="187"/>
  <c r="K16" i="186"/>
  <c r="K25" i="186"/>
  <c r="I21" i="184"/>
  <c r="F21" i="184"/>
  <c r="F19" i="187"/>
  <c r="E26" i="184"/>
  <c r="E27" i="184" s="1"/>
  <c r="I26" i="184"/>
  <c r="G26" i="184"/>
  <c r="G27" i="184" s="1"/>
  <c r="F26" i="184"/>
  <c r="F27" i="184" l="1"/>
  <c r="I27" i="184"/>
  <c r="K19" i="187"/>
  <c r="L27" i="184"/>
  <c r="L26" i="184"/>
  <c r="L25" i="184"/>
  <c r="L24" i="184"/>
  <c r="L23" i="184"/>
  <c r="L22" i="184"/>
  <c r="L21" i="184"/>
  <c r="L20" i="184"/>
  <c r="L19" i="184"/>
  <c r="L18" i="184"/>
  <c r="L17" i="184"/>
  <c r="L16" i="184"/>
  <c r="L15" i="184"/>
  <c r="L14" i="184"/>
  <c r="L13" i="184"/>
  <c r="L12" i="184"/>
  <c r="L11" i="184"/>
  <c r="B4"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7" l="1"/>
  <c r="B1" i="186"/>
  <c r="B2" i="186"/>
  <c r="A2" i="187"/>
  <c r="B1" i="184"/>
  <c r="B2" i="184"/>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E27" i="108"/>
  <c r="G27" i="108"/>
  <c r="F31" i="108"/>
  <c r="F36" i="108"/>
  <c r="G28" i="108"/>
  <c r="G30" i="108"/>
  <c r="D31"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D24" i="37"/>
  <c r="B4270" i="106" s="1"/>
  <c r="D4270" i="106" s="1"/>
  <c r="J22" i="37" l="1"/>
  <c r="F68" i="34"/>
  <c r="F64" i="34"/>
  <c r="D68" i="36"/>
  <c r="H28" i="118"/>
  <c r="E38" i="108"/>
  <c r="F38" i="34"/>
  <c r="E34" i="108"/>
  <c r="I129" i="29"/>
  <c r="B7037" i="106" s="1"/>
  <c r="D7037" i="106" s="1"/>
  <c r="H76" i="4"/>
  <c r="B3298" i="106" s="1"/>
  <c r="D3298" i="106" s="1"/>
  <c r="K76" i="4"/>
  <c r="B3586" i="106" s="1"/>
  <c r="D3586" i="106" s="1"/>
  <c r="F36" i="34"/>
  <c r="J129" i="29"/>
  <c r="B7038" i="106" s="1"/>
  <c r="D7038" i="106" s="1"/>
  <c r="F77" i="4"/>
  <c r="B3255" i="106" s="1"/>
  <c r="D3255" i="106" s="1"/>
  <c r="H342" i="29"/>
  <c r="B2724" i="106"/>
  <c r="D2724" i="106" s="1"/>
  <c r="F72" i="34"/>
  <c r="E33" i="108"/>
  <c r="D22" i="37"/>
  <c r="F52" i="34"/>
  <c r="F42" i="34"/>
  <c r="F34" i="34"/>
  <c r="G35" i="108"/>
  <c r="D54" i="36"/>
  <c r="J41" i="3"/>
  <c r="F19" i="7"/>
  <c r="B1807" i="106" s="1"/>
  <c r="D1807" i="106" s="1"/>
  <c r="F71" i="34"/>
  <c r="E35" i="108"/>
  <c r="G29" i="108"/>
  <c r="J210" i="29"/>
  <c r="B7072" i="106" s="1"/>
  <c r="D7072" i="106" s="1"/>
  <c r="L13" i="11"/>
  <c r="B2060" i="106" s="1"/>
  <c r="D2060" i="106" s="1"/>
  <c r="B3647" i="106"/>
  <c r="D3647" i="106" s="1"/>
  <c r="C352" i="29"/>
  <c r="B3621" i="106" s="1"/>
  <c r="D3621" i="106" s="1"/>
  <c r="C342" i="29"/>
  <c r="B7216" i="106" s="1"/>
  <c r="D7216" i="106" s="1"/>
  <c r="F28" i="108"/>
  <c r="B6995" i="106"/>
  <c r="D6995" i="106" s="1"/>
  <c r="F27" i="108"/>
  <c r="H33" i="11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D7254" i="106"/>
  <c r="B7235" i="106"/>
  <c r="D7235" i="106" s="1"/>
  <c r="C367" i="29"/>
  <c r="B3622" i="106" s="1"/>
  <c r="D3622" i="106" s="1"/>
  <c r="B1328" i="106"/>
  <c r="D1328" i="106" s="1"/>
  <c r="D7256" i="106"/>
  <c r="B1266" i="106"/>
  <c r="D1266" i="106" s="1"/>
  <c r="F66" i="34"/>
  <c r="D7250" i="106"/>
  <c r="K365" i="29"/>
  <c r="K16" i="4" s="1"/>
  <c r="D7251" i="106"/>
  <c r="B1381" i="106"/>
  <c r="D1381" i="106" s="1"/>
  <c r="L16" i="11"/>
  <c r="B2061" i="106" s="1"/>
  <c r="D2061" i="106" s="1"/>
  <c r="N23" i="3"/>
  <c r="B284" i="106" s="1"/>
  <c r="D284" i="106" s="1"/>
  <c r="L114" i="29"/>
  <c r="F41" i="108"/>
  <c r="G43" i="108" s="1"/>
  <c r="D41" i="108"/>
  <c r="E43" i="108" s="1"/>
  <c r="C114" i="29"/>
  <c r="B757" i="106" s="1"/>
  <c r="D757" i="106" s="1"/>
  <c r="B5527" i="106"/>
  <c r="D5527" i="106" s="1"/>
  <c r="D44" i="36"/>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30" i="106" s="1"/>
  <c r="D6230" i="106" s="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J81" i="4"/>
  <c r="J82" i="4"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B6266" i="106" l="1"/>
  <c r="D6266"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<sst xmlns="http://schemas.openxmlformats.org/spreadsheetml/2006/main" count="5302" uniqueCount="2201">
  <si>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</si>
  <si>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</si>
  <si>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</si>
  <si>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</si>
  <si>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</si>
  <si>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</si>
  <si>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</si>
  <si>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</si>
  <si>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</si>
  <si>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</si>
  <si>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</si>
  <si>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</si>
  <si>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</si>
  <si>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</si>
  <si>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</si>
  <si>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</si>
  <si>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</si>
  <si>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</si>
  <si>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</si>
  <si>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</si>
  <si>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</si>
  <si>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</si>
  <si>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</si>
  <si>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</si>
  <si>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</si>
  <si>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</si>
  <si>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</si>
  <si>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</si>
  <si>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</si>
  <si>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</si>
  <si>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</si>
  <si>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</si>
  <si>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</si>
  <si>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</si>
  <si>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</si>
  <si>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</si>
  <si>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</si>
  <si>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</si>
  <si>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</si>
  <si>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</si>
  <si>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</si>
  <si>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</si>
  <si>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</si>
  <si>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</si>
  <si>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</si>
  <si>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</si>
  <si>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</si>
  <si>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</si>
  <si>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</si>
  <si>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</si>
  <si>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</si>
  <si>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</si>
  <si>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</si>
  <si>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</si>
  <si>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</si>
  <si>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</si>
  <si>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</si>
  <si>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</si>
  <si>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</si>
  <si>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</si>
  <si>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</si>
  <si>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</si>
  <si>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</si>
  <si>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</si>
  <si>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</si>
  <si>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</si>
  <si>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</si>
  <si>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</si>
  <si>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</si>
  <si>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</si>
  <si>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</si>
  <si>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</si>
  <si>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</si>
  <si>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</si>
  <si>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</si>
  <si>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</si>
  <si>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</si>
  <si>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</si>
  <si>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</si>
  <si>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</si>
  <si>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</si>
  <si>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</si>
  <si>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</si>
  <si>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</si>
  <si>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</si>
  <si>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</si>
  <si>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</si>
  <si>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</si>
  <si>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</si>
  <si>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</si>
  <si>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</si>
  <si>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</si>
  <si>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</si>
  <si>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</si>
  <si>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</si>
  <si>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</si>
  <si>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</si>
  <si>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</si>
  <si>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</si>
  <si>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</si>
  <si>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</si>
  <si>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</si>
  <si>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</si>
  <si>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</si>
  <si>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</si>
  <si>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</si>
  <si>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</si>
  <si>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</si>
  <si>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</si>
  <si>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</si>
  <si>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</si>
  <si>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</si>
  <si>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</si>
  <si>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</si>
  <si>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</si>
  <si>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</si>
  <si>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</si>
  <si>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</si>
  <si>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</si>
  <si>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</si>
  <si>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</si>
  <si>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</si>
  <si>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</si>
  <si>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</si>
  <si>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</si>
  <si>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</si>
  <si>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</si>
  <si>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</si>
  <si>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</si>
  <si>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</si>
  <si>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</si>
  <si>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</si>
  <si>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</si>
  <si>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</si>
  <si>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</si>
  <si>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</si>
  <si>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</si>
  <si>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</si>
  <si>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</si>
  <si>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</si>
  <si>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</si>
  <si>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</si>
  <si>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</si>
  <si>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</si>
  <si>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</si>
  <si>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</si>
  <si>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</si>
  <si>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</si>
  <si>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</si>
  <si>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</si>
  <si>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</si>
  <si>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</si>
  <si>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</si>
  <si>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</si>
  <si>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</si>
  <si>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</si>
  <si>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</si>
  <si>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</si>
  <si>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</si>
  <si>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</si>
  <si>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</si>
  <si>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</si>
  <si>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</si>
  <si>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</si>
  <si>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</si>
  <si>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</si>
  <si>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</si>
  <si>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</si>
  <si>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</si>
  <si>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</si>
  <si>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</si>
  <si>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</si>
  <si>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</si>
  <si>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</si>
  <si>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</si>
  <si>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</si>
  <si>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</si>
  <si>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</si>
  <si>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</si>
  <si>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</si>
  <si>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</si>
  <si>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</si>
  <si>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</si>
  <si>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</si>
  <si>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</si>
  <si>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</si>
  <si>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</si>
  <si>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</si>
  <si>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</si>
  <si>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</si>
  <si>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</si>
  <si>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</si>
  <si>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</si>
  <si>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</si>
  <si>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</si>
  <si>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</si>
  <si>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</si>
  <si>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</si>
  <si>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</si>
  <si>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</si>
  <si>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</si>
  <si>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</si>
  <si>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</si>
  <si>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</si>
  <si>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</si>
  <si>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</si>
  <si>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</si>
  <si>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</si>
  <si>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</si>
  <si>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</si>
  <si>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</si>
  <si>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</si>
  <si>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</si>
  <si>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</si>
  <si>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</si>
  <si>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</si>
  <si>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</si>
  <si>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</si>
  <si>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</si>
  <si>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</si>
  <si>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</si>
  <si>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</si>
  <si>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</si>
  <si>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</si>
  <si>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</si>
  <si>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</si>
  <si>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</si>
  <si>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</si>
  <si>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</si>
  <si>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</si>
  <si>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</si>
  <si>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</si>
  <si>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</si>
  <si>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</si>
  <si>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</si>
  <si>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</si>
  <si>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</si>
  <si>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</si>
  <si>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</si>
  <si>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</si>
  <si>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</si>
  <si>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</si>
  <si>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</si>
  <si>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</si>
  <si>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</si>
  <si>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</si>
  <si>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</si>
  <si>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</si>
  <si>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</si>
  <si>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</si>
  <si>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</si>
  <si>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</si>
  <si>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</si>
  <si>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</si>
  <si>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</si>
  <si>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</si>
  <si>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</si>
  <si>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</si>
  <si>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</si>
  <si>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</si>
  <si>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</si>
  <si>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</si>
  <si>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</si>
  <si>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</si>
  <si>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</si>
  <si>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</si>
  <si>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</si>
  <si>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</si>
  <si>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</si>
  <si>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</si>
  <si>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</si>
  <si>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</si>
  <si>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</si>
  <si>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</si>
  <si>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</si>
  <si>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</si>
  <si>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</si>
  <si>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</si>
  <si>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</si>
  <si>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</si>
  <si>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</si>
  <si>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</si>
  <si>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</si>
  <si>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</si>
  <si>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</si>
  <si>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</si>
  <si>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</si>
  <si>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</si>
  <si>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</si>
  <si>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</si>
  <si>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</si>
  <si>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</si>
  <si>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</si>
  <si>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</si>
  <si>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</si>
  <si>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</si>
  <si>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</si>
  <si>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</si>
  <si>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</si>
  <si>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</si>
  <si>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</si>
  <si>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</si>
  <si>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</si>
  <si>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</si>
  <si>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</si>
  <si>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</si>
  <si>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</si>
  <si>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</si>
  <si>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</si>
  <si>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</si>
  <si>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</si>
  <si>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</si>
  <si>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</si>
  <si>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</si>
  <si>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</si>
  <si>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</si>
  <si>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</si>
  <si>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</si>
  <si>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</si>
  <si>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</si>
  <si>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</si>
  <si>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</si>
  <si>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</si>
  <si>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</si>
  <si>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</si>
  <si>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</si>
  <si>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</si>
  <si>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</si>
  <si>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</si>
  <si>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</si>
  <si>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</si>
  <si>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</si>
  <si>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</si>
  <si>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</si>
  <si>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</si>
  <si>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</si>
  <si>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</si>
  <si>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</si>
  <si>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</si>
  <si>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</si>
  <si>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</si>
  <si>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</si>
  <si>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</si>
  <si>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</si>
  <si>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</si>
  <si>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</si>
  <si>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</si>
  <si>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</si>
  <si>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</si>
  <si>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</si>
  <si>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</si>
  <si>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</si>
  <si>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</si>
  <si>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</si>
  <si>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</si>
  <si>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</si>
  <si>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</si>
  <si>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</si>
  <si>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</si>
  <si>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</si>
  <si>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</si>
  <si>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</si>
  <si>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</si>
  <si>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</si>
  <si>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</si>
  <si>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</si>
  <si>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</si>
  <si>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</si>
  <si>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</si>
  <si>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</si>
  <si>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</si>
  <si>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</si>
  <si>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</si>
  <si>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</si>
  <si>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</si>
  <si>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</si>
  <si>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</si>
  <si>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</si>
  <si>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</si>
  <si>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</si>
  <si>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</si>
  <si>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</si>
  <si>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</si>
  <si>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</si>
  <si>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</si>
  <si>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</si>
  <si>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</si>
  <si>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</si>
  <si>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</si>
  <si>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</si>
  <si>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</si>
  <si>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</si>
  <si>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</si>
  <si>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</si>
  <si>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</si>
  <si>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</si>
  <si>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</si>
  <si>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</si>
  <si>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</si>
  <si>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</si>
  <si>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</si>
  <si>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</si>
  <si>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</si>
  <si>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</si>
  <si>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</si>
  <si>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</si>
  <si>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</si>
  <si>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</si>
  <si>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</si>
  <si>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</si>
  <si>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</si>
  <si>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</si>
  <si>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</si>
  <si>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</si>
  <si>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</si>
  <si>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</si>
  <si>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</si>
  <si>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</si>
  <si>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</si>
  <si>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</si>
  <si>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</si>
  <si>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</si>
  <si>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</si>
  <si>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</si>
  <si>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</si>
  <si>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</si>
  <si>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</si>
  <si>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</si>
  <si>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</si>
  <si>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</si>
  <si>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</si>
  <si>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</si>
  <si>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</si>
  <si>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</si>
  <si>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</si>
  <si>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</si>
  <si>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</si>
  <si>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</si>
  <si>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</si>
  <si>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</si>
  <si>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</si>
  <si>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</si>
  <si>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</si>
  <si>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</si>
  <si>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</si>
  <si>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</si>
  <si>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</si>
  <si>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</si>
  <si>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</si>
  <si>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</si>
  <si>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</si>
  <si>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</si>
  <si>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</si>
  <si>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</si>
  <si>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</si>
  <si>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</si>
  <si>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</si>
  <si>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</si>
  <si>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</si>
  <si>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</si>
  <si>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</si>
  <si>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</si>
  <si>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</si>
  <si>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</si>
  <si>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</si>
  <si>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</si>
  <si>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</si>
  <si>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</si>
  <si>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</si>
  <si>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</si>
  <si>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</si>
  <si>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</si>
  <si>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</si>
  <si>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</si>
  <si>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</si>
  <si>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</si>
  <si>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</si>
  <si>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</si>
  <si>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</si>
  <si>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</si>
  <si>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</si>
  <si>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</si>
  <si>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</si>
  <si>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</si>
  <si>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</si>
  <si>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</si>
  <si>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</si>
  <si>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</si>
  <si>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</si>
  <si>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</si>
  <si>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</si>
  <si>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</si>
  <si>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</si>
  <si>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</si>
  <si>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</si>
  <si>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</si>
  <si>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</si>
  <si>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</si>
  <si>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</si>
  <si>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</si>
  <si>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</si>
  <si>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</si>
  <si>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</si>
  <si>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</si>
  <si>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</si>
  <si>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</si>
  <si>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</si>
  <si>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</si>
  <si>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</si>
  <si>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</si>
  <si>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</si>
  <si>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</si>
  <si>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</si>
  <si>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</si>
  <si>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</si>
  <si>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</si>
  <si>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</si>
  <si>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</si>
  <si>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</si>
  <si>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</si>
  <si>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</si>
  <si>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</si>
  <si>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</si>
  <si>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</si>
  <si>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</si>
  <si>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</si>
  <si>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</si>
  <si>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</si>
  <si>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</si>
  <si>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</si>
  <si>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</si>
  <si>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</si>
  <si>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</si>
  <si>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</si>
  <si>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</si>
  <si>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</si>
  <si>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</si>
  <si>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</si>
  <si>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</si>
  <si>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</si>
  <si>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</si>
  <si>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</si>
  <si>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</si>
  <si>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</si>
  <si>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</si>
  <si>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</si>
  <si>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</si>
  <si>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</si>
  <si>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</si>
  <si>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</si>
  <si>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</si>
  <si>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</si>
  <si>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</si>
  <si>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</si>
  <si>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</si>
  <si>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</si>
  <si>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</si>
  <si>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</si>
  <si>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</si>
  <si>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</si>
  <si>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</si>
  <si>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</si>
  <si>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</si>
  <si>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</si>
  <si>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</si>
  <si>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</si>
  <si>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</si>
  <si>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</si>
  <si>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</si>
  <si>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</si>
  <si>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</si>
  <si>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</si>
  <si>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</si>
  <si>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</si>
  <si>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</si>
  <si>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</si>
  <si>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</si>
  <si>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</si>
  <si>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</si>
  <si>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</si>
  <si>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</si>
  <si>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</si>
  <si>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</si>
  <si>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</si>
  <si>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</si>
  <si>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</si>
  <si>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</si>
  <si>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</si>
  <si>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</si>
  <si>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</si>
  <si>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</si>
  <si>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</si>
  <si>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</si>
  <si>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</si>
  <si>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</si>
  <si>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</si>
  <si>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</si>
  <si>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</si>
  <si>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</si>
  <si>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</si>
  <si>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</si>
  <si>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</si>
  <si>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</si>
  <si>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</si>
  <si>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</si>
  <si>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</si>
  <si>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</si>
  <si>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</si>
  <si>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</si>
  <si>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</si>
  <si>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</si>
  <si>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</si>
  <si>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</si>
  <si>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</si>
  <si>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</si>
  <si>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</si>
  <si>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</si>
  <si>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</si>
  <si>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</si>
  <si>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</si>
  <si>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</si>
  <si>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</si>
  <si>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</si>
  <si>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</si>
  <si>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</si>
  <si>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</si>
  <si>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</si>
  <si>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</si>
  <si>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</si>
  <si>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</si>
  <si>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</si>
  <si>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</si>
  <si>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</si>
  <si>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</si>
  <si>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</si>
  <si>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</si>
  <si>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</si>
  <si>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</si>
  <si>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</si>
  <si>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</si>
  <si>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</si>
  <si>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</si>
  <si>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</si>
  <si>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</si>
  <si>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</si>
  <si>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</si>
  <si>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</si>
  <si>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</si>
  <si>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</si>
  <si>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</si>
  <si>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</si>
  <si>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</si>
  <si>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</si>
  <si>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</si>
  <si>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</si>
  <si>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</si>
  <si>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</si>
  <si>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</si>
  <si>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</si>
  <si>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</si>
  <si>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</si>
  <si>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</si>
  <si>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</si>
  <si>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</si>
  <si>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</si>
  <si>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</si>
  <si>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</si>
  <si>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</si>
  <si>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</si>
  <si>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</si>
  <si>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</si>
  <si>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</si>
  <si>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</si>
  <si>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</si>
  <si>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</si>
  <si>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</si>
  <si>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</si>
  <si>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</si>
  <si>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</si>
  <si>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</si>
  <si>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</si>
  <si>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</si>
  <si>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</si>
  <si>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</si>
  <si>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</si>
  <si>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</si>
  <si>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</si>
  <si>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</si>
  <si>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</si>
  <si>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</si>
  <si>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</si>
  <si>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</si>
  <si>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</si>
  <si>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</si>
  <si>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</si>
  <si>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</si>
  <si>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</si>
  <si>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</si>
  <si>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</si>
  <si>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</si>
  <si>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</si>
  <si>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</si>
  <si>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</si>
  <si>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</si>
  <si>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</si>
  <si>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</si>
  <si>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</si>
  <si>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</si>
  <si>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</si>
  <si>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</si>
  <si>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</si>
  <si>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</si>
  <si>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</si>
  <si>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</si>
  <si>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</si>
  <si>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</si>
  <si>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</si>
  <si>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</si>
  <si>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</si>
  <si>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</si>
  <si>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</si>
  <si>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</si>
  <si>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</si>
  <si>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</si>
  <si>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</si>
  <si>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</si>
  <si>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</si>
  <si>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</si>
  <si>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</si>
  <si>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</si>
  <si>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</si>
  <si>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</si>
  <si>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</si>
  <si>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</si>
  <si>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</si>
  <si>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</si>
  <si>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</si>
  <si>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</si>
  <si>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</si>
  <si>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</si>
  <si>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</si>
  <si>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</si>
  <si>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</si>
  <si>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</si>
  <si>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</si>
  <si>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</si>
  <si>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</si>
  <si>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</si>
  <si>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</si>
  <si>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</si>
  <si>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</si>
  <si>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</si>
  <si>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</si>
  <si>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</si>
  <si>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</si>
  <si>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</si>
  <si>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</si>
  <si>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</si>
  <si>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</si>
  <si>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</si>
  <si>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</si>
  <si>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</si>
  <si>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</si>
  <si>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</si>
  <si>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</si>
  <si>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</si>
  <si>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</si>
  <si>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</si>
  <si>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</si>
  <si>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</si>
  <si>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</si>
  <si>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</si>
  <si>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</si>
  <si>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</si>
  <si>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</si>
  <si>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</si>
  <si>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</si>
  <si>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</si>
  <si>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</si>
  <si>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</si>
  <si>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</si>
  <si>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</si>
  <si>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</si>
  <si>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</si>
  <si>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</si>
  <si>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</si>
  <si>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</si>
  <si>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</si>
  <si>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</si>
  <si>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</si>
  <si>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</si>
  <si>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</si>
  <si>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</si>
  <si>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</si>
  <si>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</si>
  <si>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</si>
  <si>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</si>
  <si>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</si>
  <si>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</si>
  <si>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</si>
  <si>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</si>
  <si>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</si>
  <si>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</si>
  <si>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</si>
  <si>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</si>
  <si>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</si>
  <si>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</si>
  <si>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</si>
  <si>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</si>
  <si>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</si>
  <si>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</si>
  <si>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</si>
  <si>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</si>
  <si>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</si>
  <si>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</si>
  <si>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</si>
  <si>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</si>
  <si>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</si>
  <si>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</si>
  <si>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</si>
  <si>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</si>
  <si>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</si>
  <si>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</si>
  <si>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</si>
  <si>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</si>
  <si>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</si>
  <si>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</si>
  <si>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</si>
  <si>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</si>
  <si>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</si>
  <si>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</si>
  <si>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</si>
  <si>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</si>
  <si>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</si>
  <si>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</si>
  <si>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</si>
  <si>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</si>
  <si>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</si>
  <si>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</si>
  <si>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</si>
  <si>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</si>
  <si>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</si>
  <si>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</si>
  <si>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</si>
  <si>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</si>
  <si>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</si>
  <si>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</si>
  <si>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</si>
  <si>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</si>
  <si>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</si>
  <si>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</si>
  <si>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</si>
  <si>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</si>
  <si>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</si>
  <si>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</si>
  <si>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</si>
  <si>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</si>
  <si>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</si>
  <si>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</si>
  <si>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</si>
  <si>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</si>
  <si>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</si>
  <si>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</si>
  <si>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</si>
  <si>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</si>
  <si>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</si>
  <si>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</si>
  <si>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</si>
  <si>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</si>
  <si>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</si>
  <si>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</si>
  <si>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</si>
  <si>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</si>
  <si>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</si>
  <si>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</si>
  <si>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</si>
  <si>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</si>
  <si>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</si>
  <si>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</si>
  <si>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</si>
  <si>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</si>
  <si>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</si>
  <si>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</si>
  <si>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</si>
  <si>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</si>
  <si>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</si>
  <si>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</si>
  <si>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</si>
  <si>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</si>
  <si>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</si>
  <si>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</si>
  <si>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</si>
  <si>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</si>
  <si>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</si>
  <si>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</si>
  <si>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</si>
  <si>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</si>
  <si>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</si>
  <si>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</si>
  <si>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</si>
  <si>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</si>
  <si>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</si>
  <si>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</si>
  <si>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</si>
  <si>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</si>
  <si>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</si>
  <si>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</si>
  <si>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</si>
  <si>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</si>
  <si>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</si>
  <si>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</si>
  <si>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</si>
  <si>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</si>
  <si>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</si>
  <si>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</si>
  <si>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</si>
  <si>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</si>
  <si>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</si>
  <si>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</si>
  <si>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</si>
  <si>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</si>
  <si>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</si>
  <si>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</si>
  <si>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</si>
  <si>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</si>
  <si>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</si>
  <si>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</si>
  <si>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</si>
  <si>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</si>
  <si>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</si>
  <si>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</si>
  <si>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</si>
  <si>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</si>
  <si>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</si>
  <si>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</si>
  <si>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</si>
  <si>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</si>
  <si>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</si>
  <si>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</si>
  <si>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</si>
  <si>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</si>
  <si>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</si>
  <si>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</si>
  <si>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</si>
  <si>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</si>
  <si>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</si>
  <si>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</si>
  <si>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</si>
  <si>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</si>
  <si>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</si>
  <si>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</si>
  <si>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</si>
  <si>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</si>
  <si>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</si>
  <si>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</si>
  <si>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</si>
  <si>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</si>
  <si>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</si>
  <si>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</si>
  <si>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</si>
  <si>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</si>
  <si>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</si>
  <si>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</si>
  <si>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</si>
  <si>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</si>
  <si>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</si>
  <si>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</si>
  <si>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</si>
  <si>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</si>
  <si>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</si>
  <si>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</si>
  <si>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</si>
  <si>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</si>
  <si>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</si>
  <si>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</si>
  <si>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</si>
  <si>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</si>
  <si>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</si>
  <si>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</si>
  <si>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</si>
  <si>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</si>
  <si>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</si>
  <si>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</si>
  <si>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</si>
  <si>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</si>
  <si>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</si>
  <si>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</si>
  <si>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</si>
  <si>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</si>
  <si>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</si>
  <si>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</si>
  <si>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</si>
  <si>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</si>
  <si>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</si>
  <si>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</si>
  <si>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</si>
  <si>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</si>
  <si>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</si>
  <si>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</si>
  <si>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</si>
  <si>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</si>
  <si>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</si>
  <si>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</si>
  <si>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</si>
  <si>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</si>
  <si>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</si>
  <si>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</si>
  <si>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</si>
  <si>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</si>
  <si>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</si>
  <si>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</si>
  <si>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</si>
  <si>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</si>
  <si>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</si>
  <si>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</si>
  <si>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</si>
  <si>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</si>
  <si>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</si>
  <si>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</si>
  <si>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</si>
  <si>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</si>
  <si>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</si>
  <si>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</si>
  <si>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</si>
  <si>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</si>
  <si>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</si>
  <si>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</si>
  <si>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</si>
  <si>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</si>
  <si>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</si>
  <si>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</si>
  <si>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</si>
  <si>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</si>
  <si>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</si>
  <si>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</si>
  <si>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</si>
  <si>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</si>
  <si>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</si>
  <si>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</si>
  <si>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</si>
  <si>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</si>
  <si>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</si>
  <si>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</si>
  <si>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</si>
  <si>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</si>
  <si>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</si>
  <si>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</si>
  <si>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</si>
  <si>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</si>
  <si>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</si>
  <si>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</si>
  <si>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</si>
  <si>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</si>
  <si>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</si>
  <si>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</si>
  <si>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</si>
  <si>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</si>
  <si>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</si>
  <si>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</si>
  <si>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</si>
  <si>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</si>
  <si>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</si>
  <si>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</si>
  <si>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</si>
  <si>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</si>
  <si>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</si>
  <si>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</si>
  <si>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</si>
  <si>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</si>
  <si>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</si>
  <si>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</si>
  <si>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</si>
  <si>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</si>
  <si>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</si>
  <si>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</si>
  <si>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</si>
  <si>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</si>
  <si>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</si>
  <si>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</si>
  <si>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</si>
  <si>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</si>
  <si>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</si>
  <si>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</si>
  <si>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</si>
  <si>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</si>
  <si>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</si>
  <si>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</si>
  <si>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</si>
  <si>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</si>
  <si>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</si>
  <si>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</si>
  <si>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</si>
  <si>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</si>
  <si>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</si>
  <si>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</si>
  <si>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</si>
  <si>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</si>
  <si>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</si>
  <si>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</si>
  <si>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</si>
  <si>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</si>
  <si>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</si>
  <si>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</si>
  <si>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</si>
  <si>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</si>
  <si>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</si>
  <si>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</si>
  <si>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</si>
  <si>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</si>
  <si>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</si>
  <si>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</si>
  <si>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</si>
  <si>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</si>
  <si>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</si>
  <si>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</si>
  <si>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</si>
  <si>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</si>
  <si>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</si>
  <si>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</si>
  <si>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</si>
  <si>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</si>
  <si>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</si>
  <si>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</si>
  <si>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</si>
  <si>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</si>
  <si>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</si>
  <si>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</si>
  <si>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</si>
  <si>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</si>
  <si>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</si>
  <si>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</si>
  <si>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</si>
  <si>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</si>
  <si>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</si>
  <si>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</si>
  <si>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</si>
  <si>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</si>
  <si>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</si>
  <si>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</si>
  <si>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</si>
  <si>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</si>
  <si>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</si>
  <si>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</si>
  <si>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</si>
  <si>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</si>
  <si>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</si>
  <si>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</si>
  <si>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</si>
  <si>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</si>
  <si>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</si>
  <si>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</si>
  <si>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</si>
  <si>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</si>
  <si>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</si>
  <si>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</si>
  <si>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</si>
  <si>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</si>
  <si>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</si>
  <si>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</si>
  <si>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</si>
  <si>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</si>
  <si>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</si>
  <si>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</si>
  <si>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</si>
  <si>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</si>
  <si>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</si>
  <si>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</si>
  <si>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</si>
  <si>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</si>
  <si>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</si>
  <si>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</si>
  <si>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</si>
  <si>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</si>
  <si>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</si>
  <si>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</si>
  <si>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</si>
  <si>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</si>
  <si>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</si>
  <si>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</si>
  <si>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</si>
  <si>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</si>
  <si>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</si>
  <si>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</si>
  <si>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</si>
  <si>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</si>
  <si>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</si>
  <si>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</si>
  <si>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</si>
  <si>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</si>
  <si>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</si>
  <si>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</si>
  <si>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</si>
  <si>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</si>
  <si>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</si>
  <si>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</si>
  <si>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</si>
  <si>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</si>
  <si>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</si>
  <si>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</si>
  <si>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</si>
  <si>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</si>
  <si>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</si>
  <si>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</si>
  <si>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</si>
  <si>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</si>
  <si>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</si>
  <si>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</si>
  <si>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</si>
  <si>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</si>
  <si>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</si>
  <si>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</si>
  <si>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</si>
  <si>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</si>
  <si>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</si>
  <si>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</si>
  <si>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</si>
  <si>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</si>
  <si>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</si>
  <si>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</si>
  <si>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</si>
  <si>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</si>
  <si>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</si>
  <si>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</si>
  <si>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</si>
  <si>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</si>
  <si>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</si>
  <si>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</si>
  <si>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</si>
  <si>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</si>
  <si>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</si>
  <si>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</si>
  <si>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</si>
  <si>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</si>
  <si>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</si>
  <si>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</si>
  <si>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</si>
  <si>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</si>
  <si>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</si>
  <si>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</si>
  <si>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</si>
  <si>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</si>
  <si>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</si>
  <si>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</si>
  <si>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</si>
  <si>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</si>
  <si>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</si>
  <si>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</si>
  <si>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</si>
  <si>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</si>
  <si>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</si>
  <si>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</si>
  <si>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</si>
  <si>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</si>
  <si>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</si>
  <si>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</si>
  <si>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</si>
  <si>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</si>
  <si>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</si>
  <si>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</si>
  <si>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</si>
  <si>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</si>
  <si>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</si>
  <si>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</si>
  <si>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</si>
  <si>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</si>
  <si>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</si>
  <si>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</si>
  <si>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</si>
  <si>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</si>
  <si>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</si>
  <si>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</si>
  <si>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</si>
  <si>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</si>
  <si>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</si>
  <si>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</si>
  <si>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</si>
  <si>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</si>
  <si>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</si>
  <si>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</si>
  <si>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</si>
  <si>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</si>
  <si>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</si>
  <si>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</si>
  <si>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</si>
  <si>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</si>
  <si>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</si>
  <si>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</si>
  <si>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</si>
  <si>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</si>
  <si>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</si>
  <si>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</si>
  <si>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</si>
  <si>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</si>
  <si>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</si>
  <si>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</si>
  <si>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</si>
  <si>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</si>
  <si>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</si>
  <si>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</si>
  <si>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</si>
  <si>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</si>
  <si>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</si>
  <si>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</si>
  <si>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</si>
  <si>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</si>
  <si>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</si>
  <si>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</si>
  <si>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</si>
  <si>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</si>
  <si>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</si>
  <si>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</si>
  <si>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</si>
  <si>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</si>
  <si>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</si>
  <si>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</si>
  <si>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</si>
  <si>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</si>
  <si>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</si>
  <si>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</si>
  <si>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</si>
  <si>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</si>
  <si>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</si>
  <si>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</si>
  <si>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</si>
  <si>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</si>
  <si>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</si>
  <si>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</si>
  <si>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</si>
  <si>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</si>
  <si>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</si>
  <si>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</si>
  <si>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</si>
  <si>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</si>
  <si>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</si>
  <si>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</si>
  <si>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</si>
  <si>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</si>
  <si>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</si>
  <si>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</si>
  <si>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</si>
  <si>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</si>
  <si>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</si>
  <si>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</si>
  <si>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</si>
  <si>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</si>
  <si>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</si>
  <si>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</si>
  <si>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</si>
  <si>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</si>
  <si>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</si>
  <si>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</si>
  <si>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</si>
  <si>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</si>
  <si>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</si>
  <si>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</si>
  <si>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</si>
  <si>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</si>
  <si>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</si>
  <si>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</si>
  <si>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</si>
  <si>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</si>
  <si>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</si>
  <si>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</si>
  <si>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</si>
  <si>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</si>
  <si>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</si>
  <si>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</si>
  <si>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</si>
  <si>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</si>
  <si>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</si>
  <si>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</si>
  <si>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</si>
  <si>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</si>
  <si>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</si>
  <si>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</si>
  <si>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</si>
  <si>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</si>
  <si>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</si>
  <si>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</si>
  <si>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</si>
  <si>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</si>
  <si>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</si>
  <si>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</si>
  <si>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</si>
  <si>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</si>
  <si>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</si>
  <si>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</si>
  <si>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</si>
  <si>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</si>
  <si>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</si>
  <si>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</si>
  <si>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</si>
  <si>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</si>
  <si>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</si>
  <si>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</si>
  <si>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</si>
  <si>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</si>
  <si>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</si>
  <si>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</si>
  <si>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</si>
  <si>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</si>
  <si>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</si>
  <si>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</si>
  <si>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</si>
  <si>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</si>
  <si>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</si>
  <si>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</si>
  <si>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</si>
  <si>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</si>
  <si>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</si>
  <si>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</si>
  <si>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</si>
  <si>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</si>
  <si>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</si>
  <si>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</si>
  <si>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</si>
  <si>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</si>
  <si>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</si>
  <si>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</si>
  <si>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</si>
  <si>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</si>
  <si>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</si>
  <si>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</si>
  <si>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</si>
  <si>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</si>
  <si>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</si>
  <si>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</si>
  <si>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</si>
  <si>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</si>
  <si>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</si>
  <si>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</si>
  <si>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</si>
  <si>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</si>
  <si>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</si>
  <si>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</si>
  <si>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</si>
  <si>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</si>
  <si>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</si>
  <si>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</si>
  <si>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</si>
  <si>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</si>
  <si>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</si>
  <si>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</si>
  <si>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</si>
  <si>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</si>
  <si>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</si>
  <si>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</si>
  <si>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</si>
  <si>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</si>
  <si>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</si>
  <si>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</si>
  <si>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</si>
  <si>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</si>
  <si>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</si>
  <si>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</si>
  <si>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</si>
  <si>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</si>
  <si>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</si>
  <si>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</si>
  <si>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</si>
  <si>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</si>
  <si>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</si>
  <si>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</si>
  <si>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</si>
  <si>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</si>
  <si>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</si>
  <si>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</si>
  <si>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</si>
  <si>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</si>
  <si>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</si>
  <si>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</si>
  <si>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</si>
  <si>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</si>
  <si>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</si>
  <si>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</si>
  <si>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</si>
  <si>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</si>
  <si>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</si>
  <si>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</si>
  <si>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</si>
  <si>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</si>
  <si>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</si>
  <si>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</si>
  <si>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</si>
  <si>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</si>
  <si>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</si>
  <si>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</si>
  <si>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</si>
  <si>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</si>
  <si>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</si>
  <si>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</si>
  <si>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</si>
  <si>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</si>
  <si>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</si>
  <si>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</si>
  <si>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</si>
  <si>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</si>
  <si>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</si>
  <si>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</si>
  <si>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</si>
  <si>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</si>
  <si>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</si>
  <si>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</si>
  <si>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</si>
  <si>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</si>
  <si>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</si>
  <si>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</si>
  <si>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</si>
  <si>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</si>
  <si>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</si>
  <si>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</si>
  <si>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</si>
  <si>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</si>
  <si>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</si>
  <si>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</si>
  <si>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</si>
  <si>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</si>
  <si>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</si>
  <si>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</si>
  <si>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</si>
  <si>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</si>
  <si>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</si>
  <si>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</si>
  <si>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</si>
  <si>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</si>
  <si>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</si>
  <si>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</si>
  <si>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</si>
  <si>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</si>
  <si>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</si>
  <si>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</si>
  <si>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</si>
  <si>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</si>
  <si>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</si>
  <si>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</si>
  <si>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</si>
  <si>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</si>
  <si>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</si>
  <si>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</si>
  <si>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</si>
  <si>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</si>
  <si>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</si>
  <si>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</si>
  <si>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</si>
  <si>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</si>
  <si>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</si>
  <si>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</si>
  <si>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</si>
  <si>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</si>
  <si>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</si>
  <si>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</si>
  <si>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</si>
  <si>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</si>
  <si>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</si>
  <si>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</si>
  <si>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</si>
  <si>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</si>
  <si>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</si>
  <si>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</si>
  <si>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</si>
  <si>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</si>
  <si>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</si>
  <si>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</si>
  <si>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</si>
  <si>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</si>
  <si>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</si>
  <si>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</si>
  <si>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</si>
  <si>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</si>
  <si>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</si>
  <si>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</si>
  <si>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</si>
  <si>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</si>
  <si>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</si>
  <si>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</si>
  <si>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</si>
  <si>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</si>
  <si>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</si>
  <si>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</si>
  <si>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</si>
  <si>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</si>
  <si>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</si>
  <si>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</si>
  <si>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</si>
  <si>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</si>
  <si>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</si>
  <si>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</si>
  <si>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</si>
  <si>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</si>
  <si>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</si>
  <si>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</si>
  <si>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</si>
  <si>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</si>
  <si>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</si>
  <si>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</si>
  <si>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</si>
  <si>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</si>
  <si>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</si>
  <si>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</si>
  <si>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</si>
  <si>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</si>
  <si>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</si>
  <si>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</si>
  <si>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</si>
  <si>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</si>
  <si>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</si>
  <si>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</si>
  <si>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</si>
  <si>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</si>
  <si>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</si>
  <si>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</si>
  <si>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</si>
  <si>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</si>
  <si>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</si>
  <si>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</si>
  <si>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</si>
  <si>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</si>
  <si>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</si>
  <si>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</si>
  <si>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</si>
  <si>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</si>
  <si>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</si>
  <si>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</si>
  <si>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</si>
  <si>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</si>
  <si>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</si>
  <si>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</si>
  <si>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</si>
  <si>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</si>
  <si>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</si>
  <si>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</si>
  <si>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</si>
  <si>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</si>
  <si>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</si>
  <si>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</si>
  <si>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</si>
  <si>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</si>
  <si>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</si>
  <si>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</si>
  <si>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</si>
  <si>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</si>
  <si>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</si>
  <si>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</si>
  <si>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</si>
  <si>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</si>
  <si>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</si>
  <si>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</si>
  <si>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</si>
  <si>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</si>
  <si>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</si>
  <si>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</si>
  <si>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</si>
  <si>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</si>
  <si>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</si>
  <si>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</si>
  <si>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</si>
  <si>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</si>
  <si>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</si>
  <si>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</si>
  <si>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</si>
  <si>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</si>
  <si>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</si>
  <si>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</si>
  <si>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</si>
  <si>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</si>
  <si>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</si>
  <si>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</si>
  <si>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</si>
  <si>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</si>
  <si>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</si>
  <si>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</si>
  <si>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</si>
  <si>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</si>
  <si>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</si>
  <si>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</si>
  <si>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</si>
  <si>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</si>
  <si>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</si>
  <si>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</si>
  <si>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</si>
  <si>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</si>
  <si>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</si>
  <si>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</si>
  <si>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</si>
  <si>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</si>
  <si>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</si>
  <si>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</si>
  <si>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</si>
  <si>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</si>
  <si>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</si>
  <si>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</si>
  <si>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</si>
  <si>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</si>
  <si>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</si>
  <si>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</si>
  <si>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</si>
  <si>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</si>
  <si>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</si>
  <si>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</si>
  <si>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</si>
  <si>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</si>
  <si>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</si>
  <si>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</si>
  <si>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</si>
  <si>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</si>
  <si>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</si>
  <si>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</si>
  <si>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</si>
  <si>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</si>
  <si>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</si>
  <si>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</si>
  <si>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</si>
  <si>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</si>
  <si>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</si>
  <si>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</si>
  <si>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</si>
  <si>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</si>
  <si>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</si>
  <si>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</si>
  <si>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</si>
  <si>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</si>
  <si>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</si>
  <si>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</si>
  <si>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</si>
  <si>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</si>
  <si>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</si>
  <si>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</si>
  <si>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</si>
  <si>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</si>
  <si>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</si>
  <si>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</si>
  <si>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</si>
  <si>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</si>
  <si>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</si>
  <si>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</si>
  <si>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</si>
  <si>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</si>
  <si>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</si>
  <si>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</si>
  <si>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</si>
  <si>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</si>
  <si>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</si>
  <si>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</si>
  <si>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</si>
  <si>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</si>
  <si>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</si>
  <si>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</si>
  <si>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</si>
  <si>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</si>
  <si>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</si>
  <si>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</si>
  <si>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</si>
  <si>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</si>
  <si>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</si>
  <si>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</si>
  <si>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</si>
  <si>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</si>
  <si>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</si>
  <si>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</si>
  <si>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</si>
  <si>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</si>
  <si>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</si>
  <si>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</si>
  <si>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</si>
  <si>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</si>
  <si>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</si>
  <si>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</si>
  <si>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</si>
  <si>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</si>
  <si>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</si>
  <si>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</si>
  <si>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</si>
  <si>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</si>
  <si>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</si>
  <si>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</si>
  <si>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</si>
  <si>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</si>
  <si>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</si>
  <si>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</si>
  <si>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</si>
  <si>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</si>
  <si>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</si>
  <si>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</si>
  <si>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</si>
  <si>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</si>
  <si>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</si>
  <si>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</si>
  <si>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</si>
  <si>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</si>
  <si>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</si>
  <si>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</si>
  <si>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</si>
  <si>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</si>
  <si>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</si>
  <si>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</si>
  <si>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</si>
  <si>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</si>
  <si>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</si>
  <si>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</si>
  <si>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</si>
  <si>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</si>
  <si>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</si>
  <si>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</si>
  <si>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</si>
  <si>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</si>
  <si>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</si>
  <si>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</si>
  <si>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</si>
  <si>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</si>
  <si>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</si>
  <si>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</si>
  <si>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</si>
  <si>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</si>
  <si>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</si>
  <si>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</si>
  <si>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</si>
  <si>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</si>
  <si>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</si>
  <si>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</si>
  <si>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</si>
  <si>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</si>
  <si>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</si>
  <si>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</si>
  <si>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</si>
  <si>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</si>
  <si>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</si>
  <si>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</si>
  <si>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</si>
  <si>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</si>
  <si>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</si>
  <si>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</si>
  <si>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</si>
  <si>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</si>
  <si>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</si>
  <si>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</si>
  <si>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</si>
  <si>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</si>
  <si>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</si>
  <si>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</si>
  <si>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</si>
  <si>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</si>
  <si>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</si>
  <si>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</si>
  <si>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</si>
  <si>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</si>
  <si>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</si>
  <si>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</si>
  <si>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</si>
  <si>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</si>
  <si>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</si>
  <si>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</si>
  <si>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</si>
  <si>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</si>
  <si>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</si>
  <si>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</si>
  <si>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</si>
  <si>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</si>
  <si>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</si>
  <si>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</si>
  <si>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</si>
  <si>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</si>
  <si>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</si>
  <si>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</si>
  <si>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</si>
  <si>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</si>
  <si>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</si>
  <si>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</si>
  <si>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</si>
  <si>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</si>
  <si>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</si>
  <si>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</si>
  <si>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</si>
  <si>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</si>
  <si>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</si>
  <si>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</si>
  <si>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</si>
  <si>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</si>
  <si>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</si>
  <si>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</si>
  <si>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</si>
  <si>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</si>
  <si>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</si>
  <si>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</si>
  <si>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</si>
  <si>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</si>
  <si>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</si>
  <si>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</si>
  <si>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</si>
  <si>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</si>
  <si>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</si>
  <si>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</si>
  <si>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</si>
  <si>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</si>
  <si>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</si>
  <si>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</si>
  <si>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</si>
  <si>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</si>
  <si>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</si>
  <si>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</si>
  <si>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</si>
  <si>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</si>
  <si>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</si>
  <si>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</si>
  <si>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</si>
  <si>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</si>
  <si>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</si>
  <si>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</si>
  <si>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</si>
  <si>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</si>
  <si>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</si>
  <si>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</si>
  <si>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</si>
  <si>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</si>
  <si>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</si>
  <si>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</si>
  <si>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</si>
  <si>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</si>
  <si>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</si>
  <si>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</si>
  <si>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</si>
  <si>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</si>
  <si>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</si>
  <si>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</si>
  <si>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</si>
  <si>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</si>
  <si>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</si>
  <si>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</si>
  <si>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</si>
  <si>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</si>
  <si>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</si>
  <si>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</si>
  <si>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</si>
  <si>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</si>
  <si>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</si>
  <si>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</si>
  <si>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</si>
  <si>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</si>
  <si>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</si>
  <si>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</si>
  <si>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</si>
  <si>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</si>
  <si>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</si>
  <si>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</si>
  <si>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</si>
  <si>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</si>
  <si>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</si>
  <si>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</si>
  <si>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</si>
  <si>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</si>
  <si>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</si>
  <si>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</si>
  <si>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</si>
  <si>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</si>
  <si>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</si>
  <si>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</si>
  <si>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</si>
  <si>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</si>
  <si>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</si>
  <si>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</si>
  <si>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</si>
  <si>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</si>
  <si>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</si>
  <si>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</si>
  <si>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</si>
  <si>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</si>
  <si>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</si>
  <si>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</si>
  <si>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</si>
  <si>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</si>
  <si>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</si>
  <si>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</si>
  <si>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</si>
  <si>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</si>
  <si>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</si>
  <si>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</si>
  <si>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</si>
  <si>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</si>
  <si>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</si>
  <si>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</si>
  <si>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</si>
  <si>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</si>
  <si>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</si>
  <si>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</si>
  <si>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</si>
  <si>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</si>
  <si>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</si>
  <si>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</si>
  <si>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</si>
  <si>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</si>
  <si>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</si>
  <si>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</si>
  <si>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</si>
  <si>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</si>
  <si>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</si>
  <si>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</si>
  <si>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</si>
  <si>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</si>
  <si>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</si>
  <si>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</si>
  <si>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</si>
  <si>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</si>
  <si>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</si>
  <si>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</si>
  <si>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</si>
  <si>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</si>
  <si>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</si>
  <si>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</si>
  <si>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</si>
  <si>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</si>
  <si>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</si>
  <si>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</si>
  <si>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</si>
  <si>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</si>
  <si>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</si>
  <si>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</si>
  <si>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</si>
  <si>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</si>
  <si>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</si>
  <si>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</si>
  <si>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</si>
  <si>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</si>
  <si>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</si>
  <si>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</si>
  <si>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</si>
  <si>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</si>
  <si>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</si>
  <si>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</si>
  <si>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</si>
  <si>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</si>
  <si>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</si>
  <si>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</si>
  <si>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</si>
  <si>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</si>
  <si>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</si>
  <si>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</si>
  <si>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</si>
  <si>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</si>
  <si>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</si>
  <si>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</si>
  <si>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</si>
  <si>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</si>
  <si>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</si>
  <si>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</si>
  <si>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</si>
  <si>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</si>
  <si>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</si>
  <si>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</si>
  <si>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</si>
  <si>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</si>
  <si>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</si>
  <si>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</si>
  <si>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</si>
  <si>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</si>
  <si>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</si>
  <si>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</si>
  <si>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</si>
  <si>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</si>
  <si>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</si>
  <si>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</si>
  <si>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</si>
  <si>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</si>
  <si>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</si>
  <si>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</si>
  <si>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</si>
  <si>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</si>
  <si>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</si>
  <si>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</si>
  <si>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</si>
  <si>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</si>
  <si>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</si>
  <si>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</si>
  <si>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</si>
  <si>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Fulton</t>
  </si>
  <si>
    <t>20 W Walnut</t>
  </si>
  <si>
    <t>Canton</t>
  </si>
  <si>
    <t>rolf.sivertsen@cantonusd.org</t>
  </si>
  <si>
    <t>Rolf Sivertsen</t>
  </si>
  <si>
    <t>309-647-9411</t>
  </si>
  <si>
    <t>309-649-5036</t>
  </si>
  <si>
    <t>PDF in Opinion Page with signature</t>
  </si>
  <si>
    <t>Life Safety Bonds 2008</t>
  </si>
  <si>
    <t>Life Safety Bonds 2012</t>
  </si>
  <si>
    <t>Ingersoll Lease</t>
  </si>
  <si>
    <t>Life Safety Bonds 2017</t>
  </si>
  <si>
    <t>Capital Lease</t>
  </si>
  <si>
    <t>Western Area Career System</t>
  </si>
  <si>
    <t>West Central Illinois Special Education Co-op</t>
  </si>
  <si>
    <t>Arbor Management</t>
  </si>
  <si>
    <t>ED- DIR BUS SUPPORT- PURCHASED SERVICES</t>
  </si>
  <si>
    <t>O&amp;M O&amp;M PLANT - PURCHASED SERVICES</t>
  </si>
  <si>
    <t>ED- FOOD SERVICES - PURCHASED SERVICES</t>
  </si>
  <si>
    <t>10-2510-300</t>
  </si>
  <si>
    <t>10-2520-300</t>
  </si>
  <si>
    <t>20-2540-300</t>
  </si>
  <si>
    <t>10-2560-300</t>
  </si>
  <si>
    <t>BRECHT'S DATABASE SOLUTIONS</t>
  </si>
  <si>
    <t>FRONTLINE TECHNOLOGIES GROUP</t>
  </si>
  <si>
    <t>SKYWARD</t>
  </si>
  <si>
    <t>AMERICAN PEST CONTROL</t>
  </si>
  <si>
    <t>ENVIRONMENTAL CONTROL SOLUTIONS</t>
  </si>
  <si>
    <t>HUNTER HYDROVAC INC.</t>
  </si>
  <si>
    <t>ARBOR MANAGEMENT</t>
  </si>
  <si>
    <t>Page 10, Line 74 - Sales of Excess Food</t>
  </si>
  <si>
    <t xml:space="preserve">Page 11, Line 107 - </t>
  </si>
  <si>
    <t>Education - Refunds &amp; Reimbursements</t>
  </si>
  <si>
    <t>Operations &amp; Maintenance - Insurance &amp; Miscellaneous reimbursements</t>
  </si>
  <si>
    <t>Transportation - Refunds &amp; Reimbursements</t>
  </si>
  <si>
    <t>Page 16, Line 83 - School Resource Officer</t>
  </si>
  <si>
    <t>Debt Services - Lease receipts to cover loan payment</t>
  </si>
  <si>
    <t>Page 13, Line 197 - Equipment assistance</t>
  </si>
  <si>
    <t>Page 18, Line 171 - Bank Agent Fees</t>
  </si>
  <si>
    <t>N/A</t>
  </si>
  <si>
    <t>US DEPARTMENT OF EDUCATION:</t>
  </si>
  <si>
    <t xml:space="preserve">  PASSED THROUGH ISBE:</t>
  </si>
  <si>
    <t>84.010A</t>
  </si>
  <si>
    <t>2018-4300</t>
  </si>
  <si>
    <t xml:space="preserve">    TITLE V - RURAL EDUCATION - 2018</t>
  </si>
  <si>
    <t>2018-4107</t>
  </si>
  <si>
    <t xml:space="preserve">      TOTAL TITLE V - RURAL EDUCATION</t>
  </si>
  <si>
    <t>84.367A</t>
  </si>
  <si>
    <t xml:space="preserve">    TITLE II - TEACHER QUALITY - 2018</t>
  </si>
  <si>
    <t>2018-4932</t>
  </si>
  <si>
    <t xml:space="preserve">      TOTAL TITLE II - TEACHER QUALITY</t>
  </si>
  <si>
    <t xml:space="preserve">    TITLE IVA - STUDENT SUPPORT</t>
  </si>
  <si>
    <t xml:space="preserve">    TITLE I - LOW INCOME - 2018 (M)</t>
  </si>
  <si>
    <t xml:space="preserve">  SPECIAL EDUCATION CLUSTER:</t>
  </si>
  <si>
    <t xml:space="preserve">    PASSED THROUGH ISBE:</t>
  </si>
  <si>
    <t xml:space="preserve">      IDEA - ROOM &amp; BOARD - EXCESS</t>
  </si>
  <si>
    <t>84.027A</t>
  </si>
  <si>
    <t xml:space="preserve">        TOTAL IDEA - ROOM &amp; BOARD</t>
  </si>
  <si>
    <t xml:space="preserve">    TITLE I - LOW INCOME - 2019 (M)</t>
  </si>
  <si>
    <t xml:space="preserve">    TITLE V - RURAL EDUCATION - 2019</t>
  </si>
  <si>
    <t xml:space="preserve">    TITLE II - TEACHER QUALITY - 2019</t>
  </si>
  <si>
    <t>2018-4625</t>
  </si>
  <si>
    <t>2019-4400</t>
  </si>
  <si>
    <t>2019-4932</t>
  </si>
  <si>
    <t>2019-4107</t>
  </si>
  <si>
    <t>2019-4300</t>
  </si>
  <si>
    <t xml:space="preserve">    TITLE I - SCHOOL IMPROVEMENT</t>
  </si>
  <si>
    <t>2019-4331</t>
  </si>
  <si>
    <t>84.173A</t>
  </si>
  <si>
    <t xml:space="preserve">      IDEA - FLOW-THROUGH - 2018</t>
  </si>
  <si>
    <t>2018-4600</t>
  </si>
  <si>
    <t xml:space="preserve">        TOTAL IDEA - FLOW-THROUGH</t>
  </si>
  <si>
    <t>TOTAL US DEPARTMENT OF EDUCATION</t>
  </si>
  <si>
    <t>US DEPARTMENT OF AGRICULTURE:</t>
  </si>
  <si>
    <t xml:space="preserve">  CHILD NUTRITION CLUSTER (M):</t>
  </si>
  <si>
    <t xml:space="preserve">    PASSED THROUGH DoD:</t>
  </si>
  <si>
    <t xml:space="preserve">      COMMODITY CREDIT (FRESH)</t>
  </si>
  <si>
    <t xml:space="preserve">      COMMODITY CREDIT (LANTER)</t>
  </si>
  <si>
    <t>2018-4210</t>
  </si>
  <si>
    <t xml:space="preserve">      NATIONAL SCHOOL LUNCH PROG - 2018</t>
  </si>
  <si>
    <t xml:space="preserve">      IDEA - FLOW-THROUGH - 2019</t>
  </si>
  <si>
    <t xml:space="preserve">      NATIONAL SCHOOL LUNCH PROG - 2019</t>
  </si>
  <si>
    <t>2019-4210</t>
  </si>
  <si>
    <t>2019-4250</t>
  </si>
  <si>
    <t>2019-4600</t>
  </si>
  <si>
    <t xml:space="preserve">     STEP GRANT</t>
  </si>
  <si>
    <t>2019-4999</t>
  </si>
  <si>
    <t>US DEPARTMENT OF AGRICULTURE (CONT):</t>
  </si>
  <si>
    <t xml:space="preserve">  CHILD NUTRITION CLUSTER (M) (CONT):</t>
  </si>
  <si>
    <t xml:space="preserve">    SCHOOL BREAKFAST PROGRAM - 2018</t>
  </si>
  <si>
    <t>2018-4220</t>
  </si>
  <si>
    <t xml:space="preserve">      TOTAL SCHOOL BREAKFAST PROGRAM</t>
  </si>
  <si>
    <t xml:space="preserve">  TOTAL CHILD NUTRITION CLUSTER</t>
  </si>
  <si>
    <t xml:space="preserve">  CHILD &amp; ADULT FOOD CARE PROGRAM - 2018</t>
  </si>
  <si>
    <t>2018-4215</t>
  </si>
  <si>
    <t xml:space="preserve">    TOTAL CHILD &amp; ADULT FOOD CARE PROGRAM</t>
  </si>
  <si>
    <t>TOTAL US DEPARTMENT OF AGRICULTURE</t>
  </si>
  <si>
    <t>US DEPARTMENT OF HEALTH &amp; HUM. SVCS.:</t>
  </si>
  <si>
    <t xml:space="preserve">  PASSED THROUGH IL DCHFS:</t>
  </si>
  <si>
    <t xml:space="preserve">    MEDICAL ASSITANCE PROGRAM - 2018</t>
  </si>
  <si>
    <t>2018-4991</t>
  </si>
  <si>
    <t>TOTAL US DEPARTMENT OF HEALTH &amp; HUM. SVCS.</t>
  </si>
  <si>
    <t xml:space="preserve">    SCHOOL BREAKFAST PROGRAM - 2019</t>
  </si>
  <si>
    <t xml:space="preserve">  CHILD &amp; ADULT FOOD CARE PROGRAM - 2019</t>
  </si>
  <si>
    <t xml:space="preserve">    MEDICAL ASSITANCE PROGRAM - 2019</t>
  </si>
  <si>
    <t>2019-4991</t>
  </si>
  <si>
    <t>2019-4215</t>
  </si>
  <si>
    <t>2019-4220</t>
  </si>
  <si>
    <t>TOTAL FEDERAL AWARDS</t>
  </si>
  <si>
    <t xml:space="preserve">    TITLE IVA- STUDENT SUPPORT</t>
  </si>
  <si>
    <t>2018-4400</t>
  </si>
  <si>
    <t xml:space="preserve">      NSLP EQUIPMENT ASSISTANCE</t>
  </si>
  <si>
    <t>2019-4260</t>
  </si>
  <si>
    <t>The accompanying Schedule of Expenditures of Federal Awards includes the federal grant activity of Canton Union CUSD #66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</si>
  <si>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NONE</t>
  </si>
  <si>
    <r>
      <t xml:space="preserve">The following amounts were expended in the form of non-cash assistance by </t>
    </r>
    <r>
      <rPr>
        <b/>
        <sz val="9"/>
        <rFont val="Calibri"/>
        <family val="2"/>
        <scheme val="minor"/>
      </rPr>
      <t xml:space="preserve"> Canton Union CUSD #66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</si>
  <si>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</si>
  <si>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X</t>
  </si>
  <si>
    <t>UNMODIFIED</t>
  </si>
  <si>
    <t>Title I- Low Income</t>
  </si>
  <si>
    <t>Page 14, Line 265 - STEP Grant</t>
  </si>
  <si>
    <t>Page 13, Line 203 - Title I - School Improvement</t>
  </si>
  <si>
    <t xml:space="preserve">      TOTAL TITLE I </t>
  </si>
  <si>
    <t xml:space="preserve">  PASSED THROUGH WCISEC:</t>
  </si>
  <si>
    <t xml:space="preserve">  PASED THROUGH IL DHS</t>
  </si>
  <si>
    <t xml:space="preserve">  PASSED THROUGH ISBE (CONT):</t>
  </si>
  <si>
    <t xml:space="preserve">       TOTAL IVA</t>
  </si>
  <si>
    <t xml:space="preserve">    SPECIAL EDUCATION CLUSTER:</t>
  </si>
  <si>
    <t>Canton Union 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</si>
</sst>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23"/>
      </left>
      <right style="thin">
        <color indexed="55"/>
      </right>
      <top style="thin">
        <color indexed="64"/>
      </top>
      <bottom/>
      <diagonal/>
    </border>
    <border>
      <left style="thin">
        <color indexed="55"/>
      </left>
      <right style="thin">
        <color indexed="55"/>
      </right>
      <top style="thin">
        <color indexed="64"/>
      </top>
      <bottom/>
      <diagonal/>
    </border>
    <border>
      <left/>
      <right style="thin">
        <color indexed="55"/>
      </right>
      <top style="thin">
        <color indexed="64"/>
      </top>
      <bottom/>
      <diagonal/>
    </border>
    <border>
      <left style="thin">
        <color indexed="55"/>
      </left>
      <right/>
      <top style="thin">
        <color indexed="64"/>
      </top>
      <bottom/>
      <diagonal/>
    </border>
    <border>
      <left style="thin">
        <color indexed="23"/>
      </left>
      <right style="thin">
        <color indexed="23"/>
      </right>
      <top style="thin">
        <color indexed="64"/>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9" fillId="0" borderId="0"/>
    <xf numFmtId="0" fontId="1" fillId="0" borderId="0"/>
    <xf numFmtId="0" fontId="1"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19" applyFont="1"/>
    <xf numFmtId="0" fontId="53" fillId="0" borderId="0" xfId="3" applyNumberFormat="1" applyFont="1" applyAlignment="1" applyProtection="1">
      <alignment horizontal="center" vertical="center"/>
    </xf>
    <xf numFmtId="0" fontId="63" fillId="0" borderId="165" xfId="3" applyFont="1" applyBorder="1" applyAlignment="1" applyProtection="1"/>
    <xf numFmtId="169" fontId="63" fillId="0" borderId="166" xfId="3" applyNumberFormat="1" applyFont="1" applyBorder="1" applyAlignment="1" applyProtection="1">
      <alignment horizontal="center"/>
    </xf>
    <xf numFmtId="1" fontId="63" fillId="0" borderId="167" xfId="3" applyNumberFormat="1" applyFont="1" applyBorder="1" applyAlignment="1" applyProtection="1">
      <alignment horizontal="center"/>
    </xf>
    <xf numFmtId="0" fontId="63" fillId="0" borderId="166" xfId="3" applyFont="1" applyBorder="1" applyAlignment="1" applyProtection="1">
      <alignment horizontal="center"/>
    </xf>
    <xf numFmtId="0" fontId="63" fillId="0" borderId="167" xfId="3" applyFont="1" applyBorder="1" applyAlignment="1" applyProtection="1">
      <alignment horizontal="center"/>
    </xf>
    <xf numFmtId="0" fontId="63" fillId="0" borderId="168" xfId="3" applyFont="1" applyBorder="1" applyAlignment="1" applyProtection="1">
      <alignment horizontal="center"/>
    </xf>
    <xf numFmtId="0" fontId="63" fillId="20" borderId="169" xfId="3" applyFont="1" applyFill="1" applyBorder="1" applyAlignment="1" applyProtection="1">
      <alignment horizontal="center"/>
    </xf>
    <xf numFmtId="0" fontId="63" fillId="0" borderId="169" xfId="3" applyFont="1" applyBorder="1" applyAlignment="1" applyProtection="1">
      <alignment horizontal="center"/>
    </xf>
    <xf numFmtId="0" fontId="63" fillId="21" borderId="169" xfId="3" applyFont="1" applyFill="1" applyBorder="1" applyAlignment="1" applyProtection="1">
      <alignment horizontal="center"/>
    </xf>
    <xf numFmtId="0" fontId="63" fillId="5" borderId="169" xfId="3" quotePrefix="1" applyFont="1" applyFill="1" applyBorder="1" applyAlignment="1" applyProtection="1">
      <alignment horizontal="center"/>
    </xf>
    <xf numFmtId="0" fontId="63" fillId="5" borderId="167" xfId="3" applyFont="1" applyFill="1" applyBorder="1" applyAlignment="1" applyProtection="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_Itemization 33" xfId="21" xr:uid="{00000000-0005-0000-0000-000008000000}"/>
    <cellStyle name="Normal 3_Itemization 33" xfId="20"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Itemization 33" xfId="19"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8" t="s">
        <v>405</v>
      </c>
      <c r="J1" s="2029"/>
      <c r="K1" s="2029"/>
      <c r="L1" s="2029"/>
      <c r="M1" s="2029"/>
      <c r="N1" s="2029"/>
      <c r="O1" s="2029"/>
      <c r="P1" s="2029"/>
      <c r="Q1" s="2029"/>
      <c r="R1" s="2029"/>
      <c r="S1" s="2029"/>
    </row>
    <row r="2" spans="1:28" ht="12" customHeight="1" x14ac:dyDescent="0.2">
      <c r="A2" s="47" t="s">
        <v>1989</v>
      </c>
      <c r="D2" s="48"/>
      <c r="I2" s="2030" t="s">
        <v>979</v>
      </c>
      <c r="J2" s="2029"/>
      <c r="K2" s="2029"/>
      <c r="L2" s="2029"/>
      <c r="M2" s="2029"/>
      <c r="N2" s="2029"/>
      <c r="O2" s="2029"/>
      <c r="P2" s="2029"/>
      <c r="Q2" s="2029"/>
      <c r="R2" s="2029"/>
      <c r="S2" s="2029"/>
    </row>
    <row r="3" spans="1:28" ht="12" customHeight="1" x14ac:dyDescent="0.2">
      <c r="A3" s="155" t="s">
        <v>1941</v>
      </c>
      <c r="B3" s="156"/>
      <c r="C3" s="156"/>
      <c r="D3" s="157"/>
      <c r="I3" s="2030" t="s">
        <v>52</v>
      </c>
      <c r="J3" s="2029"/>
      <c r="K3" s="2029"/>
      <c r="L3" s="2029"/>
      <c r="M3" s="2029"/>
      <c r="N3" s="2029"/>
      <c r="O3" s="2029"/>
      <c r="P3" s="2029"/>
      <c r="Q3" s="2029"/>
      <c r="R3" s="2029"/>
      <c r="S3" s="2029"/>
    </row>
    <row r="4" spans="1:28" ht="12" customHeight="1" x14ac:dyDescent="0.2">
      <c r="A4" s="37"/>
      <c r="I4" s="2030" t="s">
        <v>524</v>
      </c>
      <c r="J4" s="2029"/>
      <c r="K4" s="2029"/>
      <c r="L4" s="2029"/>
      <c r="M4" s="2029"/>
      <c r="N4" s="2029"/>
      <c r="O4" s="2029"/>
      <c r="P4" s="2029"/>
      <c r="Q4" s="2029"/>
      <c r="R4" s="2029"/>
      <c r="S4" s="2029"/>
    </row>
    <row r="5" spans="1:28" ht="14.1" customHeight="1" x14ac:dyDescent="0.2">
      <c r="B5" s="104" t="s">
        <v>2071</v>
      </c>
      <c r="C5" s="26" t="s">
        <v>910</v>
      </c>
      <c r="D5" s="84"/>
      <c r="E5" s="84"/>
      <c r="H5" s="38"/>
      <c r="I5" s="2037" t="s">
        <v>680</v>
      </c>
      <c r="J5" s="1982"/>
      <c r="K5" s="1982"/>
      <c r="L5" s="1982"/>
      <c r="M5" s="1982"/>
      <c r="N5" s="1982"/>
      <c r="O5" s="1982"/>
      <c r="P5" s="1982"/>
      <c r="Q5" s="1982"/>
      <c r="R5" s="1982"/>
      <c r="S5" s="1982"/>
    </row>
    <row r="6" spans="1:28" ht="14.1" customHeight="1" x14ac:dyDescent="0.2">
      <c r="B6" s="104"/>
      <c r="C6" s="26" t="s">
        <v>911</v>
      </c>
      <c r="D6" s="84"/>
      <c r="E6" s="84"/>
      <c r="I6" s="2036" t="s">
        <v>883</v>
      </c>
      <c r="J6" s="1982"/>
      <c r="K6" s="1982"/>
      <c r="L6" s="1982"/>
      <c r="M6" s="1982"/>
      <c r="N6" s="1982"/>
      <c r="O6" s="1982"/>
      <c r="P6" s="1982"/>
      <c r="Q6" s="1982"/>
      <c r="R6" s="1982"/>
      <c r="S6" s="1982"/>
    </row>
    <row r="7" spans="1:28" ht="12.2" customHeight="1" x14ac:dyDescent="0.2">
      <c r="I7" s="2031">
        <v>43646</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674</v>
      </c>
      <c r="J9" s="2034"/>
      <c r="K9" s="2034"/>
      <c r="L9" s="2034"/>
      <c r="M9" s="2034"/>
      <c r="N9" s="2034"/>
      <c r="O9" s="2034"/>
      <c r="P9" s="2034"/>
      <c r="Q9" s="2034"/>
      <c r="R9" s="2034"/>
      <c r="S9" s="2035"/>
      <c r="T9" s="1978" t="s">
        <v>533</v>
      </c>
      <c r="U9" s="1979"/>
      <c r="V9" s="1979"/>
      <c r="W9" s="1979"/>
      <c r="X9" s="1979"/>
      <c r="Y9" s="1979"/>
      <c r="Z9" s="1979"/>
      <c r="AA9" s="1980"/>
    </row>
    <row r="10" spans="1:28" ht="13.5" customHeight="1" x14ac:dyDescent="0.2">
      <c r="A10" s="1987" t="s">
        <v>675</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955</v>
      </c>
      <c r="B11" s="1991"/>
      <c r="C11" s="1991"/>
      <c r="D11" s="1991"/>
      <c r="E11" s="1991"/>
      <c r="F11" s="1991"/>
      <c r="G11" s="1991"/>
      <c r="H11" s="1992"/>
      <c r="I11" s="27"/>
      <c r="J11" s="74"/>
      <c r="K11" s="27"/>
      <c r="O11" s="148" t="s">
        <v>2071</v>
      </c>
      <c r="P11" s="100" t="s">
        <v>201</v>
      </c>
      <c r="Q11" s="30"/>
      <c r="R11" s="28"/>
      <c r="S11" s="27"/>
      <c r="T11" s="1984"/>
      <c r="U11" s="1985"/>
      <c r="V11" s="1985"/>
      <c r="W11" s="1985"/>
      <c r="X11" s="1985"/>
      <c r="Y11" s="1985"/>
      <c r="Z11" s="1985"/>
      <c r="AA11" s="198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8">
        <v>26029066025</v>
      </c>
      <c r="B13" s="1999"/>
      <c r="C13" s="1999"/>
      <c r="D13" s="1999"/>
      <c r="E13" s="1999"/>
      <c r="F13" s="1999"/>
      <c r="G13" s="1999"/>
      <c r="H13" s="2000"/>
      <c r="I13" s="31"/>
      <c r="J13" s="30"/>
      <c r="K13" s="28"/>
      <c r="L13" s="30"/>
      <c r="M13" s="30"/>
      <c r="N13" s="30"/>
      <c r="O13" s="30"/>
      <c r="P13" s="30"/>
      <c r="Q13" s="30"/>
      <c r="R13" s="30"/>
      <c r="S13" s="30"/>
      <c r="T13" s="2003" t="s">
        <v>2062</v>
      </c>
      <c r="U13" s="2004"/>
      <c r="V13" s="2004"/>
      <c r="W13" s="2004"/>
      <c r="X13" s="2004"/>
      <c r="Y13" s="2005"/>
      <c r="Z13" s="2005"/>
      <c r="AA13" s="200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6" t="s">
        <v>2072</v>
      </c>
      <c r="B15" s="2001"/>
      <c r="C15" s="2001"/>
      <c r="D15" s="2001"/>
      <c r="E15" s="2001"/>
      <c r="F15" s="2001"/>
      <c r="G15" s="2001"/>
      <c r="H15" s="2002"/>
      <c r="T15" s="1964" t="s">
        <v>2063</v>
      </c>
      <c r="U15" s="1965"/>
      <c r="V15" s="1965"/>
      <c r="W15" s="1965"/>
      <c r="X15" s="1965"/>
      <c r="Y15" s="2007"/>
      <c r="Z15" s="2007"/>
      <c r="AA15" s="200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6" t="s">
        <v>2200</v>
      </c>
      <c r="B17" s="2026"/>
      <c r="C17" s="2026"/>
      <c r="D17" s="2026"/>
      <c r="E17" s="2026"/>
      <c r="F17" s="2026"/>
      <c r="G17" s="2026"/>
      <c r="H17" s="2027"/>
      <c r="T17" s="2013" t="s">
        <v>2064</v>
      </c>
      <c r="U17" s="2014"/>
      <c r="V17" s="2014"/>
      <c r="W17" s="2014"/>
      <c r="X17" s="2014"/>
      <c r="Y17" s="2014"/>
      <c r="Z17" s="2014"/>
      <c r="AA17" s="2015"/>
    </row>
    <row r="18" spans="1:27" ht="13.5" customHeight="1" x14ac:dyDescent="0.2">
      <c r="A18" s="85" t="s">
        <v>530</v>
      </c>
      <c r="B18" s="76"/>
      <c r="C18" s="72"/>
      <c r="D18" s="76"/>
      <c r="E18" s="76"/>
      <c r="F18" s="76"/>
      <c r="G18" s="76"/>
      <c r="H18" s="56"/>
      <c r="I18" s="2023" t="s">
        <v>676</v>
      </c>
      <c r="J18" s="2024"/>
      <c r="K18" s="2024"/>
      <c r="L18" s="2024"/>
      <c r="M18" s="2024"/>
      <c r="N18" s="2024"/>
      <c r="O18" s="2024"/>
      <c r="P18" s="2024"/>
      <c r="Q18" s="2024"/>
      <c r="R18" s="2024"/>
      <c r="S18" s="2025"/>
      <c r="T18" s="85" t="s">
        <v>711</v>
      </c>
      <c r="U18" s="51"/>
      <c r="V18" s="72"/>
      <c r="W18" s="50"/>
      <c r="X18" s="85" t="s">
        <v>266</v>
      </c>
      <c r="Y18" s="81"/>
      <c r="Z18" s="159" t="s">
        <v>677</v>
      </c>
      <c r="AA18" s="46"/>
    </row>
    <row r="19" spans="1:27" ht="13.5" customHeight="1" x14ac:dyDescent="0.2">
      <c r="A19" s="1996" t="s">
        <v>2073</v>
      </c>
      <c r="B19" s="1997"/>
      <c r="C19" s="1997"/>
      <c r="D19" s="1997"/>
      <c r="E19" s="1997"/>
      <c r="F19" s="1997"/>
      <c r="G19" s="1997"/>
      <c r="H19" s="1995"/>
      <c r="I19" s="30"/>
      <c r="J19" s="99"/>
      <c r="K19" s="40"/>
      <c r="L19" s="38"/>
      <c r="M19" s="112" t="s">
        <v>315</v>
      </c>
      <c r="P19" s="27"/>
      <c r="Q19" s="27"/>
      <c r="R19" s="27"/>
      <c r="S19" s="31"/>
      <c r="T19" s="1996" t="s">
        <v>2065</v>
      </c>
      <c r="U19" s="1994"/>
      <c r="V19" s="1994"/>
      <c r="W19" s="1995"/>
      <c r="X19" s="2011" t="s">
        <v>2066</v>
      </c>
      <c r="Y19" s="2012"/>
      <c r="Z19" s="2009">
        <v>60450</v>
      </c>
      <c r="AA19" s="201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3" t="s">
        <v>2074</v>
      </c>
      <c r="B21" s="1994"/>
      <c r="C21" s="1994"/>
      <c r="D21" s="1994"/>
      <c r="E21" s="1994"/>
      <c r="F21" s="1994"/>
      <c r="G21" s="1994"/>
      <c r="H21" s="1995"/>
      <c r="I21" s="2019" t="s">
        <v>678</v>
      </c>
      <c r="J21" s="1982"/>
      <c r="K21" s="1982"/>
      <c r="L21" s="1982"/>
      <c r="M21" s="1982"/>
      <c r="N21" s="1982"/>
      <c r="O21" s="1982"/>
      <c r="P21" s="1982"/>
      <c r="Q21" s="1982"/>
      <c r="R21" s="1982"/>
      <c r="S21" s="1983"/>
      <c r="T21" s="1961" t="s">
        <v>2067</v>
      </c>
      <c r="U21" s="1962"/>
      <c r="V21" s="1962"/>
      <c r="W21" s="1962"/>
      <c r="X21" s="1975" t="s">
        <v>2068</v>
      </c>
      <c r="Y21" s="1976"/>
      <c r="Z21" s="1976"/>
      <c r="AA21" s="1977"/>
    </row>
    <row r="22" spans="1:27" ht="13.5" customHeight="1" x14ac:dyDescent="0.2">
      <c r="A22" s="87" t="s">
        <v>531</v>
      </c>
      <c r="B22" s="59"/>
      <c r="C22" s="59"/>
      <c r="D22" s="59"/>
      <c r="E22" s="59"/>
      <c r="F22" s="59"/>
      <c r="G22" s="59"/>
      <c r="H22" s="60"/>
      <c r="I22" s="2020" t="s">
        <v>1429</v>
      </c>
      <c r="J22" s="2021"/>
      <c r="K22" s="2021"/>
      <c r="L22" s="2021"/>
      <c r="M22" s="2021"/>
      <c r="N22" s="2021"/>
      <c r="O22" s="2021"/>
      <c r="P22" s="2021"/>
      <c r="Q22" s="2021"/>
      <c r="R22" s="2021"/>
      <c r="S22" s="2022"/>
      <c r="T22" s="85" t="s">
        <v>1516</v>
      </c>
      <c r="U22" s="51"/>
      <c r="V22" s="72"/>
      <c r="W22" s="51"/>
      <c r="X22" s="160" t="s">
        <v>1318</v>
      </c>
      <c r="Z22" s="45"/>
      <c r="AA22" s="46"/>
    </row>
    <row r="23" spans="1:27" ht="13.5" customHeight="1" x14ac:dyDescent="0.2">
      <c r="A23" s="2016" t="s">
        <v>2075</v>
      </c>
      <c r="B23" s="2017"/>
      <c r="C23" s="2017"/>
      <c r="D23" s="2017"/>
      <c r="E23" s="2017"/>
      <c r="F23" s="2017"/>
      <c r="G23" s="2017"/>
      <c r="H23" s="2018"/>
      <c r="T23" s="1956" t="s">
        <v>2069</v>
      </c>
      <c r="U23" s="1957"/>
      <c r="V23" s="1957"/>
      <c r="W23" s="1957"/>
      <c r="X23" s="1972">
        <v>44530</v>
      </c>
      <c r="Y23" s="1973"/>
      <c r="Z23" s="1973"/>
      <c r="AA23" s="1974"/>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93">
        <v>61520</v>
      </c>
      <c r="B25" s="1994"/>
      <c r="C25" s="1994"/>
      <c r="D25" s="1994"/>
      <c r="E25" s="1994"/>
      <c r="F25" s="1994"/>
      <c r="G25" s="1994"/>
      <c r="H25" s="1995"/>
      <c r="I25" s="113"/>
      <c r="J25" s="2055"/>
      <c r="K25" s="2055"/>
      <c r="L25" s="2055"/>
      <c r="M25" s="2055"/>
      <c r="N25" s="2055"/>
      <c r="O25" s="2055"/>
      <c r="P25" s="2055"/>
      <c r="Q25" s="2055"/>
      <c r="R25" s="2055"/>
      <c r="S25" s="2056"/>
      <c r="T25" s="1953" t="s">
        <v>2070</v>
      </c>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1" t="s">
        <v>1511</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2071</v>
      </c>
      <c r="C30" s="124" t="s">
        <v>1164</v>
      </c>
      <c r="D30" s="28"/>
      <c r="E30" s="28"/>
      <c r="F30" s="140"/>
      <c r="G30" s="114"/>
      <c r="H30" s="114"/>
      <c r="I30" s="54"/>
      <c r="J30" s="148" t="s">
        <v>2071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7"/>
      <c r="Q35" s="1994"/>
      <c r="R35" s="19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6" t="s">
        <v>2076</v>
      </c>
      <c r="B38" s="2026"/>
      <c r="C38" s="2026"/>
      <c r="D38" s="2026"/>
      <c r="E38" s="2026"/>
      <c r="F38" s="1994"/>
      <c r="G38" s="1994"/>
      <c r="H38" s="1995"/>
      <c r="I38" s="2045"/>
      <c r="J38" s="1965"/>
      <c r="K38" s="1965"/>
      <c r="L38" s="1965"/>
      <c r="M38" s="1965"/>
      <c r="N38" s="1965"/>
      <c r="O38" s="1965"/>
      <c r="P38" s="1966"/>
      <c r="Q38" s="1966"/>
      <c r="R38" s="1966"/>
      <c r="S38" s="1967"/>
      <c r="T38" s="1964"/>
      <c r="U38" s="1965"/>
      <c r="V38" s="1965"/>
      <c r="W38" s="1965"/>
      <c r="X38" s="1966"/>
      <c r="Y38" s="1966"/>
      <c r="Z38" s="1966"/>
      <c r="AA38" s="1967"/>
    </row>
    <row r="39" spans="1:27" ht="12" customHeight="1" x14ac:dyDescent="0.2">
      <c r="A39" s="2049" t="s">
        <v>531</v>
      </c>
      <c r="B39" s="2050"/>
      <c r="C39" s="72"/>
      <c r="D39" s="69"/>
      <c r="E39" s="69"/>
      <c r="F39" s="79"/>
      <c r="G39" s="69"/>
      <c r="H39" s="56"/>
      <c r="I39" s="2049" t="s">
        <v>531</v>
      </c>
      <c r="J39" s="2050"/>
      <c r="K39" s="2050"/>
      <c r="L39" s="2050"/>
      <c r="M39" s="2050"/>
      <c r="N39" s="67"/>
      <c r="O39" s="72"/>
      <c r="P39" s="72"/>
      <c r="Q39" s="78"/>
      <c r="R39" s="72"/>
      <c r="S39" s="56"/>
      <c r="T39" s="72" t="s">
        <v>531</v>
      </c>
      <c r="U39" s="51"/>
      <c r="V39" s="72"/>
      <c r="W39" s="50"/>
      <c r="X39" s="78"/>
      <c r="Y39" s="45"/>
      <c r="Z39" s="45"/>
      <c r="AA39" s="46"/>
    </row>
    <row r="40" spans="1:27" ht="13.5" customHeight="1" x14ac:dyDescent="0.2">
      <c r="A40" s="2016" t="s">
        <v>2075</v>
      </c>
      <c r="B40" s="2017"/>
      <c r="C40" s="2017"/>
      <c r="D40" s="2017"/>
      <c r="E40" s="2017"/>
      <c r="F40" s="2017"/>
      <c r="G40" s="2017"/>
      <c r="H40" s="2018"/>
      <c r="I40" s="1968"/>
      <c r="J40" s="1970"/>
      <c r="K40" s="1970"/>
      <c r="L40" s="1970"/>
      <c r="M40" s="1970"/>
      <c r="N40" s="1970"/>
      <c r="O40" s="1970"/>
      <c r="P40" s="1970"/>
      <c r="Q40" s="1970"/>
      <c r="R40" s="1970"/>
      <c r="S40" s="1971"/>
      <c r="T40" s="1968"/>
      <c r="U40" s="1969"/>
      <c r="V40" s="1970"/>
      <c r="W40" s="1970"/>
      <c r="X40" s="1970"/>
      <c r="Y40" s="1970"/>
      <c r="Z40" s="1970"/>
      <c r="AA40" s="197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2" t="s">
        <v>2077</v>
      </c>
      <c r="B42" s="2043"/>
      <c r="C42" s="2044"/>
      <c r="D42" s="2052" t="s">
        <v>2078</v>
      </c>
      <c r="E42" s="2043"/>
      <c r="F42" s="2043"/>
      <c r="G42" s="2043"/>
      <c r="H42" s="2044"/>
      <c r="I42" s="1963"/>
      <c r="J42" s="1959"/>
      <c r="K42" s="1959"/>
      <c r="L42" s="1959"/>
      <c r="M42" s="1959"/>
      <c r="N42" s="1959"/>
      <c r="O42" s="1960"/>
      <c r="P42" s="1958"/>
      <c r="Q42" s="1959"/>
      <c r="R42" s="1959"/>
      <c r="S42" s="1960"/>
      <c r="T42" s="1963"/>
      <c r="U42" s="1959"/>
      <c r="V42" s="1959"/>
      <c r="W42" s="1960"/>
      <c r="X42" s="1958"/>
      <c r="Y42" s="1959"/>
      <c r="Z42" s="1959"/>
      <c r="AA42" s="196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1800</v>
      </c>
      <c r="B2" s="1528" t="s">
        <v>1947</v>
      </c>
      <c r="C2" s="714" t="s">
        <v>1948</v>
      </c>
      <c r="D2" s="714" t="s">
        <v>1949</v>
      </c>
      <c r="E2" s="714" t="s">
        <v>1950</v>
      </c>
      <c r="F2" s="714" t="s">
        <v>1951</v>
      </c>
    </row>
    <row r="3" spans="1:6" ht="12" customHeight="1" x14ac:dyDescent="0.2">
      <c r="A3" s="2191"/>
      <c r="B3" s="1525"/>
      <c r="C3" s="1526"/>
      <c r="D3" s="1527" t="s">
        <v>256</v>
      </c>
      <c r="E3" s="1526"/>
      <c r="F3" s="1527" t="s">
        <v>257</v>
      </c>
    </row>
    <row r="4" spans="1:6" ht="13.7" customHeight="1" x14ac:dyDescent="0.2">
      <c r="A4" s="715" t="s">
        <v>1155</v>
      </c>
      <c r="B4" s="1749">
        <f>'Revenues 9-14'!C5</f>
        <v>1849693</v>
      </c>
      <c r="C4" s="1524">
        <v>64324</v>
      </c>
      <c r="D4" s="1752">
        <f>B4-C4</f>
        <v>1785369</v>
      </c>
      <c r="E4" s="1524">
        <v>3975814</v>
      </c>
      <c r="F4" s="1752">
        <f>E4-C4</f>
        <v>3911490</v>
      </c>
    </row>
    <row r="5" spans="1:6" ht="13.7" customHeight="1" x14ac:dyDescent="0.2">
      <c r="A5" s="715" t="s">
        <v>870</v>
      </c>
      <c r="B5" s="1750">
        <f>'Revenues 9-14'!D5</f>
        <v>504407</v>
      </c>
      <c r="C5" s="585">
        <v>17479</v>
      </c>
      <c r="D5" s="1753">
        <f t="shared" ref="D5:D18" si="0">B5-C5</f>
        <v>486928</v>
      </c>
      <c r="E5" s="585">
        <v>1080384</v>
      </c>
      <c r="F5" s="1753">
        <f>E5-C5</f>
        <v>1062905</v>
      </c>
    </row>
    <row r="6" spans="1:6" ht="13.7" customHeight="1" x14ac:dyDescent="0.2">
      <c r="A6" s="715" t="s">
        <v>411</v>
      </c>
      <c r="B6" s="1750">
        <f>'Revenues 9-14'!E5</f>
        <v>372682</v>
      </c>
      <c r="C6" s="585">
        <v>12938</v>
      </c>
      <c r="D6" s="1753">
        <f t="shared" si="0"/>
        <v>359744</v>
      </c>
      <c r="E6" s="585">
        <v>799700</v>
      </c>
      <c r="F6" s="1753">
        <f t="shared" ref="F6:F18" si="1">E6-C6</f>
        <v>786762</v>
      </c>
    </row>
    <row r="7" spans="1:6" ht="13.7" customHeight="1" x14ac:dyDescent="0.2">
      <c r="A7" s="715" t="s">
        <v>155</v>
      </c>
      <c r="B7" s="1750">
        <f>'Revenues 9-14'!F5</f>
        <v>201373</v>
      </c>
      <c r="C7" s="585">
        <v>6992</v>
      </c>
      <c r="D7" s="1753">
        <f t="shared" si="0"/>
        <v>194381</v>
      </c>
      <c r="E7" s="585">
        <v>432154</v>
      </c>
      <c r="F7" s="1753">
        <f t="shared" si="1"/>
        <v>425162</v>
      </c>
    </row>
    <row r="8" spans="1:6" ht="13.7" customHeight="1" x14ac:dyDescent="0.2">
      <c r="A8" s="715" t="s">
        <v>1179</v>
      </c>
      <c r="B8" s="1750">
        <f>'Revenues 9-14'!G5</f>
        <v>118511</v>
      </c>
      <c r="C8" s="585">
        <v>7006</v>
      </c>
      <c r="D8" s="1753">
        <f t="shared" si="0"/>
        <v>111505</v>
      </c>
      <c r="E8" s="585">
        <v>433018</v>
      </c>
      <c r="F8" s="1753">
        <f t="shared" si="1"/>
        <v>426012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50342</v>
      </c>
      <c r="C10" s="585">
        <v>1748</v>
      </c>
      <c r="D10" s="1753">
        <f t="shared" si="0"/>
        <v>48594</v>
      </c>
      <c r="E10" s="585">
        <v>108038</v>
      </c>
      <c r="F10" s="1753">
        <f t="shared" si="1"/>
        <v>106290</v>
      </c>
    </row>
    <row r="11" spans="1:6" x14ac:dyDescent="0.2">
      <c r="A11" s="715" t="s">
        <v>409</v>
      </c>
      <c r="B11" s="1750">
        <f>'Revenues 9-14'!J5</f>
        <v>560237</v>
      </c>
      <c r="C11" s="585">
        <v>17798</v>
      </c>
      <c r="D11" s="1753">
        <f t="shared" si="0"/>
        <v>542439</v>
      </c>
      <c r="E11" s="585">
        <v>1100047</v>
      </c>
      <c r="F11" s="1753">
        <f t="shared" si="1"/>
        <v>1082249</v>
      </c>
    </row>
    <row r="12" spans="1:6" ht="13.7" customHeight="1" x14ac:dyDescent="0.2">
      <c r="A12" s="715" t="s">
        <v>157</v>
      </c>
      <c r="B12" s="1750">
        <f>'Revenues 9-14'!K5</f>
        <v>50342</v>
      </c>
      <c r="C12" s="585">
        <v>1748</v>
      </c>
      <c r="D12" s="1753">
        <f t="shared" si="0"/>
        <v>48594</v>
      </c>
      <c r="E12" s="585">
        <v>108038</v>
      </c>
      <c r="F12" s="1753">
        <f t="shared" si="1"/>
        <v>106290</v>
      </c>
    </row>
    <row r="13" spans="1:6" ht="13.7" customHeight="1" x14ac:dyDescent="0.2">
      <c r="A13" s="715" t="s">
        <v>936</v>
      </c>
      <c r="B13" s="1750">
        <f>SUM('Revenues 9-14'!C6:D6)</f>
        <v>50342</v>
      </c>
      <c r="C13" s="585">
        <v>1748</v>
      </c>
      <c r="D13" s="1753">
        <f t="shared" si="0"/>
        <v>48594</v>
      </c>
      <c r="E13" s="585">
        <v>108038</v>
      </c>
      <c r="F13" s="1753">
        <f t="shared" si="1"/>
        <v>106290</v>
      </c>
    </row>
    <row r="14" spans="1:6" ht="13.7" customHeight="1" x14ac:dyDescent="0.2">
      <c r="A14" s="715" t="s">
        <v>410</v>
      </c>
      <c r="B14" s="1750">
        <f>SUM('Revenues 9-14'!C7:D7,'Revenues 9-14'!F7:H7)</f>
        <v>40354</v>
      </c>
      <c r="C14" s="585">
        <v>1398</v>
      </c>
      <c r="D14" s="1753">
        <f t="shared" si="0"/>
        <v>38956</v>
      </c>
      <c r="E14" s="585">
        <v>86431</v>
      </c>
      <c r="F14" s="1753">
        <f t="shared" si="1"/>
        <v>85033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169823</v>
      </c>
      <c r="C16" s="585">
        <v>7090</v>
      </c>
      <c r="D16" s="1753">
        <f t="shared" si="0"/>
        <v>162733</v>
      </c>
      <c r="E16" s="585">
        <v>438204</v>
      </c>
      <c r="F16" s="1753">
        <f t="shared" si="1"/>
        <v>431114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3968106</v>
      </c>
      <c r="C19" s="1751">
        <f>SUM(C4:C18)</f>
        <v>140269</v>
      </c>
      <c r="D19" s="1751">
        <f>SUM(D4:D18)</f>
        <v>3827837</v>
      </c>
      <c r="E19" s="1751">
        <f>SUM(E4:E18)</f>
        <v>8669866</v>
      </c>
      <c r="F19" s="1751">
        <f>SUM(F4:F18)</f>
        <v>8529597</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17" colorId="8" zoomScaleNormal="10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1800</v>
      </c>
      <c r="B2" s="2206"/>
      <c r="C2" s="1884" t="s">
        <v>1952</v>
      </c>
      <c r="D2" s="723" t="s">
        <v>1953</v>
      </c>
      <c r="E2" s="723" t="s">
        <v>1954</v>
      </c>
      <c r="F2" s="1884" t="s">
        <v>1955</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2080</v>
      </c>
      <c r="B31" s="733">
        <v>39692</v>
      </c>
      <c r="C31" s="734">
        <v>2700000</v>
      </c>
      <c r="D31" s="735">
        <v>4</v>
      </c>
      <c r="E31" s="734">
        <v>695000</v>
      </c>
      <c r="F31" s="734"/>
      <c r="G31" s="734"/>
      <c r="H31" s="734">
        <v>695000</v>
      </c>
      <c r="I31" s="1756">
        <f>((E31+F31)-H31)+G31</f>
        <v>0</v>
      </c>
      <c r="J31" s="734"/>
      <c r="K31" s="736"/>
    </row>
    <row r="32" spans="1:11" ht="12" customHeight="1" x14ac:dyDescent="0.2">
      <c r="A32" s="732" t="s">
        <v>2081</v>
      </c>
      <c r="B32" s="733">
        <v>41061</v>
      </c>
      <c r="C32" s="734">
        <v>3055000</v>
      </c>
      <c r="D32" s="735">
        <v>4</v>
      </c>
      <c r="E32" s="734">
        <v>3055000</v>
      </c>
      <c r="F32" s="734"/>
      <c r="G32" s="734"/>
      <c r="H32" s="734"/>
      <c r="I32" s="1756">
        <f>((E32+F32)-H32)+G32</f>
        <v>3055000</v>
      </c>
      <c r="J32" s="734">
        <v>2941549</v>
      </c>
      <c r="K32" s="736"/>
    </row>
    <row r="33" spans="1:11" ht="12" customHeight="1" x14ac:dyDescent="0.2">
      <c r="A33" s="732" t="s">
        <v>2082</v>
      </c>
      <c r="B33" s="733"/>
      <c r="C33" s="734"/>
      <c r="D33" s="735">
        <v>7</v>
      </c>
      <c r="E33" s="734">
        <v>128719</v>
      </c>
      <c r="F33" s="734"/>
      <c r="G33" s="734"/>
      <c r="H33" s="734">
        <v>69525</v>
      </c>
      <c r="I33" s="1756">
        <f t="shared" ref="I33:I48" si="1">((E33+F33)-H33)+G33</f>
        <v>59194</v>
      </c>
      <c r="J33" s="734">
        <v>59194</v>
      </c>
      <c r="K33" s="736"/>
    </row>
    <row r="34" spans="1:11" ht="12" customHeight="1" x14ac:dyDescent="0.2">
      <c r="A34" s="732" t="s">
        <v>2083</v>
      </c>
      <c r="B34" s="733">
        <v>42803</v>
      </c>
      <c r="C34" s="734">
        <v>4750000</v>
      </c>
      <c r="D34" s="735">
        <v>4</v>
      </c>
      <c r="E34" s="734">
        <v>4660000</v>
      </c>
      <c r="F34" s="734"/>
      <c r="G34" s="734"/>
      <c r="H34" s="734">
        <v>130000</v>
      </c>
      <c r="I34" s="1756">
        <f t="shared" si="1"/>
        <v>4530000</v>
      </c>
      <c r="J34" s="734">
        <v>4530000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10505000</v>
      </c>
      <c r="D49" s="745"/>
      <c r="E49" s="1756">
        <f t="shared" ref="E49:J49" si="2">SUM(E31:E48)</f>
        <v>8538719</v>
      </c>
      <c r="F49" s="1756">
        <f t="shared" si="2"/>
        <v>0</v>
      </c>
      <c r="G49" s="1756">
        <f t="shared" si="2"/>
        <v>0</v>
      </c>
      <c r="H49" s="1756">
        <f t="shared" si="2"/>
        <v>894525</v>
      </c>
      <c r="I49" s="1756">
        <f t="shared" si="2"/>
        <v>7644194</v>
      </c>
      <c r="J49" s="1756">
        <f t="shared" si="2"/>
        <v>7530743</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t="s">
        <v>2084</v>
      </c>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H31:H48 E31:E48 C35: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J28" sqref="J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1810</v>
      </c>
      <c r="K2" s="762" t="s">
        <v>138</v>
      </c>
    </row>
    <row r="3" spans="1:11" x14ac:dyDescent="0.2">
      <c r="A3" s="2227" t="s">
        <v>1960</v>
      </c>
      <c r="B3" s="2228"/>
      <c r="C3" s="2228"/>
      <c r="D3" s="2228"/>
      <c r="E3" s="2229"/>
      <c r="F3" s="763"/>
      <c r="G3" s="764"/>
      <c r="H3" s="764"/>
      <c r="I3" s="764"/>
      <c r="J3" s="765">
        <v>486444</v>
      </c>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v>40354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9190</v>
      </c>
    </row>
    <row r="8" spans="1:11" x14ac:dyDescent="0.2">
      <c r="A8" s="778" t="s">
        <v>345</v>
      </c>
      <c r="B8" s="779"/>
      <c r="C8" s="779"/>
      <c r="D8" s="779"/>
      <c r="E8" s="780"/>
      <c r="F8" s="770" t="s">
        <v>851</v>
      </c>
      <c r="G8" s="782"/>
      <c r="H8" s="782"/>
      <c r="I8" s="782"/>
      <c r="J8" s="765">
        <v>1001008</v>
      </c>
      <c r="K8" s="769"/>
    </row>
    <row r="9" spans="1:11" x14ac:dyDescent="0.2">
      <c r="A9" s="778" t="s">
        <v>138</v>
      </c>
      <c r="B9" s="779"/>
      <c r="C9" s="779"/>
      <c r="D9" s="779"/>
      <c r="E9" s="780"/>
      <c r="F9" s="777" t="s">
        <v>853</v>
      </c>
      <c r="G9" s="782"/>
      <c r="H9" s="771"/>
      <c r="I9" s="771"/>
      <c r="J9" s="781"/>
      <c r="K9" s="765">
        <v>30327</v>
      </c>
    </row>
    <row r="10" spans="1:11" x14ac:dyDescent="0.2">
      <c r="A10" s="2248" t="s">
        <v>1811</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40354</v>
      </c>
      <c r="I12" s="1758">
        <f>SUM(I5:I11)</f>
        <v>0</v>
      </c>
      <c r="J12" s="1758">
        <f>SUM(J5:J11)</f>
        <v>1001008</v>
      </c>
      <c r="K12" s="1758">
        <f>SUM(K5:K11)</f>
        <v>39517</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v>40354</v>
      </c>
      <c r="I14" s="771"/>
      <c r="J14" s="773"/>
      <c r="K14" s="765">
        <v>39517</v>
      </c>
    </row>
    <row r="15" spans="1:11" x14ac:dyDescent="0.2">
      <c r="A15" s="2221" t="s">
        <v>4</v>
      </c>
      <c r="B15" s="2221"/>
      <c r="C15" s="2221"/>
      <c r="D15" s="2221"/>
      <c r="E15" s="2249"/>
      <c r="F15" s="789" t="s">
        <v>855</v>
      </c>
      <c r="G15" s="771"/>
      <c r="H15" s="764"/>
      <c r="I15" s="764"/>
      <c r="J15" s="765">
        <v>733846</v>
      </c>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1807</v>
      </c>
      <c r="B19" s="2256"/>
      <c r="C19" s="2256"/>
      <c r="D19" s="2256"/>
      <c r="E19" s="2257"/>
      <c r="F19" s="789" t="s">
        <v>933</v>
      </c>
      <c r="G19" s="782"/>
      <c r="H19" s="782"/>
      <c r="I19" s="782"/>
      <c r="J19" s="765"/>
      <c r="K19" s="795"/>
    </row>
    <row r="20" spans="1:11" x14ac:dyDescent="0.2">
      <c r="A20" s="2235" t="s">
        <v>1812</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1813</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40354</v>
      </c>
      <c r="I23" s="1758">
        <f>SUM(I14:I16,I21,I22)</f>
        <v>0</v>
      </c>
      <c r="J23" s="1758">
        <f>SUM(J14:J16,J21,J22)</f>
        <v>733846</v>
      </c>
      <c r="K23" s="1758">
        <f>SUM(K14:K16,K21,K22)</f>
        <v>39517</v>
      </c>
    </row>
    <row r="24" spans="1:11" ht="14.25" thickTop="1" thickBot="1" x14ac:dyDescent="0.25">
      <c r="A24" s="2242" t="s">
        <v>1961</v>
      </c>
      <c r="B24" s="2241"/>
      <c r="C24" s="2241"/>
      <c r="D24" s="2241"/>
      <c r="E24" s="2241"/>
      <c r="F24" s="1762"/>
      <c r="G24" s="1763">
        <f>SUM(G3,G12)-G23</f>
        <v>0</v>
      </c>
      <c r="H24" s="1763">
        <f>SUM(H3,H12)-H23</f>
        <v>0</v>
      </c>
      <c r="I24" s="1763">
        <f>SUM(I3,I12)-I23</f>
        <v>0</v>
      </c>
      <c r="J24" s="1763">
        <f>SUM(J3,J12)-J23</f>
        <v>753606</v>
      </c>
      <c r="K24" s="1763">
        <f>SUM(K3,K12)-K23</f>
        <v>0</v>
      </c>
    </row>
    <row r="25" spans="1:11" ht="13.5" thickTop="1" x14ac:dyDescent="0.2">
      <c r="A25" s="798" t="s">
        <v>420</v>
      </c>
      <c r="B25" s="799"/>
      <c r="C25" s="799"/>
      <c r="D25" s="799"/>
      <c r="E25" s="800"/>
      <c r="F25" s="801">
        <v>714</v>
      </c>
      <c r="G25" s="802"/>
      <c r="H25" s="802"/>
      <c r="I25" s="802"/>
      <c r="J25" s="797">
        <v>753606</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1906</v>
      </c>
      <c r="B1" s="2261"/>
      <c r="C1" s="2262"/>
      <c r="D1" s="826"/>
      <c r="E1" s="827"/>
      <c r="F1" s="827"/>
      <c r="G1" s="828"/>
      <c r="H1" s="829"/>
      <c r="I1" s="830"/>
      <c r="J1" s="2258"/>
      <c r="K1" s="2259"/>
      <c r="L1" s="2259"/>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253690</v>
      </c>
      <c r="D5" s="841"/>
      <c r="E5" s="841"/>
      <c r="F5" s="1760">
        <f>(C5+D5)-E5</f>
        <v>253690</v>
      </c>
      <c r="G5" s="837"/>
      <c r="H5" s="842"/>
      <c r="I5" s="842"/>
      <c r="J5" s="842"/>
      <c r="K5" s="793"/>
      <c r="L5" s="1769">
        <f>F5-K5</f>
        <v>253690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24097103</v>
      </c>
      <c r="D8" s="844">
        <v>1608423</v>
      </c>
      <c r="E8" s="844"/>
      <c r="F8" s="1760">
        <f>(C8+D8)-E8</f>
        <v>25705526</v>
      </c>
      <c r="G8" s="843">
        <v>50</v>
      </c>
      <c r="H8" s="765">
        <v>14013072</v>
      </c>
      <c r="I8" s="765">
        <v>321069</v>
      </c>
      <c r="J8" s="765"/>
      <c r="K8" s="1769">
        <f>(H8+I8)-J8</f>
        <v>14334141</v>
      </c>
      <c r="L8" s="1769">
        <f>F8-K8</f>
        <v>11371385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7267229</v>
      </c>
      <c r="D10" s="846"/>
      <c r="E10" s="846"/>
      <c r="F10" s="1764">
        <f>(C10+D10)-E10</f>
        <v>7267229</v>
      </c>
      <c r="G10" s="843">
        <v>20</v>
      </c>
      <c r="H10" s="847">
        <v>2934322</v>
      </c>
      <c r="I10" s="847">
        <v>313878</v>
      </c>
      <c r="J10" s="847"/>
      <c r="K10" s="1769">
        <f>(H10+I10)-J10</f>
        <v>3248200</v>
      </c>
      <c r="L10" s="1769">
        <f>F10-K10</f>
        <v>4019029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2823073</v>
      </c>
      <c r="D12" s="844">
        <v>30827</v>
      </c>
      <c r="E12" s="844"/>
      <c r="F12" s="1760">
        <f>(C12+D12)-E12</f>
        <v>2853900</v>
      </c>
      <c r="G12" s="843">
        <v>10</v>
      </c>
      <c r="H12" s="765">
        <v>1870907</v>
      </c>
      <c r="I12" s="765">
        <v>210994</v>
      </c>
      <c r="J12" s="765"/>
      <c r="K12" s="1769">
        <f>(H12+I12)-J12</f>
        <v>2081901</v>
      </c>
      <c r="L12" s="1769">
        <f>F12-K12</f>
        <v>771999</v>
      </c>
    </row>
    <row r="13" spans="1:14" ht="14.25" thickTop="1" thickBot="1" x14ac:dyDescent="0.25">
      <c r="A13" s="848" t="s">
        <v>1122</v>
      </c>
      <c r="B13" s="840">
        <v>252</v>
      </c>
      <c r="C13" s="844">
        <v>2592253</v>
      </c>
      <c r="D13" s="844">
        <v>206266</v>
      </c>
      <c r="E13" s="844"/>
      <c r="F13" s="1760">
        <f>(C13+D13)-E13</f>
        <v>2798519</v>
      </c>
      <c r="G13" s="843">
        <v>5</v>
      </c>
      <c r="H13" s="765">
        <v>2284516</v>
      </c>
      <c r="I13" s="765">
        <v>168779</v>
      </c>
      <c r="J13" s="765"/>
      <c r="K13" s="1769">
        <f>(H13+I13)-J13</f>
        <v>2453295</v>
      </c>
      <c r="L13" s="1769">
        <f>F13-K13</f>
        <v>345224</v>
      </c>
    </row>
    <row r="14" spans="1:14" ht="14.25" thickTop="1" thickBot="1" x14ac:dyDescent="0.25">
      <c r="A14" s="848" t="s">
        <v>1123</v>
      </c>
      <c r="B14" s="840">
        <v>253</v>
      </c>
      <c r="C14" s="765">
        <v>15643</v>
      </c>
      <c r="D14" s="765"/>
      <c r="E14" s="765"/>
      <c r="F14" s="1760">
        <f>(C14+D14)-E14</f>
        <v>15643</v>
      </c>
      <c r="G14" s="843">
        <v>3</v>
      </c>
      <c r="H14" s="765">
        <v>8829</v>
      </c>
      <c r="I14" s="765">
        <v>5214</v>
      </c>
      <c r="J14" s="765"/>
      <c r="K14" s="1769">
        <f>(H14+I14)-J14</f>
        <v>14043</v>
      </c>
      <c r="L14" s="1769">
        <f>F14-K14</f>
        <v>1600</v>
      </c>
    </row>
    <row r="15" spans="1:14" ht="15" customHeight="1" thickTop="1" thickBot="1" x14ac:dyDescent="0.25">
      <c r="A15" s="1631" t="s">
        <v>528</v>
      </c>
      <c r="B15" s="1630">
        <v>260</v>
      </c>
      <c r="C15" s="844">
        <v>544772</v>
      </c>
      <c r="D15" s="844">
        <v>524070</v>
      </c>
      <c r="E15" s="844">
        <v>486902</v>
      </c>
      <c r="F15" s="1760">
        <f>(C15+D15)-E15</f>
        <v>581940</v>
      </c>
      <c r="G15" s="849" t="s">
        <v>862</v>
      </c>
      <c r="H15" s="781"/>
      <c r="I15" s="781"/>
      <c r="J15" s="781"/>
      <c r="K15" s="781"/>
      <c r="L15" s="1769">
        <f>F15-K15</f>
        <v>581940</v>
      </c>
    </row>
    <row r="16" spans="1:14" ht="15" customHeight="1" thickTop="1" thickBot="1" x14ac:dyDescent="0.25">
      <c r="A16" s="1765" t="s">
        <v>643</v>
      </c>
      <c r="B16" s="1766">
        <v>200</v>
      </c>
      <c r="C16" s="1760">
        <f>SUM(C3,C5:C6,C8:C10,C12:C15)</f>
        <v>37593763</v>
      </c>
      <c r="D16" s="1760">
        <f>SUM(D3,D5:D6,D8:D10,D12:D15)</f>
        <v>2369586</v>
      </c>
      <c r="E16" s="1760">
        <f>SUM(E3,E5:E6,E8:E10,E12:E15)</f>
        <v>486902</v>
      </c>
      <c r="F16" s="1760">
        <f>SUM(F3,F5:F6,F8:F10,F12:F15)</f>
        <v>39476447</v>
      </c>
      <c r="G16" s="843"/>
      <c r="H16" s="1760">
        <f>SUM(H3,H6,H8:H10,H12:H14,)</f>
        <v>21111646</v>
      </c>
      <c r="I16" s="1760">
        <f>SUM(I3,I6,I8:I10,I12:I14,)</f>
        <v>1019934</v>
      </c>
      <c r="J16" s="1760">
        <f>SUM(J3,J6,J8:J10,J12:J14,)</f>
        <v>0</v>
      </c>
      <c r="K16" s="1760">
        <f>(H16+I16)-J16</f>
        <v>22131580</v>
      </c>
      <c r="L16" s="1760">
        <f>F16-K16</f>
        <v>17344867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1019934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6" activePane="bottomLeft" state="frozen"/>
      <selection activeCell="A47" sqref="A47"/>
      <selection pane="bottomLeft" activeCell="H79" sqref="H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1971</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18270419</v>
      </c>
      <c r="G8" s="865"/>
    </row>
    <row r="9" spans="1:7" x14ac:dyDescent="0.2">
      <c r="A9" s="869" t="s">
        <v>460</v>
      </c>
      <c r="B9" s="870" t="s">
        <v>1874</v>
      </c>
      <c r="C9" s="871"/>
      <c r="D9" s="869" t="s">
        <v>501</v>
      </c>
      <c r="E9" s="868"/>
      <c r="F9" s="1909">
        <f>'Expenditures 15-22'!K151</f>
        <v>1847108</v>
      </c>
      <c r="G9" s="872"/>
    </row>
    <row r="10" spans="1:7" x14ac:dyDescent="0.2">
      <c r="A10" s="869" t="s">
        <v>499</v>
      </c>
      <c r="B10" s="870" t="s">
        <v>1875</v>
      </c>
      <c r="C10" s="871"/>
      <c r="D10" s="869" t="s">
        <v>501</v>
      </c>
      <c r="E10" s="868"/>
      <c r="F10" s="1909">
        <f>'Expenditures 15-22'!K174</f>
        <v>1113972</v>
      </c>
      <c r="G10" s="872"/>
    </row>
    <row r="11" spans="1:7" x14ac:dyDescent="0.2">
      <c r="A11" s="869" t="s">
        <v>461</v>
      </c>
      <c r="B11" s="870" t="s">
        <v>1876</v>
      </c>
      <c r="C11" s="871"/>
      <c r="D11" s="869" t="s">
        <v>501</v>
      </c>
      <c r="E11" s="868"/>
      <c r="F11" s="1909">
        <f>'Expenditures 15-22'!K210</f>
        <v>1204297</v>
      </c>
      <c r="G11" s="872"/>
    </row>
    <row r="12" spans="1:7" x14ac:dyDescent="0.2">
      <c r="A12" s="869" t="s">
        <v>462</v>
      </c>
      <c r="B12" s="870" t="s">
        <v>1877</v>
      </c>
      <c r="C12" s="871"/>
      <c r="D12" s="869" t="s">
        <v>501</v>
      </c>
      <c r="E12" s="868"/>
      <c r="F12" s="1909">
        <f>'Expenditures 15-22'!K295</f>
        <v>826010</v>
      </c>
      <c r="G12" s="872"/>
    </row>
    <row r="13" spans="1:7" x14ac:dyDescent="0.2">
      <c r="A13" s="869" t="s">
        <v>106</v>
      </c>
      <c r="B13" s="870" t="s">
        <v>1878</v>
      </c>
      <c r="C13" s="871"/>
      <c r="D13" s="869" t="s">
        <v>501</v>
      </c>
      <c r="E13" s="868"/>
      <c r="F13" s="1909">
        <f>'Expenditures 15-22'!K342</f>
        <v>1011442</v>
      </c>
      <c r="G13" s="873"/>
    </row>
    <row r="14" spans="1:7" ht="12" customHeight="1" thickBot="1" x14ac:dyDescent="0.25">
      <c r="A14" s="1770"/>
      <c r="B14" s="1771"/>
      <c r="C14" s="1772"/>
      <c r="D14" s="1773" t="s">
        <v>501</v>
      </c>
      <c r="E14" s="1774" t="s">
        <v>958</v>
      </c>
      <c r="F14" s="1775">
        <f>SUM(F8:F13)</f>
        <v>24273248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165437</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139170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20334</v>
      </c>
      <c r="G52" s="865"/>
    </row>
    <row r="53" spans="1:7" x14ac:dyDescent="0.2">
      <c r="A53" s="869" t="s">
        <v>459</v>
      </c>
      <c r="B53" s="869" t="s">
        <v>1475</v>
      </c>
      <c r="C53" s="889">
        <f>'Expenditures 15-22'!B102</f>
        <v>4000</v>
      </c>
      <c r="D53" s="888" t="str">
        <f>'Expenditures 15-22'!A102</f>
        <v>Total Payments to Other Govt Units</v>
      </c>
      <c r="E53" s="868"/>
      <c r="F53" s="1913">
        <f>'Expenditures 15-22'!K102</f>
        <v>881948</v>
      </c>
      <c r="G53" s="865"/>
    </row>
    <row r="54" spans="1:7" x14ac:dyDescent="0.2">
      <c r="A54" s="869" t="s">
        <v>459</v>
      </c>
      <c r="B54" s="869" t="s">
        <v>1476</v>
      </c>
      <c r="C54" s="889" t="s">
        <v>982</v>
      </c>
      <c r="D54" s="885" t="s">
        <v>1095</v>
      </c>
      <c r="E54" s="868"/>
      <c r="F54" s="1913">
        <f>'Expenditures 15-22'!G114</f>
        <v>231891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84411</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894525</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156466</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9424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270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2583876</v>
      </c>
      <c r="G76" s="865"/>
    </row>
    <row r="77" spans="1:8" s="893" customFormat="1" ht="12" customHeight="1" thickTop="1" thickBot="1" x14ac:dyDescent="0.25">
      <c r="A77" s="1779"/>
      <c r="B77" s="1776"/>
      <c r="C77" s="1772"/>
      <c r="D77" s="1777" t="s">
        <v>1897</v>
      </c>
      <c r="E77" s="1774"/>
      <c r="F77" s="1780">
        <f>(F14-F76)</f>
        <v>21689372</v>
      </c>
      <c r="G77" s="869"/>
    </row>
    <row r="78" spans="1:8" s="893" customFormat="1" ht="12" customHeight="1" thickTop="1" x14ac:dyDescent="0.2">
      <c r="A78" s="1781"/>
      <c r="B78" s="1776"/>
      <c r="C78" s="1772"/>
      <c r="D78" s="1777" t="s">
        <v>2058</v>
      </c>
      <c r="E78" s="1774"/>
      <c r="F78" s="898">
        <v>2183.1999999999998</v>
      </c>
      <c r="G78" s="899"/>
      <c r="H78" s="869"/>
    </row>
    <row r="79" spans="1:8" s="893" customFormat="1" ht="12" customHeight="1" thickBot="1" x14ac:dyDescent="0.25">
      <c r="A79" s="1782"/>
      <c r="B79" s="1776"/>
      <c r="C79" s="1772"/>
      <c r="D79" s="1777" t="s">
        <v>1898</v>
      </c>
      <c r="E79" s="1774" t="s">
        <v>958</v>
      </c>
      <c r="F79" s="1783">
        <f>IF(F78&gt;0,F77/F78," Complete Line 78")</f>
        <v>9934.6702088677175</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188327</v>
      </c>
      <c r="G94" s="912"/>
    </row>
    <row r="95" spans="1:7" x14ac:dyDescent="0.2">
      <c r="A95" s="908" t="s">
        <v>140</v>
      </c>
      <c r="B95" s="908" t="s">
        <v>175</v>
      </c>
      <c r="C95" s="910">
        <v>1700</v>
      </c>
      <c r="D95" s="918" t="str">
        <f>'Revenues 9-14'!A82</f>
        <v>Total District/School Activity Income</v>
      </c>
      <c r="E95" s="906"/>
      <c r="F95" s="1789">
        <f>SUM('Revenues 9-14'!C82,'Revenues 9-14'!D82)</f>
        <v>89425</v>
      </c>
      <c r="G95" s="912"/>
    </row>
    <row r="96" spans="1:7" x14ac:dyDescent="0.2">
      <c r="A96" s="908" t="s">
        <v>459</v>
      </c>
      <c r="B96" s="908" t="s">
        <v>176</v>
      </c>
      <c r="C96" s="910">
        <f>'Revenues 9-14'!B84</f>
        <v>1811</v>
      </c>
      <c r="D96" s="911" t="str">
        <f>'Revenues 9-14'!A84</f>
        <v>Rentals - Regular Textbooks</v>
      </c>
      <c r="E96" s="906"/>
      <c r="F96" s="1789">
        <f>'Revenues 9-14'!C84</f>
        <v>150804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2735</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84621</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290146</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121076</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11376</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30327</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588459</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39068</v>
      </c>
      <c r="G124" s="930"/>
    </row>
    <row r="125" spans="1:7" x14ac:dyDescent="0.2">
      <c r="A125" s="927" t="s">
        <v>664</v>
      </c>
      <c r="B125" s="927" t="s">
        <v>2019</v>
      </c>
      <c r="C125" s="932">
        <v>4200</v>
      </c>
      <c r="D125" s="929" t="str">
        <f>'Revenues 9-14'!A198</f>
        <v>Total Food Service</v>
      </c>
      <c r="E125" s="906"/>
      <c r="F125" s="1789">
        <f>SUM('Revenues 9-14'!C198,'Revenues 9-14'!G198)</f>
        <v>638745</v>
      </c>
      <c r="G125" s="930"/>
    </row>
    <row r="126" spans="1:7" x14ac:dyDescent="0.2">
      <c r="A126" s="927" t="s">
        <v>668</v>
      </c>
      <c r="B126" s="927" t="s">
        <v>2020</v>
      </c>
      <c r="C126" s="932">
        <v>4300</v>
      </c>
      <c r="D126" s="933" t="str">
        <f>'Revenues 9-14'!A204</f>
        <v>Total Title I</v>
      </c>
      <c r="E126" s="906"/>
      <c r="F126" s="1789">
        <f>SUM('Revenues 9-14'!C204,'Revenues 9-14'!D204,'Revenues 9-14'!F204,'Revenues 9-14'!G204)</f>
        <v>719729</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39579</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134285</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91445</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93978</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28489</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217852</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7920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3568386</v>
      </c>
    </row>
    <row r="175" spans="1:7" ht="12" customHeight="1" x14ac:dyDescent="0.2">
      <c r="A175" s="1770"/>
      <c r="B175" s="1784"/>
      <c r="C175" s="1785"/>
      <c r="D175" s="1786" t="s">
        <v>2053</v>
      </c>
      <c r="E175" s="1787"/>
      <c r="F175" s="1789">
        <f>'PCTC-OEPP 27-28'!F77-F174</f>
        <v>18120986</v>
      </c>
    </row>
    <row r="176" spans="1:7" ht="12" customHeight="1" x14ac:dyDescent="0.2">
      <c r="A176" s="1770"/>
      <c r="B176" s="1784"/>
      <c r="C176" s="1785"/>
      <c r="D176" s="1786" t="s">
        <v>1815</v>
      </c>
      <c r="E176" s="1787"/>
      <c r="F176" s="1789">
        <f>'Cap Outlay Deprec 26'!I18</f>
        <v>1019934</v>
      </c>
    </row>
    <row r="177" spans="1:7" ht="12" customHeight="1" x14ac:dyDescent="0.2">
      <c r="A177" s="1770"/>
      <c r="B177" s="1784"/>
      <c r="C177" s="1785"/>
      <c r="D177" s="1786" t="s">
        <v>2054</v>
      </c>
      <c r="E177" s="1787"/>
      <c r="F177" s="1789">
        <f>F175+F176</f>
        <v>19140920</v>
      </c>
    </row>
    <row r="178" spans="1:7" ht="12" customHeight="1" x14ac:dyDescent="0.2">
      <c r="A178" s="1770"/>
      <c r="B178" s="1790"/>
      <c r="C178" s="1785"/>
      <c r="D178" s="1786" t="str">
        <f>D78</f>
        <v>9 Month ADA from District Average Daily Attendance/Prior General State Aid Inquiry 2018-2019</v>
      </c>
      <c r="E178" s="1787"/>
      <c r="F178" s="1791">
        <f>'PCTC-OEPP 27-28'!F78</f>
        <v>2183.1999999999998</v>
      </c>
      <c r="G178" s="930"/>
    </row>
    <row r="179" spans="1:7" ht="12" customHeight="1" thickBot="1" x14ac:dyDescent="0.25">
      <c r="A179" s="1770"/>
      <c r="B179" s="1790"/>
      <c r="C179" s="1785"/>
      <c r="D179" s="1786" t="s">
        <v>2055</v>
      </c>
      <c r="E179" s="1787" t="s">
        <v>1545</v>
      </c>
      <c r="F179" s="1792">
        <f>F177/F178</f>
        <v>8767.368999633567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D24" sqref="D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1816</v>
      </c>
      <c r="B4" s="2278"/>
      <c r="C4" s="2278"/>
      <c r="D4" s="2278"/>
      <c r="E4" s="2278"/>
      <c r="F4" s="2278"/>
      <c r="G4" s="2279"/>
    </row>
    <row r="5" spans="1:7" x14ac:dyDescent="0.25">
      <c r="A5" s="2280"/>
      <c r="B5" s="2281"/>
      <c r="C5" s="2281"/>
      <c r="D5" s="2281"/>
      <c r="E5" s="2281"/>
      <c r="F5" s="2281"/>
      <c r="G5" s="2282"/>
    </row>
    <row r="6" spans="1:7" ht="18.75" x14ac:dyDescent="0.25">
      <c r="A6" s="1534" t="s">
        <v>1817</v>
      </c>
      <c r="B6" s="1535"/>
      <c r="C6" s="1535"/>
      <c r="D6" s="1535"/>
      <c r="E6" s="1535"/>
      <c r="F6" s="1535"/>
      <c r="G6" s="1536"/>
    </row>
    <row r="7" spans="1:7" ht="30.75" customHeight="1" x14ac:dyDescent="0.25">
      <c r="A7" s="2283" t="s">
        <v>1929</v>
      </c>
      <c r="B7" s="2284"/>
      <c r="C7" s="2284"/>
      <c r="D7" s="2284"/>
      <c r="E7" s="2284"/>
      <c r="F7" s="2284"/>
      <c r="G7" s="2285"/>
    </row>
    <row r="8" spans="1:7" ht="15.75" customHeight="1" x14ac:dyDescent="0.25">
      <c r="A8" s="2286" t="s">
        <v>1904</v>
      </c>
      <c r="B8" s="2287"/>
      <c r="C8" s="2287"/>
      <c r="D8" s="2287"/>
      <c r="E8" s="2287"/>
      <c r="F8" s="2287"/>
      <c r="G8" s="2288"/>
    </row>
    <row r="9" spans="1:7" ht="35.25" customHeight="1" x14ac:dyDescent="0.25">
      <c r="A9" s="2283" t="s">
        <v>2061</v>
      </c>
      <c r="B9" s="2284"/>
      <c r="C9" s="2284"/>
      <c r="D9" s="2284"/>
      <c r="E9" s="2284"/>
      <c r="F9" s="2284"/>
      <c r="G9" s="2285"/>
    </row>
    <row r="10" spans="1:7" ht="15" customHeight="1" x14ac:dyDescent="0.25">
      <c r="A10" s="1537" t="s">
        <v>1818</v>
      </c>
      <c r="B10" s="1538"/>
      <c r="C10" s="1538"/>
      <c r="D10" s="1538"/>
      <c r="E10" s="1538"/>
      <c r="F10" s="1538"/>
      <c r="G10" s="1539"/>
    </row>
    <row r="11" spans="1:7" ht="17.25" customHeight="1" x14ac:dyDescent="0.25">
      <c r="A11" s="2283" t="s">
        <v>1931</v>
      </c>
      <c r="B11" s="2284"/>
      <c r="C11" s="2284"/>
      <c r="D11" s="2284"/>
      <c r="E11" s="2284"/>
      <c r="F11" s="2284"/>
      <c r="G11" s="2285"/>
    </row>
    <row r="12" spans="1:7" ht="15" customHeight="1" x14ac:dyDescent="0.25">
      <c r="A12" s="1537" t="s">
        <v>1823</v>
      </c>
      <c r="B12" s="1538"/>
      <c r="C12" s="1538"/>
      <c r="D12" s="1538"/>
      <c r="E12" s="1538"/>
      <c r="F12" s="1538"/>
      <c r="G12" s="1539"/>
    </row>
    <row r="13" spans="1:7" ht="32.25" customHeight="1" x14ac:dyDescent="0.25">
      <c r="A13" s="2274" t="s">
        <v>1972</v>
      </c>
      <c r="B13" s="2275"/>
      <c r="C13" s="2275"/>
      <c r="D13" s="2275"/>
      <c r="E13" s="2275"/>
      <c r="F13" s="2275"/>
      <c r="G13" s="2276"/>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2088</v>
      </c>
      <c r="B17" s="1938" t="s">
        <v>2091</v>
      </c>
      <c r="C17" s="1939" t="s">
        <v>2095</v>
      </c>
      <c r="D17" s="1844">
        <v>12824</v>
      </c>
      <c r="E17" s="1540">
        <f t="shared" ref="E17:E141" si="0">IF(D17&lt;=25000,D17,IF(D17&gt;25000,25000,0))</f>
        <v>12824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12824</v>
      </c>
      <c r="G17" s="1793">
        <f>IF(F17=0,0,D17-F17)</f>
        <v>0</v>
      </c>
      <c r="H17" s="1647"/>
    </row>
    <row r="18" spans="1:8" x14ac:dyDescent="0.25">
      <c r="A18" s="1937" t="s">
        <v>2088</v>
      </c>
      <c r="B18" s="1938" t="s">
        <v>2091</v>
      </c>
      <c r="C18" s="1939" t="s">
        <v>2096</v>
      </c>
      <c r="D18" s="1844">
        <v>10415</v>
      </c>
      <c r="E18" s="1540">
        <f t="shared" ref="E18:E140" si="2">IF(D18&lt;=25000,D18,IF(D18&gt;25000,25000,0))</f>
        <v>10415</v>
      </c>
      <c r="F18" s="1932">
        <f t="shared" si="1"/>
        <v>10415</v>
      </c>
      <c r="G18" s="1793">
        <f t="shared" ref="G18:G140" si="3">IF(F18=0,0,D18-F18)</f>
        <v>0</v>
      </c>
    </row>
    <row r="19" spans="1:8" x14ac:dyDescent="0.25">
      <c r="A19" s="1937" t="s">
        <v>2088</v>
      </c>
      <c r="B19" s="1938" t="s">
        <v>2092</v>
      </c>
      <c r="C19" s="1939" t="s">
        <v>2097</v>
      </c>
      <c r="D19" s="1844">
        <v>7674</v>
      </c>
      <c r="E19" s="1540">
        <f t="shared" si="2"/>
        <v>7674</v>
      </c>
      <c r="F19" s="1932">
        <f t="shared" si="1"/>
        <v>7674</v>
      </c>
      <c r="G19" s="1793">
        <f t="shared" si="3"/>
        <v>0</v>
      </c>
    </row>
    <row r="20" spans="1:8" x14ac:dyDescent="0.25">
      <c r="A20" s="1937" t="s">
        <v>2089</v>
      </c>
      <c r="B20" s="1938" t="s">
        <v>2093</v>
      </c>
      <c r="C20" s="1939" t="s">
        <v>2098</v>
      </c>
      <c r="D20" s="1844">
        <v>6175</v>
      </c>
      <c r="E20" s="1540">
        <f t="shared" si="2"/>
        <v>6175</v>
      </c>
      <c r="F20" s="1932">
        <f t="shared" si="1"/>
        <v>6175</v>
      </c>
      <c r="G20" s="1793">
        <f t="shared" si="3"/>
        <v>0</v>
      </c>
    </row>
    <row r="21" spans="1:8" x14ac:dyDescent="0.25">
      <c r="A21" s="1937" t="s">
        <v>2089</v>
      </c>
      <c r="B21" s="1938" t="s">
        <v>2093</v>
      </c>
      <c r="C21" s="1939" t="s">
        <v>2099</v>
      </c>
      <c r="D21" s="1844">
        <v>24394</v>
      </c>
      <c r="E21" s="1540">
        <f t="shared" si="2"/>
        <v>24394</v>
      </c>
      <c r="F21" s="1932">
        <f t="shared" si="1"/>
        <v>24394</v>
      </c>
      <c r="G21" s="1793">
        <f t="shared" si="3"/>
        <v>0</v>
      </c>
    </row>
    <row r="22" spans="1:8" x14ac:dyDescent="0.25">
      <c r="A22" s="1937" t="s">
        <v>2089</v>
      </c>
      <c r="B22" s="1938" t="s">
        <v>2093</v>
      </c>
      <c r="C22" s="1939" t="s">
        <v>2100</v>
      </c>
      <c r="D22" s="1844">
        <v>292</v>
      </c>
      <c r="E22" s="1540">
        <f t="shared" si="2"/>
        <v>292</v>
      </c>
      <c r="F22" s="1932">
        <f t="shared" si="1"/>
        <v>292</v>
      </c>
      <c r="G22" s="1793">
        <f t="shared" si="3"/>
        <v>0</v>
      </c>
    </row>
    <row r="23" spans="1:8" x14ac:dyDescent="0.25">
      <c r="A23" s="1937" t="s">
        <v>2090</v>
      </c>
      <c r="B23" s="1938" t="s">
        <v>2094</v>
      </c>
      <c r="C23" s="1939" t="s">
        <v>2101</v>
      </c>
      <c r="D23" s="1844">
        <v>604581</v>
      </c>
      <c r="E23" s="1540">
        <f t="shared" si="2"/>
        <v>25000</v>
      </c>
      <c r="F23" s="1932">
        <f t="shared" si="1"/>
        <v>25000</v>
      </c>
      <c r="G23" s="1793">
        <f t="shared" si="3"/>
        <v>579581</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666355</v>
      </c>
      <c r="E141" s="1541">
        <f t="shared" si="0"/>
        <v>25000</v>
      </c>
      <c r="F141" s="1933">
        <f>SUM(F17:F140)</f>
        <v>86774</v>
      </c>
      <c r="G141" s="1795">
        <f>SUM(G17:G140)</f>
        <v>579581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631624</v>
      </c>
      <c r="F10" s="974"/>
      <c r="G10" s="975"/>
      <c r="H10" s="162"/>
      <c r="I10" s="162"/>
    </row>
    <row r="11" spans="1:9" s="668" customFormat="1" ht="22.5" customHeight="1" x14ac:dyDescent="0.2">
      <c r="A11" s="2294" t="s">
        <v>1973</v>
      </c>
      <c r="B11" s="2295"/>
      <c r="C11" s="2295"/>
      <c r="D11" s="2296"/>
      <c r="E11" s="977">
        <v>72669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13445700</v>
      </c>
      <c r="F19" s="1799"/>
      <c r="G19" s="1801">
        <f>'Expenditures 15-22'!K33-SUM('Expenditures 15-22'!G33,'Expenditures 15-22'!I33)+'Expenditures 15-22'!D229</f>
        <v>13445700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914738</v>
      </c>
      <c r="F21" s="1802"/>
      <c r="G21" s="1805">
        <f>'Expenditures 15-22'!K42-SUM('Expenditures 15-22'!G42,'Expenditures 15-22'!I42)+'Expenditures 15-22'!K120-SUM('Expenditures 15-22'!G120,'Expenditures 15-22'!I120)+'Expenditures 15-22'!K180-SUM('Expenditures 15-22'!G180,'Expenditures 15-22'!I180)+'Expenditures 15-22'!D238</f>
        <v>914738</v>
      </c>
      <c r="H21" s="987"/>
      <c r="I21" s="162"/>
    </row>
    <row r="22" spans="1:9" s="668" customFormat="1" ht="12" customHeight="1" x14ac:dyDescent="0.2">
      <c r="A22" s="994" t="s">
        <v>564</v>
      </c>
      <c r="B22" s="995"/>
      <c r="C22" s="993">
        <v>2200</v>
      </c>
      <c r="D22" s="1802"/>
      <c r="E22" s="1804">
        <f>'Expenditures 15-22'!K47-SUM('Expenditures 15-22'!G47,'Expenditures 15-22'!I47)+'Expenditures 15-22'!D243</f>
        <v>1029874</v>
      </c>
      <c r="F22" s="1802"/>
      <c r="G22" s="1805">
        <f>'Expenditures 15-22'!K47-SUM('Expenditures 15-22'!G47,'Expenditures 15-22'!I47)+'Expenditures 15-22'!D243</f>
        <v>1029874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1368204</v>
      </c>
      <c r="F23" s="1802"/>
      <c r="G23" s="1804">
        <f>'Expenditures 15-22'!K53-SUM('Expenditures 15-22'!G53,'Expenditures 15-22'!I53)+'Expenditures 15-22'!D257+'Expenditures 15-22'!K330-SUM('Expenditures 15-22'!G330,'Expenditures 15-22'!I330)</f>
        <v>1368204</v>
      </c>
      <c r="H23" s="987"/>
      <c r="I23" s="162"/>
    </row>
    <row r="24" spans="1:9" s="668" customFormat="1" ht="12" customHeight="1" x14ac:dyDescent="0.2">
      <c r="A24" s="994" t="s">
        <v>566</v>
      </c>
      <c r="B24" s="995"/>
      <c r="C24" s="993">
        <v>2400</v>
      </c>
      <c r="D24" s="1802"/>
      <c r="E24" s="1804">
        <f>'Expenditures 15-22'!K57-SUM('Expenditures 15-22'!G57,'Expenditures 15-22'!I57)+'Expenditures 15-22'!D261</f>
        <v>926932</v>
      </c>
      <c r="F24" s="1802"/>
      <c r="G24" s="1805">
        <f>'Expenditures 15-22'!K57-SUM('Expenditures 15-22'!G57,'Expenditures 15-22'!I57)+'Expenditures 15-22'!D261</f>
        <v>926932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42268</v>
      </c>
      <c r="E26" s="1804">
        <f>'Expenditures 15-22'!K122-SUM('Expenditures 15-22'!G122,'Expenditures 15-22'!I122)+E7</f>
        <v>0</v>
      </c>
      <c r="F26" s="1804">
        <f>'Expenditures 15-22'!K59-SUM('Expenditures 15-22'!G59,'Expenditures 15-22'!I59)+'Expenditures 15-22'!D263-E7</f>
        <v>42268</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218387</v>
      </c>
      <c r="E27" s="1804">
        <f>E8</f>
        <v>0</v>
      </c>
      <c r="F27" s="1804">
        <f>'Expenditures 15-22'!K60-SUM('Expenditures 15-22'!G60,'Expenditures 15-22'!I60)+'Expenditures 15-22'!D264-E8</f>
        <v>218387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1901909</v>
      </c>
      <c r="F28" s="1806">
        <f>'Expenditures 15-22'!K61-SUM('Expenditures 15-22'!G61,'Expenditures 15-22'!I61)+'Expenditures 15-22'!K124-SUM('Expenditures 15-22'!G124,'Expenditures 15-22'!I124)+'Expenditures 15-22'!D266-E9</f>
        <v>1901909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1279965</v>
      </c>
      <c r="F29" s="1802"/>
      <c r="G29" s="1805">
        <f>'Expenditures 15-22'!K62-SUM('Expenditures 15-22'!G62,'Expenditures 15-22'!I62)+'Expenditures 15-22'!K125-SUM('Expenditures 15-22'!G125,'Expenditures 15-22'!I125)+'Expenditures 15-22'!K182-SUM('Expenditures 15-22'!G182,'Expenditures 15-22'!I182)+'Expenditures 15-22'!D267</f>
        <v>1279965</v>
      </c>
      <c r="H29" s="985"/>
    </row>
    <row r="30" spans="1:9" ht="12" customHeight="1" x14ac:dyDescent="0.2">
      <c r="A30" s="994" t="s">
        <v>100</v>
      </c>
      <c r="B30" s="997"/>
      <c r="C30" s="993">
        <v>2560</v>
      </c>
      <c r="D30" s="1802"/>
      <c r="E30" s="1804">
        <f>'Expenditures 15-22'!K63-SUM('Expenditures 15-22'!G63,'Expenditures 15-22'!I63)+'Expenditures 15-22'!D268-E10</f>
        <v>24355</v>
      </c>
      <c r="F30" s="1802"/>
      <c r="G30" s="1804">
        <f>'Expenditures 15-22'!K63-SUM('Expenditures 15-22'!G63,'Expenditures 15-22'!I63)+'Expenditures 15-22'!D268-E10</f>
        <v>24355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20604</v>
      </c>
      <c r="F39" s="1802"/>
      <c r="G39" s="1804">
        <f>'Expenditures 15-22'!K75-SUM('Expenditures 15-22'!G75,'Expenditures 15-22'!I75)+'Expenditures 15-22'!K130-SUM('Expenditures 15-22'!G130,'Expenditures 15-22'!I130)+'Expenditures 15-22'!K185-SUM('Expenditures 15-22'!G185,'Expenditures 15-22'!I185)+'Expenditures 15-22'!D280</f>
        <v>20604</v>
      </c>
    </row>
    <row r="40" spans="1:7" ht="12" customHeight="1" x14ac:dyDescent="0.2">
      <c r="A40" s="990" t="s">
        <v>1821</v>
      </c>
      <c r="B40" s="991"/>
      <c r="C40" s="993"/>
      <c r="D40" s="1802"/>
      <c r="E40" s="1806">
        <f>-'Contracts Paid in CY 29'!G141</f>
        <v>-579581</v>
      </c>
      <c r="F40" s="1802"/>
      <c r="G40" s="1806">
        <f>-'Contracts Paid in CY 29'!G141</f>
        <v>-579581</v>
      </c>
    </row>
    <row r="41" spans="1:7" ht="12" customHeight="1" x14ac:dyDescent="0.2">
      <c r="A41" s="998" t="s">
        <v>156</v>
      </c>
      <c r="B41" s="999"/>
      <c r="C41" s="1000"/>
      <c r="D41" s="1806">
        <f>SUM(D19:D39)</f>
        <v>260655</v>
      </c>
      <c r="E41" s="1806">
        <f>SUM(E19:E40)</f>
        <v>20332700</v>
      </c>
      <c r="F41" s="1806">
        <f>SUM(F19:F39)</f>
        <v>2162564</v>
      </c>
      <c r="G41" s="1806">
        <f>SUM(G19:G40)</f>
        <v>18430791</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260655</v>
      </c>
      <c r="F43" s="1807" t="s">
        <v>473</v>
      </c>
      <c r="G43" s="1808">
        <f>F41</f>
        <v>2162564</v>
      </c>
    </row>
    <row r="44" spans="1:7" ht="12" customHeight="1" x14ac:dyDescent="0.2">
      <c r="A44" s="987"/>
      <c r="B44" s="162"/>
      <c r="C44" s="1001"/>
      <c r="D44" s="1807" t="s">
        <v>474</v>
      </c>
      <c r="E44" s="1808">
        <f>E41</f>
        <v>20332700</v>
      </c>
      <c r="F44" s="1807" t="s">
        <v>474</v>
      </c>
      <c r="G44" s="1808">
        <f>G41</f>
        <v>18430791</v>
      </c>
    </row>
    <row r="45" spans="1:7" ht="12" customHeight="1" x14ac:dyDescent="0.2">
      <c r="A45" s="987"/>
      <c r="B45" s="162"/>
      <c r="C45" s="162"/>
      <c r="D45" s="1809" t="s">
        <v>1006</v>
      </c>
      <c r="E45" s="1810">
        <f>(E43/E44)</f>
        <v>1.2819497656484382E-2</v>
      </c>
      <c r="F45" s="1809" t="s">
        <v>1006</v>
      </c>
      <c r="G45" s="1810">
        <f>(G43/G44)</f>
        <v>0.11733430214688019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7" activePane="bottomLeft" state="frozen"/>
      <selection activeCell="A47" sqref="A47"/>
      <selection pane="bottomLeft" activeCell="F19" sqref="F1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Canton Union SD 66</v>
      </c>
      <c r="D6" s="2304"/>
      <c r="E6" s="2304"/>
      <c r="F6" s="1852"/>
    </row>
    <row r="7" spans="1:10" ht="11.25" customHeight="1" thickBot="1" x14ac:dyDescent="0.3">
      <c r="A7" s="1850"/>
      <c r="B7" s="1851"/>
      <c r="C7" s="2305">
        <f>COVER!A13</f>
        <v>26029066025</v>
      </c>
      <c r="D7" s="2305"/>
      <c r="E7" s="2305"/>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2071</v>
      </c>
      <c r="D16" s="1865" t="s">
        <v>2071</v>
      </c>
      <c r="E16" s="1868"/>
      <c r="F16" s="1867" t="s">
        <v>2087</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2071</v>
      </c>
      <c r="D26" s="1865" t="s">
        <v>2071</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2071</v>
      </c>
      <c r="D31" s="1865" t="s">
        <v>2071</v>
      </c>
      <c r="E31" s="1868"/>
      <c r="F31" s="1867" t="s">
        <v>2085</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13" colorId="8" zoomScale="110" zoomScaleNormal="110" workbookViewId="0">
      <selection activeCell="J23" sqref="J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Canton Union SD 66</v>
      </c>
      <c r="J6" s="2325"/>
      <c r="Q6" s="1664"/>
    </row>
    <row r="7" spans="1:17" x14ac:dyDescent="0.2">
      <c r="A7" s="2326" t="s">
        <v>869</v>
      </c>
      <c r="B7" s="2327"/>
      <c r="C7" s="2327"/>
      <c r="D7" s="2327"/>
      <c r="E7" s="2328"/>
      <c r="F7" s="1017"/>
      <c r="G7" s="1009"/>
      <c r="H7" s="1016" t="s">
        <v>372</v>
      </c>
      <c r="I7" s="2329">
        <f>COVER!A13</f>
        <v>26029066025</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205617</v>
      </c>
      <c r="F12" s="1039"/>
      <c r="G12" s="1811">
        <f t="shared" ref="G12:G18" si="0">SUM(E12:F12)</f>
        <v>205617</v>
      </c>
      <c r="H12" s="1040">
        <v>211540</v>
      </c>
      <c r="I12" s="1039"/>
      <c r="J12" s="1811">
        <f t="shared" ref="J12:J18" si="1">SUM(H12:I12)</f>
        <v>211540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37241</v>
      </c>
      <c r="F15" s="1811">
        <f>'Expenditures 15-22'!K122</f>
        <v>0</v>
      </c>
      <c r="G15" s="1811">
        <f t="shared" si="0"/>
        <v>37241</v>
      </c>
      <c r="H15" s="1040">
        <v>41400</v>
      </c>
      <c r="I15" s="1040"/>
      <c r="J15" s="1811">
        <f t="shared" si="1"/>
        <v>41400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242858</v>
      </c>
      <c r="F19" s="1813">
        <f t="shared" si="2"/>
        <v>0</v>
      </c>
      <c r="G19" s="1813">
        <f t="shared" si="2"/>
        <v>242858</v>
      </c>
      <c r="H19" s="1813">
        <f t="shared" si="2"/>
        <v>252940</v>
      </c>
      <c r="I19" s="1813">
        <f t="shared" si="2"/>
        <v>0</v>
      </c>
      <c r="J19" s="1813">
        <f t="shared" si="2"/>
        <v>252940</v>
      </c>
    </row>
    <row r="20" spans="1:10" ht="13.5" thickTop="1" x14ac:dyDescent="0.2">
      <c r="A20" s="1035">
        <v>9</v>
      </c>
      <c r="B20" s="2336" t="s">
        <v>1977</v>
      </c>
      <c r="C20" s="2336"/>
      <c r="D20" s="2337"/>
      <c r="E20" s="1046"/>
      <c r="F20" s="1046"/>
      <c r="G20" s="1046"/>
      <c r="H20" s="1046"/>
      <c r="I20" s="1046"/>
      <c r="J20" s="1814">
        <f>IF(AND(G19&gt;0,J19&gt;0),(((J19-G19)/G19)),"Enter Budget Data")</f>
        <v>4.151397112716073E-2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1979</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40" t="s">
        <v>2102</v>
      </c>
    </row>
    <row r="6" spans="1:2" x14ac:dyDescent="0.2">
      <c r="A6" s="1068">
        <v>2</v>
      </c>
      <c r="B6" s="1940" t="s">
        <v>2103</v>
      </c>
    </row>
    <row r="7" spans="1:2" x14ac:dyDescent="0.2">
      <c r="A7" s="1068"/>
      <c r="B7" s="1940" t="s">
        <v>2104</v>
      </c>
    </row>
    <row r="8" spans="1:2" x14ac:dyDescent="0.2">
      <c r="A8" s="1068"/>
      <c r="B8" s="1940" t="s">
        <v>2105</v>
      </c>
    </row>
    <row r="9" spans="1:2" x14ac:dyDescent="0.2">
      <c r="A9" s="1069"/>
      <c r="B9" s="1940" t="s">
        <v>2108</v>
      </c>
    </row>
    <row r="10" spans="1:2" x14ac:dyDescent="0.2">
      <c r="A10" s="1069"/>
      <c r="B10" s="1940" t="s">
        <v>2106</v>
      </c>
    </row>
    <row r="11" spans="1:2" x14ac:dyDescent="0.2">
      <c r="A11" s="1068">
        <v>3</v>
      </c>
      <c r="B11" s="1940" t="s">
        <v>2109</v>
      </c>
    </row>
    <row r="12" spans="1:2" x14ac:dyDescent="0.2">
      <c r="A12" s="1068">
        <v>4</v>
      </c>
      <c r="B12" s="1940" t="s">
        <v>2192</v>
      </c>
    </row>
    <row r="13" spans="1:2" x14ac:dyDescent="0.2">
      <c r="A13" s="1068">
        <v>5</v>
      </c>
      <c r="B13" s="1940" t="s">
        <v>2107</v>
      </c>
    </row>
    <row r="14" spans="1:2" x14ac:dyDescent="0.2">
      <c r="A14" s="1068">
        <v>6</v>
      </c>
      <c r="B14" s="1940" t="s">
        <v>2110</v>
      </c>
    </row>
    <row r="15" spans="1:2" x14ac:dyDescent="0.2">
      <c r="A15" s="1068">
        <v>7</v>
      </c>
      <c r="B15" s="1940" t="s">
        <v>2193</v>
      </c>
    </row>
    <row r="16" spans="1:2" x14ac:dyDescent="0.2">
      <c r="A16" s="1068"/>
      <c r="B16" s="1940"/>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Canton Union SD 66</v>
      </c>
    </row>
    <row r="65" spans="2:2" x14ac:dyDescent="0.2">
      <c r="B65" s="1070">
        <f>COVER!A13</f>
        <v>26029066025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9:F27"/>
  <sheetViews>
    <sheetView showGridLines="0" zoomScale="110" zoomScaleNormal="110" workbookViewId="0">
      <selection activeCell="C14" sqref="C14"/>
    </sheetView>
  </sheetViews>
  <sheetFormatPr defaultRowHeight="12.75" x14ac:dyDescent="0.2"/>
  <cols>
    <col min="1" max="1" width="1.85546875" style="329" customWidth="1"/>
    <col min="2" max="2" width="59.7109375" style="329" customWidth="1"/>
    <col min="3" max="16384" width="9.140625" style="329"/>
  </cols>
  <sheetData>
    <row r="19" spans="1:6" x14ac:dyDescent="0.2">
      <c r="B19" s="1071"/>
      <c r="C19" s="1071"/>
      <c r="D19" s="1071"/>
      <c r="E19" s="1071"/>
      <c r="F19"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3" t="s">
        <v>1685</v>
      </c>
      <c r="B27" s="2343"/>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1983</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1984</v>
      </c>
      <c r="B4" s="2364"/>
      <c r="C4" s="2364"/>
      <c r="D4" s="2364"/>
      <c r="E4" s="2364"/>
      <c r="F4" s="2365"/>
      <c r="G4" s="1074"/>
      <c r="H4" s="1074"/>
    </row>
    <row r="5" spans="1:8" ht="14.25" customHeight="1" x14ac:dyDescent="0.2">
      <c r="A5" s="2366" t="s">
        <v>1980</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17278077</v>
      </c>
      <c r="C8" s="1815">
        <f>'Acct Summary 7-8'!D8</f>
        <v>1453682</v>
      </c>
      <c r="D8" s="1815">
        <f>'Acct Summary 7-8'!F8</f>
        <v>1062212</v>
      </c>
      <c r="E8" s="1815">
        <f>'Acct Summary 7-8'!I8</f>
        <v>72074</v>
      </c>
      <c r="F8" s="1815">
        <f>SUM(B8:E8)</f>
        <v>19866045</v>
      </c>
    </row>
    <row r="9" spans="1:8" s="1079" customFormat="1" ht="14.25" customHeight="1" thickBot="1" x14ac:dyDescent="0.25">
      <c r="A9" s="1078" t="s">
        <v>1369</v>
      </c>
      <c r="B9" s="1816">
        <f>'Acct Summary 7-8'!C17</f>
        <v>18270419</v>
      </c>
      <c r="C9" s="1816">
        <f>'Acct Summary 7-8'!D17</f>
        <v>1847108</v>
      </c>
      <c r="D9" s="1816">
        <f>'Acct Summary 7-8'!F17</f>
        <v>1204297</v>
      </c>
      <c r="E9" s="1815"/>
      <c r="F9" s="1815">
        <f>SUM(B9:E9)</f>
        <v>21321824</v>
      </c>
    </row>
    <row r="10" spans="1:8" s="1079" customFormat="1" ht="14.25" thickTop="1" thickBot="1" x14ac:dyDescent="0.25">
      <c r="A10" s="1080" t="s">
        <v>1370</v>
      </c>
      <c r="B10" s="1817">
        <f>(B8-B9)</f>
        <v>-992342</v>
      </c>
      <c r="C10" s="1817">
        <f>(C8-C9)</f>
        <v>-393426</v>
      </c>
      <c r="D10" s="1817">
        <f>(D8-D9)</f>
        <v>-142085</v>
      </c>
      <c r="E10" s="1816">
        <f>(E8-E9)</f>
        <v>72074</v>
      </c>
      <c r="F10" s="1818">
        <f>SUM(F8-F9)</f>
        <v>-1455779</v>
      </c>
    </row>
    <row r="11" spans="1:8" s="1079" customFormat="1" ht="14.25" thickTop="1" thickBot="1" x14ac:dyDescent="0.25">
      <c r="A11" s="1081" t="s">
        <v>1981</v>
      </c>
      <c r="B11" s="1819">
        <f>'Acct Summary 7-8'!C81</f>
        <v>9041558</v>
      </c>
      <c r="C11" s="1819">
        <f>'Acct Summary 7-8'!D81</f>
        <v>229982</v>
      </c>
      <c r="D11" s="1819">
        <f>'Acct Summary 7-8'!F81</f>
        <v>678778</v>
      </c>
      <c r="E11" s="1819">
        <f>'Acct Summary 7-8'!I81</f>
        <v>1345224</v>
      </c>
      <c r="F11" s="1820">
        <f>SUM(B11:E11)</f>
        <v>11295542</v>
      </c>
    </row>
    <row r="12" spans="1:8" ht="16.5" customHeight="1" thickTop="1" x14ac:dyDescent="0.2">
      <c r="A12" s="1082"/>
      <c r="B12" s="1083"/>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26029066025</v>
      </c>
    </row>
    <row r="3" spans="1:2" x14ac:dyDescent="0.2">
      <c r="A3" t="s">
        <v>956</v>
      </c>
      <c r="B3" s="138" t="str">
        <f>COVER!A15</f>
        <v>Fulton</v>
      </c>
    </row>
    <row r="4" spans="1:2" x14ac:dyDescent="0.2">
      <c r="A4" t="s">
        <v>1007</v>
      </c>
      <c r="B4" s="138" t="str">
        <f>COVER!A17</f>
        <v>Canton Union SD 66</v>
      </c>
    </row>
    <row r="5" spans="1:2" x14ac:dyDescent="0.2">
      <c r="A5" t="s">
        <v>704</v>
      </c>
      <c r="B5" s="138" t="str">
        <f>COVER!A38</f>
        <v>Rolf Sivertsen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4873818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9041558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7624007</v>
      </c>
      <c r="D92" s="2" t="str">
        <f t="shared" si="0"/>
        <v>Error?</v>
      </c>
    </row>
    <row r="93" spans="1:4" x14ac:dyDescent="0.2">
      <c r="A93" s="5">
        <v>32</v>
      </c>
      <c r="B93" s="138">
        <f>'Assets-Liab 5-6'!C41</f>
        <v>9041558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229982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229982</v>
      </c>
      <c r="D123" s="2" t="str">
        <f t="shared" si="0"/>
        <v>Error?</v>
      </c>
    </row>
    <row r="124" spans="1:4" x14ac:dyDescent="0.2">
      <c r="A124" s="5">
        <v>63</v>
      </c>
      <c r="B124" s="138">
        <f>'Assets-Liab 5-6'!D41</f>
        <v>229982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113451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113451</v>
      </c>
      <c r="D140" s="2" t="str">
        <f t="shared" si="1"/>
        <v>Error?</v>
      </c>
    </row>
    <row r="141" spans="1:4" x14ac:dyDescent="0.2">
      <c r="A141" s="5">
        <v>80</v>
      </c>
      <c r="B141" s="138">
        <f>'Assets-Liab 5-6'!E41</f>
        <v>113451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678778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678778</v>
      </c>
      <c r="D170" s="2" t="str">
        <f t="shared" si="1"/>
        <v>Error?</v>
      </c>
    </row>
    <row r="171" spans="1:4" x14ac:dyDescent="0.2">
      <c r="A171" s="5">
        <v>110</v>
      </c>
      <c r="B171" s="138">
        <f>'Assets-Liab 5-6'!F41</f>
        <v>678778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366350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-755</v>
      </c>
      <c r="D189" s="2" t="str">
        <f t="shared" si="1"/>
        <v>Error?</v>
      </c>
    </row>
    <row r="190" spans="1:4" x14ac:dyDescent="0.2">
      <c r="A190" s="5">
        <v>129</v>
      </c>
      <c r="B190" s="138">
        <f>'Assets-Liab 5-6'!G41</f>
        <v>366350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1198330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444724</v>
      </c>
      <c r="D212" s="2" t="str">
        <f t="shared" si="2"/>
        <v>Error?</v>
      </c>
    </row>
    <row r="213" spans="1:4" x14ac:dyDescent="0.2">
      <c r="A213" s="12">
        <v>152</v>
      </c>
      <c r="B213" s="138">
        <f>'Assets-Liab 5-6'!H41</f>
        <v>1198330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25705526</v>
      </c>
      <c r="D273" s="2" t="str">
        <f t="shared" si="3"/>
        <v>Error?</v>
      </c>
    </row>
    <row r="274" spans="1:4" x14ac:dyDescent="0.2">
      <c r="A274" s="5">
        <v>213</v>
      </c>
      <c r="B274" s="138">
        <f>'Assets-Liab 5-6'!M17</f>
        <v>7267229</v>
      </c>
      <c r="D274" s="2" t="str">
        <f t="shared" si="3"/>
        <v>Error?</v>
      </c>
    </row>
    <row r="275" spans="1:4" x14ac:dyDescent="0.2">
      <c r="A275" s="5">
        <v>214</v>
      </c>
      <c r="B275" s="138">
        <f>'Assets-Liab 5-6'!M18</f>
        <v>5668062</v>
      </c>
      <c r="D275" s="2" t="str">
        <f t="shared" si="3"/>
        <v>Error?</v>
      </c>
    </row>
    <row r="276" spans="1:4" x14ac:dyDescent="0.2">
      <c r="A276" s="5">
        <v>215</v>
      </c>
      <c r="B276" s="138">
        <f>'Assets-Liab 5-6'!M19</f>
        <v>581940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39476447</v>
      </c>
      <c r="C279" s="2" t="s">
        <v>573</v>
      </c>
      <c r="D279" s="2" t="str">
        <f t="shared" si="3"/>
        <v>Error?</v>
      </c>
    </row>
    <row r="280" spans="1:4" x14ac:dyDescent="0.2">
      <c r="A280" s="5">
        <v>219</v>
      </c>
      <c r="B280" s="138">
        <f>'Assets-Liab 5-6'!M40</f>
        <v>39476447</v>
      </c>
      <c r="D280" s="2" t="str">
        <f t="shared" si="3"/>
        <v>Error?</v>
      </c>
    </row>
    <row r="281" spans="1:4" x14ac:dyDescent="0.2">
      <c r="A281" s="5">
        <v>220</v>
      </c>
      <c r="B281" s="138">
        <f>'Assets-Liab 5-6'!M41</f>
        <v>39476447</v>
      </c>
      <c r="C281" s="2" t="s">
        <v>573</v>
      </c>
      <c r="D281" s="2" t="str">
        <f t="shared" si="3"/>
        <v>Error?</v>
      </c>
    </row>
    <row r="282" spans="1:4" x14ac:dyDescent="0.2">
      <c r="A282" s="5">
        <v>221</v>
      </c>
      <c r="B282" s="138">
        <f>'Assets-Liab 5-6'!N21</f>
        <v>113451</v>
      </c>
      <c r="D282" s="2" t="str">
        <f t="shared" si="3"/>
        <v>Error?</v>
      </c>
    </row>
    <row r="283" spans="1:4" x14ac:dyDescent="0.2">
      <c r="A283" s="5">
        <v>222</v>
      </c>
      <c r="B283" s="138">
        <f>'Assets-Liab 5-6'!N22</f>
        <v>7530743</v>
      </c>
      <c r="D283" s="2" t="str">
        <f t="shared" si="3"/>
        <v>Error?</v>
      </c>
    </row>
    <row r="284" spans="1:4" x14ac:dyDescent="0.2">
      <c r="A284" s="5">
        <v>223</v>
      </c>
      <c r="B284" s="138">
        <f>'Assets-Liab 5-6'!N23</f>
        <v>7644194</v>
      </c>
      <c r="C284" s="2" t="s">
        <v>573</v>
      </c>
      <c r="D284" s="2" t="str">
        <f t="shared" si="3"/>
        <v>Error?</v>
      </c>
    </row>
    <row r="285" spans="1:4" x14ac:dyDescent="0.2">
      <c r="A285" s="5">
        <v>224</v>
      </c>
      <c r="B285" s="138">
        <f>'Assets-Liab 5-6'!N36</f>
        <v>7644194</v>
      </c>
      <c r="D285" s="2" t="str">
        <f t="shared" si="3"/>
        <v>Error?</v>
      </c>
    </row>
    <row r="286" spans="1:4" x14ac:dyDescent="0.2">
      <c r="A286" s="10">
        <v>225</v>
      </c>
      <c r="D286" s="2" t="str">
        <f t="shared" si="3"/>
        <v>OK</v>
      </c>
    </row>
    <row r="287" spans="1:4" x14ac:dyDescent="0.2">
      <c r="A287" s="5">
        <v>226</v>
      </c>
      <c r="B287" s="138">
        <f>'Assets-Liab 5-6'!N37</f>
        <v>7644194</v>
      </c>
      <c r="C287" s="2" t="s">
        <v>573</v>
      </c>
      <c r="D287" s="2" t="str">
        <f t="shared" si="3"/>
        <v>Error?</v>
      </c>
    </row>
    <row r="288" spans="1:4" x14ac:dyDescent="0.2">
      <c r="A288" s="5">
        <v>227</v>
      </c>
      <c r="B288" s="138">
        <f>'Assets-Liab 5-6'!N41</f>
        <v>7644194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6061867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296005</v>
      </c>
      <c r="D717" s="2" t="str">
        <f t="shared" si="10"/>
        <v>Error?</v>
      </c>
    </row>
    <row r="718" spans="1:4" x14ac:dyDescent="0.2">
      <c r="A718" s="5">
        <v>657</v>
      </c>
      <c r="B718" s="138">
        <f>'Expenditures 15-22'!C14</f>
        <v>324516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10163577</v>
      </c>
      <c r="C720" s="2" t="s">
        <v>573</v>
      </c>
      <c r="D720" s="2" t="str">
        <f t="shared" si="10"/>
        <v>Error?</v>
      </c>
    </row>
    <row r="721" spans="1:4" x14ac:dyDescent="0.2">
      <c r="A721" s="5">
        <v>660</v>
      </c>
      <c r="B721" s="138">
        <f>'Expenditures 15-22'!C36</f>
        <v>93219</v>
      </c>
      <c r="D721" s="2" t="str">
        <f t="shared" si="10"/>
        <v>Error?</v>
      </c>
    </row>
    <row r="722" spans="1:4" x14ac:dyDescent="0.2">
      <c r="A722" s="5">
        <v>661</v>
      </c>
      <c r="B722" s="138">
        <f>'Expenditures 15-22'!C37</f>
        <v>317700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162323</v>
      </c>
      <c r="D724" s="2" t="str">
        <f t="shared" si="10"/>
        <v>Error?</v>
      </c>
    </row>
    <row r="725" spans="1:4" x14ac:dyDescent="0.2">
      <c r="A725" s="5">
        <v>664</v>
      </c>
      <c r="B725" s="138">
        <f>'Expenditures 15-22'!C40</f>
        <v>227532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800774</v>
      </c>
      <c r="C727" s="2" t="s">
        <v>573</v>
      </c>
      <c r="D727" s="2" t="str">
        <f t="shared" si="10"/>
        <v>Error?</v>
      </c>
    </row>
    <row r="728" spans="1:4" x14ac:dyDescent="0.2">
      <c r="A728" s="5">
        <v>667</v>
      </c>
      <c r="B728" s="138">
        <f>'Expenditures 15-22'!C44</f>
        <v>159634</v>
      </c>
      <c r="D728" s="2" t="str">
        <f t="shared" si="10"/>
        <v>Error?</v>
      </c>
    </row>
    <row r="729" spans="1:4" x14ac:dyDescent="0.2">
      <c r="A729" s="5">
        <v>668</v>
      </c>
      <c r="B729" s="138">
        <f>'Expenditures 15-22'!C45</f>
        <v>443831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603465</v>
      </c>
      <c r="C731" s="2" t="s">
        <v>573</v>
      </c>
      <c r="D731" s="2" t="str">
        <f t="shared" si="10"/>
        <v>Error?</v>
      </c>
    </row>
    <row r="732" spans="1:4" x14ac:dyDescent="0.2">
      <c r="A732" s="5">
        <v>671</v>
      </c>
      <c r="B732" s="138">
        <f>'Expenditures 15-22'!C49</f>
        <v>9696</v>
      </c>
      <c r="D732" s="2" t="str">
        <f t="shared" si="10"/>
        <v>Error?</v>
      </c>
    </row>
    <row r="733" spans="1:4" x14ac:dyDescent="0.2">
      <c r="A733" s="5">
        <v>672</v>
      </c>
      <c r="B733" s="138">
        <f>'Expenditures 15-22'!C50</f>
        <v>162363</v>
      </c>
      <c r="D733" s="2" t="str">
        <f t="shared" si="10"/>
        <v>Error?</v>
      </c>
    </row>
    <row r="734" spans="1:4" x14ac:dyDescent="0.2">
      <c r="A734" s="5">
        <v>673</v>
      </c>
      <c r="B734" s="138">
        <f>'Expenditures 15-22'!C53</f>
        <v>172059</v>
      </c>
      <c r="C734" s="2" t="s">
        <v>573</v>
      </c>
      <c r="D734" s="2" t="str">
        <f t="shared" si="10"/>
        <v>Error?</v>
      </c>
    </row>
    <row r="735" spans="1:4" x14ac:dyDescent="0.2">
      <c r="A735" s="5">
        <v>674</v>
      </c>
      <c r="B735" s="138">
        <f>'Expenditures 15-22'!C55</f>
        <v>718658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718658</v>
      </c>
      <c r="C737" s="2" t="s">
        <v>573</v>
      </c>
      <c r="D737" s="2" t="str">
        <f t="shared" si="10"/>
        <v>Error?</v>
      </c>
    </row>
    <row r="738" spans="1:4" x14ac:dyDescent="0.2">
      <c r="A738" s="5">
        <v>677</v>
      </c>
      <c r="B738" s="138">
        <f>'Expenditures 15-22'!C59</f>
        <v>36175</v>
      </c>
      <c r="D738" s="2" t="str">
        <f t="shared" si="10"/>
        <v>Error?</v>
      </c>
    </row>
    <row r="739" spans="1:4" x14ac:dyDescent="0.2">
      <c r="A739" s="5">
        <v>678</v>
      </c>
      <c r="B739" s="138">
        <f>'Expenditures 15-22'!C60</f>
        <v>169844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35778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241797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2536753</v>
      </c>
      <c r="C755" s="2" t="s">
        <v>573</v>
      </c>
      <c r="D755" s="2" t="str">
        <f t="shared" si="10"/>
        <v>Error?</v>
      </c>
    </row>
    <row r="756" spans="1:4" x14ac:dyDescent="0.2">
      <c r="A756" s="5">
        <v>695</v>
      </c>
      <c r="B756" s="138">
        <f>'Expenditures 15-22'!C75</f>
        <v>10493</v>
      </c>
      <c r="D756" s="2" t="str">
        <f t="shared" si="10"/>
        <v>Error?</v>
      </c>
    </row>
    <row r="757" spans="1:4" x14ac:dyDescent="0.2">
      <c r="A757" s="5">
        <v>696</v>
      </c>
      <c r="B757" s="138">
        <f>'Expenditures 15-22'!C114</f>
        <v>12710823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973995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57877</v>
      </c>
      <c r="D775" s="2" t="str">
        <f t="shared" si="11"/>
        <v>Error?</v>
      </c>
    </row>
    <row r="776" spans="1:4" x14ac:dyDescent="0.2">
      <c r="A776" s="5">
        <v>715</v>
      </c>
      <c r="B776" s="138">
        <f>'Expenditures 15-22'!D14</f>
        <v>21937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1709451</v>
      </c>
      <c r="C778" s="2" t="s">
        <v>573</v>
      </c>
      <c r="D778" s="2" t="str">
        <f t="shared" si="11"/>
        <v>Error?</v>
      </c>
    </row>
    <row r="779" spans="1:4" x14ac:dyDescent="0.2">
      <c r="A779" s="5">
        <v>718</v>
      </c>
      <c r="B779" s="138">
        <f>'Expenditures 15-22'!D36</f>
        <v>8791</v>
      </c>
      <c r="D779" s="2" t="str">
        <f t="shared" si="11"/>
        <v>Error?</v>
      </c>
    </row>
    <row r="780" spans="1:4" x14ac:dyDescent="0.2">
      <c r="A780" s="5">
        <v>719</v>
      </c>
      <c r="B780" s="138">
        <f>'Expenditures 15-22'!D37</f>
        <v>26556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10184</v>
      </c>
      <c r="D782" s="2" t="str">
        <f t="shared" si="11"/>
        <v>Error?</v>
      </c>
    </row>
    <row r="783" spans="1:4" x14ac:dyDescent="0.2">
      <c r="A783" s="5">
        <v>722</v>
      </c>
      <c r="B783" s="138">
        <f>'Expenditures 15-22'!D40</f>
        <v>27701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73232</v>
      </c>
      <c r="C785" s="2" t="s">
        <v>573</v>
      </c>
      <c r="D785" s="2" t="str">
        <f t="shared" si="11"/>
        <v>Error?</v>
      </c>
    </row>
    <row r="786" spans="1:4" x14ac:dyDescent="0.2">
      <c r="A786" s="5">
        <v>725</v>
      </c>
      <c r="B786" s="138">
        <f>'Expenditures 15-22'!D44</f>
        <v>50660</v>
      </c>
      <c r="D786" s="2" t="str">
        <f t="shared" si="11"/>
        <v>Error?</v>
      </c>
    </row>
    <row r="787" spans="1:4" x14ac:dyDescent="0.2">
      <c r="A787" s="5">
        <v>726</v>
      </c>
      <c r="B787" s="138">
        <f>'Expenditures 15-22'!D45</f>
        <v>55388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106048</v>
      </c>
      <c r="C789" s="2" t="s">
        <v>573</v>
      </c>
      <c r="D789" s="2" t="str">
        <f t="shared" si="11"/>
        <v>Error?</v>
      </c>
    </row>
    <row r="790" spans="1:4" x14ac:dyDescent="0.2">
      <c r="A790" s="5">
        <v>729</v>
      </c>
      <c r="B790" s="138">
        <f>'Expenditures 15-22'!D49</f>
        <v>28431</v>
      </c>
      <c r="D790" s="2" t="str">
        <f t="shared" si="11"/>
        <v>Error?</v>
      </c>
    </row>
    <row r="791" spans="1:4" x14ac:dyDescent="0.2">
      <c r="A791" s="5">
        <v>730</v>
      </c>
      <c r="B791" s="138">
        <f>'Expenditures 15-22'!D50</f>
        <v>33745</v>
      </c>
      <c r="D791" s="2" t="str">
        <f t="shared" si="11"/>
        <v>Error?</v>
      </c>
    </row>
    <row r="792" spans="1:4" x14ac:dyDescent="0.2">
      <c r="A792" s="5">
        <v>731</v>
      </c>
      <c r="B792" s="138">
        <f>'Expenditures 15-22'!D53</f>
        <v>62176</v>
      </c>
      <c r="C792" s="2" t="s">
        <v>573</v>
      </c>
      <c r="D792" s="2" t="str">
        <f t="shared" si="11"/>
        <v>Error?</v>
      </c>
    </row>
    <row r="793" spans="1:4" x14ac:dyDescent="0.2">
      <c r="A793" s="5">
        <v>732</v>
      </c>
      <c r="B793" s="138">
        <f>'Expenditures 15-22'!D55</f>
        <v>158649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158649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26835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29959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430064</v>
      </c>
      <c r="C813" s="2" t="s">
        <v>573</v>
      </c>
      <c r="D813" s="2" t="str">
        <f t="shared" si="11"/>
        <v>Error?</v>
      </c>
    </row>
    <row r="814" spans="1:4" x14ac:dyDescent="0.2">
      <c r="A814" s="5">
        <v>753</v>
      </c>
      <c r="B814" s="138">
        <f>'Expenditures 15-22'!D75</f>
        <v>974</v>
      </c>
      <c r="D814" s="2" t="str">
        <f t="shared" si="11"/>
        <v>Error?</v>
      </c>
    </row>
    <row r="815" spans="1:4" x14ac:dyDescent="0.2">
      <c r="A815" s="5">
        <v>754</v>
      </c>
      <c r="B815" s="138">
        <f>'Expenditures 15-22'!D114</f>
        <v>2140489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159888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87243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563333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9597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9597</v>
      </c>
      <c r="C843" s="2" t="s">
        <v>573</v>
      </c>
      <c r="D843" s="2" t="str">
        <f t="shared" si="12"/>
        <v>Error?</v>
      </c>
    </row>
    <row r="844" spans="1:4" x14ac:dyDescent="0.2">
      <c r="A844" s="5">
        <v>783</v>
      </c>
      <c r="B844" s="138">
        <f>'Expenditures 15-22'!E44</f>
        <v>106915</v>
      </c>
      <c r="D844" s="2" t="str">
        <f t="shared" si="12"/>
        <v>Error?</v>
      </c>
    </row>
    <row r="845" spans="1:4" x14ac:dyDescent="0.2">
      <c r="A845" s="5">
        <v>784</v>
      </c>
      <c r="B845" s="138">
        <f>'Expenditures 15-22'!E45</f>
        <v>82886</v>
      </c>
      <c r="D845" s="2" t="str">
        <f t="shared" si="12"/>
        <v>Error?</v>
      </c>
    </row>
    <row r="846" spans="1:4" x14ac:dyDescent="0.2">
      <c r="A846" s="5">
        <v>785</v>
      </c>
      <c r="B846" s="138">
        <f>'Expenditures 15-22'!E46</f>
        <v>2565</v>
      </c>
      <c r="D846" s="2" t="str">
        <f t="shared" si="12"/>
        <v>Error?</v>
      </c>
    </row>
    <row r="847" spans="1:4" x14ac:dyDescent="0.2">
      <c r="A847" s="5">
        <v>786</v>
      </c>
      <c r="B847" s="138">
        <f>'Expenditures 15-22'!E47</f>
        <v>192366</v>
      </c>
      <c r="C847" s="2" t="s">
        <v>573</v>
      </c>
      <c r="D847" s="2" t="str">
        <f t="shared" si="12"/>
        <v>Error?</v>
      </c>
    </row>
    <row r="848" spans="1:4" x14ac:dyDescent="0.2">
      <c r="A848" s="5">
        <v>787</v>
      </c>
      <c r="B848" s="138">
        <f>'Expenditures 15-22'!E49</f>
        <v>66822</v>
      </c>
      <c r="D848" s="2" t="str">
        <f t="shared" si="12"/>
        <v>Error?</v>
      </c>
    </row>
    <row r="849" spans="1:4" x14ac:dyDescent="0.2">
      <c r="A849" s="5">
        <v>788</v>
      </c>
      <c r="B849" s="138">
        <f>'Expenditures 15-22'!E50</f>
        <v>4319</v>
      </c>
      <c r="D849" s="2" t="str">
        <f t="shared" si="12"/>
        <v>Error?</v>
      </c>
    </row>
    <row r="850" spans="1:4" x14ac:dyDescent="0.2">
      <c r="A850" s="5">
        <v>789</v>
      </c>
      <c r="B850" s="138">
        <f>'Expenditures 15-22'!E53</f>
        <v>71141</v>
      </c>
      <c r="C850" s="2" t="s">
        <v>573</v>
      </c>
      <c r="D850" s="2" t="str">
        <f t="shared" si="12"/>
        <v>Error?</v>
      </c>
    </row>
    <row r="851" spans="1:4" x14ac:dyDescent="0.2">
      <c r="A851" s="5">
        <v>790</v>
      </c>
      <c r="B851" s="138">
        <f>'Expenditures 15-22'!E55</f>
        <v>601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601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81365</v>
      </c>
      <c r="D857" s="2" t="str">
        <f t="shared" si="12"/>
        <v>Error?</v>
      </c>
    </row>
    <row r="858" spans="1:4" x14ac:dyDescent="0.2">
      <c r="A858" s="5">
        <v>797</v>
      </c>
      <c r="B858" s="138">
        <f>'Expenditures 15-22'!E63</f>
        <v>604581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690923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964628</v>
      </c>
      <c r="C871" s="2" t="s">
        <v>573</v>
      </c>
      <c r="D871" s="2" t="str">
        <f t="shared" si="12"/>
        <v>Error?</v>
      </c>
    </row>
    <row r="872" spans="1:4" x14ac:dyDescent="0.2">
      <c r="A872" s="5">
        <v>811</v>
      </c>
      <c r="B872" s="138">
        <f>'Expenditures 15-22'!E75</f>
        <v>1955</v>
      </c>
      <c r="D872" s="2" t="str">
        <f t="shared" si="12"/>
        <v>Error?</v>
      </c>
    </row>
    <row r="873" spans="1:4" x14ac:dyDescent="0.2">
      <c r="A873" s="5">
        <v>812</v>
      </c>
      <c r="B873" s="138">
        <f>'Expenditures 15-22'!E114</f>
        <v>1660134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326779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19602</v>
      </c>
      <c r="D891" s="2" t="str">
        <f t="shared" si="12"/>
        <v>Error?</v>
      </c>
    </row>
    <row r="892" spans="1:4" x14ac:dyDescent="0.2">
      <c r="A892" s="5">
        <v>831</v>
      </c>
      <c r="B892" s="138">
        <f>'Expenditures 15-22'!F14</f>
        <v>43917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469997</v>
      </c>
      <c r="C894" s="2" t="s">
        <v>573</v>
      </c>
      <c r="D894" s="2" t="str">
        <f t="shared" si="12"/>
        <v>Error?</v>
      </c>
    </row>
    <row r="895" spans="1:4" x14ac:dyDescent="0.2">
      <c r="A895" s="5">
        <v>834</v>
      </c>
      <c r="B895" s="138">
        <f>'Expenditures 15-22'!F36</f>
        <v>935</v>
      </c>
      <c r="D895" s="2" t="str">
        <f t="shared" ref="D895:D958" si="13">IF(ISBLANK(B895),"OK",IF(A895-B895=0,"OK","Error?"))</f>
        <v>Error?</v>
      </c>
    </row>
    <row r="896" spans="1:4" x14ac:dyDescent="0.2">
      <c r="A896" s="5">
        <v>835</v>
      </c>
      <c r="B896" s="138">
        <f>'Expenditures 15-22'!F37</f>
        <v>176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1503</v>
      </c>
      <c r="D898" s="2" t="str">
        <f t="shared" si="13"/>
        <v>Error?</v>
      </c>
    </row>
    <row r="899" spans="1:4" x14ac:dyDescent="0.2">
      <c r="A899" s="5">
        <v>838</v>
      </c>
      <c r="B899" s="138">
        <f>'Expenditures 15-22'!F40</f>
        <v>91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2705</v>
      </c>
      <c r="C901" s="2" t="s">
        <v>573</v>
      </c>
      <c r="D901" s="2" t="str">
        <f t="shared" si="13"/>
        <v>Error?</v>
      </c>
    </row>
    <row r="902" spans="1:4" x14ac:dyDescent="0.2">
      <c r="A902" s="5">
        <v>841</v>
      </c>
      <c r="B902" s="138">
        <f>'Expenditures 15-22'!F44</f>
        <v>9024</v>
      </c>
      <c r="D902" s="2" t="str">
        <f t="shared" si="13"/>
        <v>Error?</v>
      </c>
    </row>
    <row r="903" spans="1:4" x14ac:dyDescent="0.2">
      <c r="A903" s="5">
        <v>842</v>
      </c>
      <c r="B903" s="138">
        <f>'Expenditures 15-22'!F45</f>
        <v>56404</v>
      </c>
      <c r="D903" s="2" t="str">
        <f t="shared" si="13"/>
        <v>Error?</v>
      </c>
    </row>
    <row r="904" spans="1:4" x14ac:dyDescent="0.2">
      <c r="A904" s="5">
        <v>843</v>
      </c>
      <c r="B904" s="138">
        <f>'Expenditures 15-22'!F46</f>
        <v>3699</v>
      </c>
      <c r="D904" s="2" t="str">
        <f t="shared" si="13"/>
        <v>Error?</v>
      </c>
    </row>
    <row r="905" spans="1:4" x14ac:dyDescent="0.2">
      <c r="A905" s="5">
        <v>844</v>
      </c>
      <c r="B905" s="138">
        <f>'Expenditures 15-22'!F47</f>
        <v>69127</v>
      </c>
      <c r="C905" s="2" t="s">
        <v>573</v>
      </c>
      <c r="D905" s="2" t="str">
        <f t="shared" si="13"/>
        <v>Error?</v>
      </c>
    </row>
    <row r="906" spans="1:4" x14ac:dyDescent="0.2">
      <c r="A906" s="5">
        <v>845</v>
      </c>
      <c r="B906" s="138">
        <f>'Expenditures 15-22'!F49</f>
        <v>13556</v>
      </c>
      <c r="D906" s="2" t="str">
        <f t="shared" si="13"/>
        <v>Error?</v>
      </c>
    </row>
    <row r="907" spans="1:4" x14ac:dyDescent="0.2">
      <c r="A907" s="5">
        <v>846</v>
      </c>
      <c r="B907" s="138">
        <f>'Expenditures 15-22'!F50</f>
        <v>4616</v>
      </c>
      <c r="D907" s="2" t="str">
        <f t="shared" si="13"/>
        <v>Error?</v>
      </c>
    </row>
    <row r="908" spans="1:4" x14ac:dyDescent="0.2">
      <c r="A908" s="5">
        <v>847</v>
      </c>
      <c r="B908" s="138">
        <f>'Expenditures 15-22'!F53</f>
        <v>18172</v>
      </c>
      <c r="C908" s="2" t="s">
        <v>573</v>
      </c>
      <c r="D908" s="2" t="str">
        <f t="shared" si="13"/>
        <v>Error?</v>
      </c>
    </row>
    <row r="909" spans="1:4" x14ac:dyDescent="0.2">
      <c r="A909" s="5">
        <v>848</v>
      </c>
      <c r="B909" s="138">
        <f>'Expenditures 15-22'!F55</f>
        <v>780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780</v>
      </c>
      <c r="C911" s="2" t="s">
        <v>573</v>
      </c>
      <c r="D911" s="2" t="str">
        <f t="shared" si="13"/>
        <v>Error?</v>
      </c>
    </row>
    <row r="912" spans="1:4" x14ac:dyDescent="0.2">
      <c r="A912" s="5">
        <v>851</v>
      </c>
      <c r="B912" s="138">
        <f>'Expenditures 15-22'!F59</f>
        <v>731</v>
      </c>
      <c r="D912" s="2" t="str">
        <f t="shared" si="13"/>
        <v>Error?</v>
      </c>
    </row>
    <row r="913" spans="1:4" x14ac:dyDescent="0.2">
      <c r="A913" s="5">
        <v>852</v>
      </c>
      <c r="B913" s="138">
        <f>'Expenditures 15-22'!F60</f>
        <v>368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31551</v>
      </c>
      <c r="D915" s="2" t="str">
        <f t="shared" si="13"/>
        <v>Error?</v>
      </c>
    </row>
    <row r="916" spans="1:4" x14ac:dyDescent="0.2">
      <c r="A916" s="5">
        <v>855</v>
      </c>
      <c r="B916" s="138">
        <f>'Expenditures 15-22'!F63</f>
        <v>6308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38958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129742</v>
      </c>
      <c r="C929" s="2" t="s">
        <v>573</v>
      </c>
      <c r="D929" s="2" t="str">
        <f t="shared" si="13"/>
        <v>Error?</v>
      </c>
    </row>
    <row r="930" spans="1:4" x14ac:dyDescent="0.2">
      <c r="A930" s="5">
        <v>869</v>
      </c>
      <c r="B930" s="138">
        <f>'Expenditures 15-22'!F75</f>
        <v>6912</v>
      </c>
      <c r="D930" s="2" t="str">
        <f t="shared" si="13"/>
        <v>Error?</v>
      </c>
    </row>
    <row r="931" spans="1:4" x14ac:dyDescent="0.2">
      <c r="A931" s="5">
        <v>870</v>
      </c>
      <c r="B931" s="138">
        <f>'Expenditures 15-22'!F114</f>
        <v>606651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37998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28397</v>
      </c>
      <c r="D949" s="2" t="str">
        <f t="shared" si="13"/>
        <v>Error?</v>
      </c>
    </row>
    <row r="950" spans="1:4" x14ac:dyDescent="0.2">
      <c r="A950" s="5">
        <v>889</v>
      </c>
      <c r="B950" s="138">
        <f>'Expenditures 15-22'!G14</f>
        <v>32751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178445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46040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46040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190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190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7216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7216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53446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231891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7318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151468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13264</v>
      </c>
      <c r="D1022" s="2" t="str">
        <f t="shared" si="14"/>
        <v>Error?</v>
      </c>
    </row>
    <row r="1023" spans="1:4" x14ac:dyDescent="0.2">
      <c r="A1023" s="5">
        <v>962</v>
      </c>
      <c r="B1023" s="138">
        <f>'Expenditures 15-22'!H50</f>
        <v>574</v>
      </c>
      <c r="D1023" s="2" t="str">
        <f t="shared" ref="D1023:D1086" si="15">IF(ISBLANK(B1023),"OK",IF(A1023-B1023=0,"OK","Error?"))</f>
        <v>Error?</v>
      </c>
    </row>
    <row r="1024" spans="1:4" x14ac:dyDescent="0.2">
      <c r="A1024" s="5">
        <v>963</v>
      </c>
      <c r="B1024" s="138">
        <f>'Expenditures 15-22'!H53</f>
        <v>13838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335</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675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14513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751730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917711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7567897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401881</v>
      </c>
      <c r="C1105" s="2" t="s">
        <v>573</v>
      </c>
      <c r="D1105" s="2" t="str">
        <f t="shared" si="16"/>
        <v>Error?</v>
      </c>
    </row>
    <row r="1106" spans="1:4" x14ac:dyDescent="0.2">
      <c r="A1106" s="5">
        <v>1045</v>
      </c>
      <c r="B1106" s="138">
        <f>'Expenditures 15-22'!K14</f>
        <v>517682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13238991</v>
      </c>
      <c r="C1108" s="2" t="s">
        <v>573</v>
      </c>
      <c r="D1108" s="2" t="str">
        <f t="shared" si="16"/>
        <v>Error?</v>
      </c>
    </row>
    <row r="1109" spans="1:4" x14ac:dyDescent="0.2">
      <c r="A1109" s="5">
        <v>1048</v>
      </c>
      <c r="B1109" s="138">
        <f>'Expenditures 15-22'!K36</f>
        <v>102945</v>
      </c>
      <c r="C1109" s="2" t="s">
        <v>573</v>
      </c>
      <c r="D1109" s="2" t="str">
        <f t="shared" si="16"/>
        <v>Error?</v>
      </c>
    </row>
    <row r="1110" spans="1:4" x14ac:dyDescent="0.2">
      <c r="A1110" s="5">
        <v>1049</v>
      </c>
      <c r="B1110" s="138">
        <f>'Expenditures 15-22'!K37</f>
        <v>344432</v>
      </c>
      <c r="C1110" s="2" t="s">
        <v>573</v>
      </c>
      <c r="D1110" s="2" t="str">
        <f t="shared" si="16"/>
        <v>Error?</v>
      </c>
    </row>
    <row r="1111" spans="1:4" x14ac:dyDescent="0.2">
      <c r="A1111" s="5">
        <v>1050</v>
      </c>
      <c r="B1111" s="138">
        <f>'Expenditures 15-22'!K38</f>
        <v>9597</v>
      </c>
      <c r="C1111" s="2" t="s">
        <v>573</v>
      </c>
      <c r="D1111" s="2" t="str">
        <f t="shared" si="16"/>
        <v>Error?</v>
      </c>
    </row>
    <row r="1112" spans="1:4" x14ac:dyDescent="0.2">
      <c r="A1112" s="5">
        <v>1051</v>
      </c>
      <c r="B1112" s="138">
        <f>'Expenditures 15-22'!K39</f>
        <v>174010</v>
      </c>
      <c r="C1112" s="2" t="s">
        <v>573</v>
      </c>
      <c r="D1112" s="2" t="str">
        <f t="shared" si="16"/>
        <v>Error?</v>
      </c>
    </row>
    <row r="1113" spans="1:4" x14ac:dyDescent="0.2">
      <c r="A1113" s="5">
        <v>1052</v>
      </c>
      <c r="B1113" s="138">
        <f>'Expenditures 15-22'!K40</f>
        <v>255324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886308</v>
      </c>
      <c r="C1115" s="2" t="s">
        <v>573</v>
      </c>
      <c r="D1115" s="2" t="str">
        <f t="shared" si="16"/>
        <v>Error?</v>
      </c>
    </row>
    <row r="1116" spans="1:4" x14ac:dyDescent="0.2">
      <c r="A1116" s="5">
        <v>1055</v>
      </c>
      <c r="B1116" s="138">
        <f>'Expenditures 15-22'!K44</f>
        <v>326233</v>
      </c>
      <c r="C1116" s="2" t="s">
        <v>573</v>
      </c>
      <c r="D1116" s="2" t="str">
        <f t="shared" si="16"/>
        <v>Error?</v>
      </c>
    </row>
    <row r="1117" spans="1:4" x14ac:dyDescent="0.2">
      <c r="A1117" s="5">
        <v>1056</v>
      </c>
      <c r="B1117" s="138">
        <f>'Expenditures 15-22'!K45</f>
        <v>684549</v>
      </c>
      <c r="C1117" s="2" t="s">
        <v>573</v>
      </c>
      <c r="D1117" s="2" t="str">
        <f t="shared" si="16"/>
        <v>Error?</v>
      </c>
    </row>
    <row r="1118" spans="1:4" x14ac:dyDescent="0.2">
      <c r="A1118" s="5">
        <v>1057</v>
      </c>
      <c r="B1118" s="138">
        <f>'Expenditures 15-22'!K46</f>
        <v>6264</v>
      </c>
      <c r="C1118" s="2" t="s">
        <v>573</v>
      </c>
      <c r="D1118" s="2" t="str">
        <f t="shared" si="16"/>
        <v>Error?</v>
      </c>
    </row>
    <row r="1119" spans="1:4" x14ac:dyDescent="0.2">
      <c r="A1119" s="5">
        <v>1058</v>
      </c>
      <c r="B1119" s="138">
        <f>'Expenditures 15-22'!K47</f>
        <v>1017046</v>
      </c>
      <c r="C1119" s="2" t="s">
        <v>573</v>
      </c>
      <c r="D1119" s="2" t="str">
        <f t="shared" si="16"/>
        <v>Error?</v>
      </c>
    </row>
    <row r="1120" spans="1:4" x14ac:dyDescent="0.2">
      <c r="A1120" s="5">
        <v>1059</v>
      </c>
      <c r="B1120" s="138">
        <f>'Expenditures 15-22'!K49</f>
        <v>131769</v>
      </c>
      <c r="C1120" s="2" t="s">
        <v>573</v>
      </c>
      <c r="D1120" s="2" t="str">
        <f t="shared" si="16"/>
        <v>Error?</v>
      </c>
    </row>
    <row r="1121" spans="1:4" x14ac:dyDescent="0.2">
      <c r="A1121" s="5">
        <v>1060</v>
      </c>
      <c r="B1121" s="138">
        <f>'Expenditures 15-22'!K50</f>
        <v>205617</v>
      </c>
      <c r="C1121" s="2" t="s">
        <v>573</v>
      </c>
      <c r="D1121" s="2" t="str">
        <f t="shared" si="16"/>
        <v>Error?</v>
      </c>
    </row>
    <row r="1122" spans="1:4" x14ac:dyDescent="0.2">
      <c r="A1122" s="5">
        <v>1061</v>
      </c>
      <c r="B1122" s="138">
        <f>'Expenditures 15-22'!K53</f>
        <v>337386</v>
      </c>
      <c r="C1122" s="2" t="s">
        <v>573</v>
      </c>
      <c r="D1122" s="2" t="str">
        <f t="shared" si="16"/>
        <v>Error?</v>
      </c>
    </row>
    <row r="1123" spans="1:4" x14ac:dyDescent="0.2">
      <c r="A1123" s="5">
        <v>1062</v>
      </c>
      <c r="B1123" s="138">
        <f>'Expenditures 15-22'!K55</f>
        <v>878878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878878</v>
      </c>
      <c r="C1125" s="2" t="s">
        <v>573</v>
      </c>
      <c r="D1125" s="2" t="str">
        <f t="shared" si="16"/>
        <v>Error?</v>
      </c>
    </row>
    <row r="1126" spans="1:4" x14ac:dyDescent="0.2">
      <c r="A1126" s="5">
        <v>1065</v>
      </c>
      <c r="B1126" s="138">
        <f>'Expenditures 15-22'!K59</f>
        <v>37241</v>
      </c>
      <c r="C1126" s="2" t="s">
        <v>573</v>
      </c>
      <c r="D1126" s="2" t="str">
        <f t="shared" si="16"/>
        <v>Error?</v>
      </c>
    </row>
    <row r="1127" spans="1:4" x14ac:dyDescent="0.2">
      <c r="A1127" s="5">
        <v>1066</v>
      </c>
      <c r="B1127" s="138">
        <f>'Expenditures 15-22'!K60</f>
        <v>202364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112916</v>
      </c>
      <c r="C1129" s="2" t="s">
        <v>573</v>
      </c>
      <c r="D1129" s="2" t="str">
        <f t="shared" si="16"/>
        <v>Error?</v>
      </c>
    </row>
    <row r="1130" spans="1:4" x14ac:dyDescent="0.2">
      <c r="A1130" s="5">
        <v>1069</v>
      </c>
      <c r="B1130" s="138">
        <f>'Expenditures 15-22'!K63</f>
        <v>657007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1009528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4129146</v>
      </c>
      <c r="C1143" s="2" t="s">
        <v>573</v>
      </c>
      <c r="D1143" s="2" t="str">
        <f t="shared" si="16"/>
        <v>Error?</v>
      </c>
    </row>
    <row r="1144" spans="1:4" x14ac:dyDescent="0.2">
      <c r="A1144" s="5">
        <v>1083</v>
      </c>
      <c r="B1144" s="138">
        <f>'Expenditures 15-22'!K75</f>
        <v>20334</v>
      </c>
      <c r="C1144" s="2" t="s">
        <v>573</v>
      </c>
      <c r="D1144" s="2" t="str">
        <f t="shared" si="16"/>
        <v>Error?</v>
      </c>
    </row>
    <row r="1145" spans="1:4" x14ac:dyDescent="0.2">
      <c r="A1145" s="5">
        <v>1084</v>
      </c>
      <c r="B1145" s="138">
        <f>'Expenditures 15-22'!K102</f>
        <v>881948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18270419</v>
      </c>
      <c r="C1152" s="2" t="s">
        <v>573</v>
      </c>
      <c r="D1152" s="2" t="str">
        <f t="shared" si="17"/>
        <v>Error?</v>
      </c>
    </row>
    <row r="1153" spans="1:4" x14ac:dyDescent="0.2">
      <c r="A1153" s="5">
        <v>1092</v>
      </c>
      <c r="B1153" s="138">
        <f>'Expenditures 15-22'!K115</f>
        <v>-992342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869049</v>
      </c>
      <c r="D1221" s="2" t="str">
        <f t="shared" si="18"/>
        <v>Error?</v>
      </c>
    </row>
    <row r="1222" spans="1:4" x14ac:dyDescent="0.2">
      <c r="A1222" s="10">
        <v>1161</v>
      </c>
      <c r="D1222" s="2" t="str">
        <f t="shared" si="18"/>
        <v>OK</v>
      </c>
    </row>
    <row r="1223" spans="1:4" x14ac:dyDescent="0.2">
      <c r="A1223" s="5">
        <v>1162</v>
      </c>
      <c r="B1223" s="138">
        <f>'Expenditures 15-22'!C127</f>
        <v>869049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869049</v>
      </c>
      <c r="C1225" s="2" t="s">
        <v>573</v>
      </c>
      <c r="D1225" s="2" t="str">
        <f t="shared" si="18"/>
        <v>Error?</v>
      </c>
    </row>
    <row r="1226" spans="1:4" x14ac:dyDescent="0.2">
      <c r="A1226" s="5">
        <v>1165</v>
      </c>
      <c r="B1226" s="138">
        <f>'Expenditures 15-22'!C151</f>
        <v>869049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103319</v>
      </c>
      <c r="D1229" s="2" t="str">
        <f t="shared" si="18"/>
        <v>Error?</v>
      </c>
    </row>
    <row r="1230" spans="1:4" x14ac:dyDescent="0.2">
      <c r="A1230" s="10">
        <v>1169</v>
      </c>
      <c r="D1230" s="2" t="str">
        <f t="shared" si="18"/>
        <v>OK</v>
      </c>
    </row>
    <row r="1231" spans="1:4" x14ac:dyDescent="0.2">
      <c r="A1231" s="5">
        <v>1170</v>
      </c>
      <c r="B1231" s="138">
        <f>'Expenditures 15-22'!D127</f>
        <v>103319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103319</v>
      </c>
      <c r="C1233" s="2" t="s">
        <v>573</v>
      </c>
      <c r="D1233" s="2" t="str">
        <f t="shared" si="18"/>
        <v>Error?</v>
      </c>
    </row>
    <row r="1234" spans="1:4" x14ac:dyDescent="0.2">
      <c r="A1234" s="5">
        <v>1173</v>
      </c>
      <c r="B1234" s="138">
        <f>'Expenditures 15-22'!D151</f>
        <v>103319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271300</v>
      </c>
      <c r="D1237" s="2" t="str">
        <f t="shared" si="18"/>
        <v>Error?</v>
      </c>
    </row>
    <row r="1238" spans="1:4" x14ac:dyDescent="0.2">
      <c r="A1238" s="10">
        <v>1177</v>
      </c>
      <c r="D1238" s="2" t="str">
        <f t="shared" si="18"/>
        <v>OK</v>
      </c>
    </row>
    <row r="1239" spans="1:4" x14ac:dyDescent="0.2">
      <c r="A1239" s="5">
        <v>1178</v>
      </c>
      <c r="B1239" s="138">
        <f>'Expenditures 15-22'!E127</f>
        <v>271300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271300</v>
      </c>
      <c r="C1241" s="2" t="s">
        <v>573</v>
      </c>
      <c r="D1241" s="2" t="str">
        <f t="shared" si="18"/>
        <v>Error?</v>
      </c>
    </row>
    <row r="1242" spans="1:4" x14ac:dyDescent="0.2">
      <c r="A1242" s="5">
        <v>1181</v>
      </c>
      <c r="B1242" s="138">
        <f>'Expenditures 15-22'!E151</f>
        <v>271300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507639</v>
      </c>
      <c r="D1245" s="2" t="str">
        <f t="shared" si="18"/>
        <v>Error?</v>
      </c>
    </row>
    <row r="1246" spans="1:4" x14ac:dyDescent="0.2">
      <c r="A1246" s="10">
        <v>1185</v>
      </c>
      <c r="D1246" s="2" t="str">
        <f t="shared" si="18"/>
        <v>OK</v>
      </c>
    </row>
    <row r="1247" spans="1:4" x14ac:dyDescent="0.2">
      <c r="A1247" s="5">
        <v>1186</v>
      </c>
      <c r="B1247" s="138">
        <f>'Expenditures 15-22'!F127</f>
        <v>507639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507639</v>
      </c>
      <c r="C1249" s="2" t="s">
        <v>573</v>
      </c>
      <c r="D1249" s="2" t="str">
        <f t="shared" si="18"/>
        <v>Error?</v>
      </c>
    </row>
    <row r="1250" spans="1:4" x14ac:dyDescent="0.2">
      <c r="A1250" s="5">
        <v>1189</v>
      </c>
      <c r="B1250" s="138">
        <f>'Expenditures 15-22'!F151</f>
        <v>507639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84411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84411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84411</v>
      </c>
      <c r="C1258" s="2" t="s">
        <v>573</v>
      </c>
      <c r="D1258" s="2" t="str">
        <f t="shared" si="18"/>
        <v>Error?</v>
      </c>
    </row>
    <row r="1259" spans="1:4" x14ac:dyDescent="0.2">
      <c r="A1259" s="5">
        <v>1198</v>
      </c>
      <c r="B1259" s="138">
        <f>'Expenditures 15-22'!G151</f>
        <v>84411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1847108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1847108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1847108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1847108</v>
      </c>
      <c r="C1288" s="2" t="s">
        <v>573</v>
      </c>
      <c r="D1288" s="2" t="str">
        <f t="shared" si="19"/>
        <v>Error?</v>
      </c>
    </row>
    <row r="1289" spans="1:4" x14ac:dyDescent="0.2">
      <c r="A1289" s="5">
        <v>1228</v>
      </c>
      <c r="B1289" s="138">
        <f>'Expenditures 15-22'!K152</f>
        <v>-393426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218447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894525</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1113972</v>
      </c>
      <c r="C1317" s="2" t="s">
        <v>573</v>
      </c>
      <c r="D1317" s="2" t="str">
        <f t="shared" si="19"/>
        <v>Error?</v>
      </c>
    </row>
    <row r="1318" spans="1:4" x14ac:dyDescent="0.2">
      <c r="A1318" s="5">
        <v>1257</v>
      </c>
      <c r="B1318" s="138">
        <f>'Expenditures 15-22'!H174</f>
        <v>1113972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218447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894525</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1113972</v>
      </c>
      <c r="C1331" s="2" t="s">
        <v>573</v>
      </c>
      <c r="D1331" s="2" t="str">
        <f t="shared" si="19"/>
        <v>Error?</v>
      </c>
    </row>
    <row r="1332" spans="1:4" x14ac:dyDescent="0.2">
      <c r="A1332" s="5">
        <v>1271</v>
      </c>
      <c r="B1332" s="138">
        <f>'Expenditures 15-22'!K174</f>
        <v>1113972</v>
      </c>
      <c r="C1332" s="2" t="s">
        <v>573</v>
      </c>
      <c r="D1332" s="2" t="str">
        <f t="shared" si="19"/>
        <v>Error?</v>
      </c>
    </row>
    <row r="1333" spans="1:4" x14ac:dyDescent="0.2">
      <c r="A1333" s="5">
        <v>1272</v>
      </c>
      <c r="B1333" s="138">
        <f>'Expenditures 15-22'!K175</f>
        <v>-412982</v>
      </c>
      <c r="C1333" s="2" t="s">
        <v>573</v>
      </c>
      <c r="D1333" s="2" t="str">
        <f t="shared" si="19"/>
        <v>Error?</v>
      </c>
    </row>
    <row r="1334" spans="1:4" x14ac:dyDescent="0.2">
      <c r="A1334" s="10">
        <v>1273</v>
      </c>
      <c r="D1334" s="2" t="str">
        <f t="shared" si="19"/>
        <v>OK</v>
      </c>
    </row>
    <row r="1335" spans="1:4" x14ac:dyDescent="0.2">
      <c r="A1335" s="5">
        <v>1274</v>
      </c>
      <c r="B1335" s="138">
        <f>'Expenditures 15-22'!C182</f>
        <v>739252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739252</v>
      </c>
      <c r="C1339" s="2" t="s">
        <v>573</v>
      </c>
      <c r="D1339" s="2" t="str">
        <f t="shared" si="19"/>
        <v>Error?</v>
      </c>
    </row>
    <row r="1340" spans="1:4" x14ac:dyDescent="0.2">
      <c r="A1340" s="5">
        <v>1279</v>
      </c>
      <c r="B1340" s="138">
        <f>'Expenditures 15-22'!C210</f>
        <v>739252</v>
      </c>
      <c r="C1340" s="2" t="s">
        <v>573</v>
      </c>
      <c r="D1340" s="2" t="str">
        <f t="shared" si="19"/>
        <v>Error?</v>
      </c>
    </row>
    <row r="1341" spans="1:4" x14ac:dyDescent="0.2">
      <c r="A1341" s="5">
        <v>1280</v>
      </c>
      <c r="B1341" s="138">
        <f>'Expenditures 15-22'!D182</f>
        <v>66023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66023</v>
      </c>
      <c r="C1345" s="2" t="s">
        <v>573</v>
      </c>
      <c r="D1345" s="2" t="str">
        <f t="shared" si="20"/>
        <v>Error?</v>
      </c>
    </row>
    <row r="1346" spans="1:4" x14ac:dyDescent="0.2">
      <c r="A1346" s="5">
        <v>1285</v>
      </c>
      <c r="B1346" s="138">
        <f>'Expenditures 15-22'!D210</f>
        <v>66023</v>
      </c>
      <c r="C1346" s="2" t="s">
        <v>573</v>
      </c>
      <c r="D1346" s="2" t="str">
        <f t="shared" si="20"/>
        <v>Error?</v>
      </c>
    </row>
    <row r="1347" spans="1:4" x14ac:dyDescent="0.2">
      <c r="A1347" s="5">
        <v>1286</v>
      </c>
      <c r="B1347" s="138">
        <f>'Expenditures 15-22'!E182</f>
        <v>85289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85289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85289</v>
      </c>
      <c r="C1353" s="2" t="s">
        <v>573</v>
      </c>
      <c r="D1353" s="2" t="str">
        <f t="shared" si="20"/>
        <v>Error?</v>
      </c>
    </row>
    <row r="1354" spans="1:4" x14ac:dyDescent="0.2">
      <c r="A1354" s="5">
        <v>1293</v>
      </c>
      <c r="B1354" s="138">
        <f>'Expenditures 15-22'!F182</f>
        <v>157267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157267</v>
      </c>
      <c r="C1358" s="2" t="s">
        <v>573</v>
      </c>
      <c r="D1358" s="2" t="str">
        <f t="shared" si="20"/>
        <v>Error?</v>
      </c>
    </row>
    <row r="1359" spans="1:4" x14ac:dyDescent="0.2">
      <c r="A1359" s="5">
        <v>1298</v>
      </c>
      <c r="B1359" s="138">
        <f>'Expenditures 15-22'!F210</f>
        <v>157267</v>
      </c>
      <c r="C1359" s="2" t="s">
        <v>573</v>
      </c>
      <c r="D1359" s="2" t="str">
        <f t="shared" si="20"/>
        <v>Error?</v>
      </c>
    </row>
    <row r="1360" spans="1:4" x14ac:dyDescent="0.2">
      <c r="A1360" s="5">
        <v>1299</v>
      </c>
      <c r="B1360" s="138">
        <f>'Expenditures 15-22'!G182</f>
        <v>156466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156466</v>
      </c>
      <c r="C1364" s="2" t="s">
        <v>573</v>
      </c>
      <c r="D1364" s="2" t="str">
        <f t="shared" si="20"/>
        <v>Error?</v>
      </c>
    </row>
    <row r="1365" spans="1:4" x14ac:dyDescent="0.2">
      <c r="A1365" s="5">
        <v>1304</v>
      </c>
      <c r="B1365" s="138">
        <f>'Expenditures 15-22'!G210</f>
        <v>156466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1204297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1204297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1204297</v>
      </c>
      <c r="C1388" s="2" t="s">
        <v>573</v>
      </c>
      <c r="D1388" s="2" t="str">
        <f t="shared" si="20"/>
        <v>Error?</v>
      </c>
    </row>
    <row r="1389" spans="1:4" x14ac:dyDescent="0.2">
      <c r="A1389" s="5">
        <v>1328</v>
      </c>
      <c r="B1389" s="138">
        <f>'Expenditures 15-22'!K211</f>
        <v>-142085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3986</v>
      </c>
      <c r="D1407" s="2" t="str">
        <f t="shared" ref="D1407:D1470" si="21">IF(ISBLANK(B1407),"OK",IF(A1407-B1407=0,"OK","Error?"))</f>
        <v>Error?</v>
      </c>
    </row>
    <row r="1408" spans="1:4" x14ac:dyDescent="0.2">
      <c r="A1408" s="5">
        <v>1347</v>
      </c>
      <c r="B1408" s="138">
        <f>'Expenditures 15-22'!D223</f>
        <v>13874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385154</v>
      </c>
      <c r="C1410" s="2" t="s">
        <v>573</v>
      </c>
      <c r="D1410" s="2" t="str">
        <f t="shared" si="21"/>
        <v>Error?</v>
      </c>
    </row>
    <row r="1411" spans="1:4" x14ac:dyDescent="0.2">
      <c r="A1411" s="5">
        <v>1350</v>
      </c>
      <c r="B1411" s="138">
        <f>'Expenditures 15-22'!D232</f>
        <v>1335</v>
      </c>
      <c r="D1411" s="2" t="str">
        <f t="shared" si="21"/>
        <v>Error?</v>
      </c>
    </row>
    <row r="1412" spans="1:4" x14ac:dyDescent="0.2">
      <c r="A1412" s="5">
        <v>1351</v>
      </c>
      <c r="B1412" s="138">
        <f>'Expenditures 15-22'!D233</f>
        <v>15718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8216</v>
      </c>
      <c r="D1414" s="2" t="str">
        <f t="shared" si="21"/>
        <v>Error?</v>
      </c>
    </row>
    <row r="1415" spans="1:4" x14ac:dyDescent="0.2">
      <c r="A1415" s="5">
        <v>1354</v>
      </c>
      <c r="B1415" s="138">
        <f>'Expenditures 15-22'!D236</f>
        <v>3161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28430</v>
      </c>
      <c r="C1417" s="2" t="s">
        <v>573</v>
      </c>
      <c r="D1417" s="2" t="str">
        <f t="shared" si="21"/>
        <v>Error?</v>
      </c>
    </row>
    <row r="1418" spans="1:4" x14ac:dyDescent="0.2">
      <c r="A1418" s="5">
        <v>1357</v>
      </c>
      <c r="B1418" s="138">
        <f>'Expenditures 15-22'!D240</f>
        <v>3413</v>
      </c>
      <c r="D1418" s="2" t="str">
        <f t="shared" si="21"/>
        <v>Error?</v>
      </c>
    </row>
    <row r="1419" spans="1:4" x14ac:dyDescent="0.2">
      <c r="A1419" s="5">
        <v>1358</v>
      </c>
      <c r="B1419" s="138">
        <f>'Expenditures 15-22'!D241</f>
        <v>55455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58868</v>
      </c>
      <c r="C1421" s="2" t="s">
        <v>573</v>
      </c>
      <c r="D1421" s="2" t="str">
        <f t="shared" si="21"/>
        <v>Error?</v>
      </c>
    </row>
    <row r="1422" spans="1:4" x14ac:dyDescent="0.2">
      <c r="A1422" s="5">
        <v>1361</v>
      </c>
      <c r="B1422" s="138">
        <f>'Expenditures 15-22'!D245</f>
        <v>832</v>
      </c>
      <c r="D1422" s="2" t="str">
        <f t="shared" si="21"/>
        <v>Error?</v>
      </c>
    </row>
    <row r="1423" spans="1:4" x14ac:dyDescent="0.2">
      <c r="A1423" s="5">
        <v>1362</v>
      </c>
      <c r="B1423" s="138">
        <f>'Expenditures 15-22'!D246</f>
        <v>8917</v>
      </c>
      <c r="D1423" s="2" t="str">
        <f t="shared" si="21"/>
        <v>Error?</v>
      </c>
    </row>
    <row r="1424" spans="1:4" x14ac:dyDescent="0.2">
      <c r="A1424" s="5">
        <v>1363</v>
      </c>
      <c r="B1424" s="138">
        <f>'Expenditures 15-22'!D257</f>
        <v>19376</v>
      </c>
      <c r="C1424" s="2" t="s">
        <v>573</v>
      </c>
      <c r="D1424" s="2" t="str">
        <f t="shared" si="21"/>
        <v>Error?</v>
      </c>
    </row>
    <row r="1425" spans="1:4" x14ac:dyDescent="0.2">
      <c r="A1425" s="5">
        <v>1364</v>
      </c>
      <c r="B1425" s="138">
        <f>'Expenditures 15-22'!D259</f>
        <v>48244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48244</v>
      </c>
      <c r="C1427" s="2" t="s">
        <v>573</v>
      </c>
      <c r="D1427" s="2" t="str">
        <f t="shared" si="21"/>
        <v>Error?</v>
      </c>
    </row>
    <row r="1428" spans="1:4" x14ac:dyDescent="0.2">
      <c r="A1428" s="5">
        <v>1367</v>
      </c>
      <c r="B1428" s="138">
        <f>'Expenditures 15-22'!D263</f>
        <v>5027</v>
      </c>
      <c r="D1428" s="2" t="str">
        <f t="shared" si="21"/>
        <v>Error?</v>
      </c>
    </row>
    <row r="1429" spans="1:4" x14ac:dyDescent="0.2">
      <c r="A1429" s="5">
        <v>1368</v>
      </c>
      <c r="B1429" s="138">
        <f>'Expenditures 15-22'!D264</f>
        <v>16023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139212</v>
      </c>
      <c r="D1431" s="2" t="str">
        <f t="shared" si="21"/>
        <v>Error?</v>
      </c>
    </row>
    <row r="1432" spans="1:4" x14ac:dyDescent="0.2">
      <c r="A1432" s="5">
        <v>1371</v>
      </c>
      <c r="B1432" s="138">
        <f>'Expenditures 15-22'!D267</f>
        <v>119218</v>
      </c>
      <c r="D1432" s="2" t="str">
        <f t="shared" si="21"/>
        <v>Error?</v>
      </c>
    </row>
    <row r="1433" spans="1:4" x14ac:dyDescent="0.2">
      <c r="A1433" s="5">
        <v>1372</v>
      </c>
      <c r="B1433" s="138">
        <f>'Expenditures 15-22'!D268</f>
        <v>6188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285668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440586</v>
      </c>
      <c r="C1446" s="2" t="s">
        <v>573</v>
      </c>
      <c r="D1446" s="2" t="str">
        <f t="shared" si="21"/>
        <v>Error?</v>
      </c>
    </row>
    <row r="1447" spans="1:4" x14ac:dyDescent="0.2">
      <c r="A1447" s="5">
        <v>1386</v>
      </c>
      <c r="B1447" s="138">
        <f>'Expenditures 15-22'!D280</f>
        <v>270</v>
      </c>
      <c r="D1447" s="2" t="str">
        <f t="shared" si="21"/>
        <v>Error?</v>
      </c>
    </row>
    <row r="1448" spans="1:4" x14ac:dyDescent="0.2">
      <c r="A1448" s="5">
        <v>1387</v>
      </c>
      <c r="B1448" s="138">
        <f>'Expenditures 15-22'!D295</f>
        <v>826010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3986</v>
      </c>
      <c r="C1471" s="2" t="s">
        <v>573</v>
      </c>
      <c r="D1471" s="2" t="str">
        <f t="shared" ref="D1471:D1534" si="22">IF(ISBLANK(B1471),"OK",IF(A1471-B1471=0,"OK","Error?"))</f>
        <v>Error?</v>
      </c>
    </row>
    <row r="1472" spans="1:4" x14ac:dyDescent="0.2">
      <c r="A1472" s="5">
        <v>1411</v>
      </c>
      <c r="B1472" s="138">
        <f>'Expenditures 15-22'!K223</f>
        <v>13874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385154</v>
      </c>
      <c r="C1474" s="2" t="s">
        <v>573</v>
      </c>
      <c r="D1474" s="2" t="str">
        <f t="shared" si="22"/>
        <v>Error?</v>
      </c>
    </row>
    <row r="1475" spans="1:4" x14ac:dyDescent="0.2">
      <c r="A1475" s="5">
        <v>1414</v>
      </c>
      <c r="B1475" s="138">
        <f>'Expenditures 15-22'!K232</f>
        <v>1335</v>
      </c>
      <c r="C1475" s="2" t="s">
        <v>573</v>
      </c>
      <c r="D1475" s="2" t="str">
        <f t="shared" si="22"/>
        <v>Error?</v>
      </c>
    </row>
    <row r="1476" spans="1:4" x14ac:dyDescent="0.2">
      <c r="A1476" s="5">
        <v>1415</v>
      </c>
      <c r="B1476" s="138">
        <f>'Expenditures 15-22'!K233</f>
        <v>15718</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8216</v>
      </c>
      <c r="C1478" s="2" t="s">
        <v>573</v>
      </c>
      <c r="D1478" s="2" t="str">
        <f t="shared" si="22"/>
        <v>Error?</v>
      </c>
    </row>
    <row r="1479" spans="1:4" x14ac:dyDescent="0.2">
      <c r="A1479" s="5">
        <v>1418</v>
      </c>
      <c r="B1479" s="138">
        <f>'Expenditures 15-22'!K236</f>
        <v>3161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28430</v>
      </c>
      <c r="C1481" s="2" t="s">
        <v>573</v>
      </c>
      <c r="D1481" s="2" t="str">
        <f t="shared" si="22"/>
        <v>Error?</v>
      </c>
    </row>
    <row r="1482" spans="1:4" x14ac:dyDescent="0.2">
      <c r="A1482" s="5">
        <v>1421</v>
      </c>
      <c r="B1482" s="138">
        <f>'Expenditures 15-22'!K240</f>
        <v>3413</v>
      </c>
      <c r="C1482" s="2" t="s">
        <v>573</v>
      </c>
      <c r="D1482" s="2" t="str">
        <f t="shared" si="22"/>
        <v>Error?</v>
      </c>
    </row>
    <row r="1483" spans="1:4" x14ac:dyDescent="0.2">
      <c r="A1483" s="5">
        <v>1422</v>
      </c>
      <c r="B1483" s="138">
        <f>'Expenditures 15-22'!K241</f>
        <v>55455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58868</v>
      </c>
      <c r="C1485" s="2" t="s">
        <v>573</v>
      </c>
      <c r="D1485" s="2" t="str">
        <f t="shared" si="22"/>
        <v>Error?</v>
      </c>
    </row>
    <row r="1486" spans="1:4" x14ac:dyDescent="0.2">
      <c r="A1486" s="5">
        <v>1425</v>
      </c>
      <c r="B1486" s="138">
        <f>'Expenditures 15-22'!K245</f>
        <v>832</v>
      </c>
      <c r="C1486" s="2" t="s">
        <v>573</v>
      </c>
      <c r="D1486" s="2" t="str">
        <f t="shared" si="22"/>
        <v>Error?</v>
      </c>
    </row>
    <row r="1487" spans="1:4" x14ac:dyDescent="0.2">
      <c r="A1487" s="5">
        <v>1426</v>
      </c>
      <c r="B1487" s="138">
        <f>'Expenditures 15-22'!K246</f>
        <v>8917</v>
      </c>
      <c r="C1487" s="2" t="s">
        <v>573</v>
      </c>
      <c r="D1487" s="2" t="str">
        <f t="shared" si="22"/>
        <v>Error?</v>
      </c>
    </row>
    <row r="1488" spans="1:4" x14ac:dyDescent="0.2">
      <c r="A1488" s="5">
        <v>1427</v>
      </c>
      <c r="B1488" s="138">
        <f>'Expenditures 15-22'!K257</f>
        <v>19376</v>
      </c>
      <c r="C1488" s="2" t="s">
        <v>573</v>
      </c>
      <c r="D1488" s="2" t="str">
        <f t="shared" si="22"/>
        <v>Error?</v>
      </c>
    </row>
    <row r="1489" spans="1:4" x14ac:dyDescent="0.2">
      <c r="A1489" s="5">
        <v>1428</v>
      </c>
      <c r="B1489" s="138">
        <f>'Expenditures 15-22'!K259</f>
        <v>48244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48244</v>
      </c>
      <c r="C1491" s="2" t="s">
        <v>573</v>
      </c>
      <c r="D1491" s="2" t="str">
        <f t="shared" si="22"/>
        <v>Error?</v>
      </c>
    </row>
    <row r="1492" spans="1:4" x14ac:dyDescent="0.2">
      <c r="A1492" s="5">
        <v>1431</v>
      </c>
      <c r="B1492" s="138">
        <f>'Expenditures 15-22'!K263</f>
        <v>5027</v>
      </c>
      <c r="C1492" s="2" t="s">
        <v>573</v>
      </c>
      <c r="D1492" s="2" t="str">
        <f t="shared" si="22"/>
        <v>Error?</v>
      </c>
    </row>
    <row r="1493" spans="1:4" x14ac:dyDescent="0.2">
      <c r="A1493" s="5">
        <v>1432</v>
      </c>
      <c r="B1493" s="138">
        <f>'Expenditures 15-22'!K264</f>
        <v>16023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139212</v>
      </c>
      <c r="C1495" s="2" t="s">
        <v>573</v>
      </c>
      <c r="D1495" s="2" t="str">
        <f t="shared" si="22"/>
        <v>Error?</v>
      </c>
    </row>
    <row r="1496" spans="1:4" x14ac:dyDescent="0.2">
      <c r="A1496" s="5">
        <v>1435</v>
      </c>
      <c r="B1496" s="138">
        <f>'Expenditures 15-22'!K267</f>
        <v>119218</v>
      </c>
      <c r="C1496" s="2" t="s">
        <v>573</v>
      </c>
      <c r="D1496" s="2" t="str">
        <f t="shared" si="22"/>
        <v>Error?</v>
      </c>
    </row>
    <row r="1497" spans="1:4" x14ac:dyDescent="0.2">
      <c r="A1497" s="5">
        <v>1436</v>
      </c>
      <c r="B1497" s="138">
        <f>'Expenditures 15-22'!K268</f>
        <v>6188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285668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440586</v>
      </c>
      <c r="C1510" s="2" t="s">
        <v>573</v>
      </c>
      <c r="D1510" s="2" t="str">
        <f t="shared" si="22"/>
        <v>Error?</v>
      </c>
    </row>
    <row r="1511" spans="1:4" x14ac:dyDescent="0.2">
      <c r="A1511" s="5">
        <v>1450</v>
      </c>
      <c r="B1511" s="138">
        <f>'Expenditures 15-22'!K280</f>
        <v>270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826010</v>
      </c>
      <c r="C1517" s="2" t="s">
        <v>573</v>
      </c>
      <c r="D1517" s="2" t="str">
        <f t="shared" si="22"/>
        <v>Error?</v>
      </c>
    </row>
    <row r="1518" spans="1:4" x14ac:dyDescent="0.2">
      <c r="A1518" s="5">
        <v>1457</v>
      </c>
      <c r="B1518" s="138">
        <f>'Expenditures 15-22'!K296</f>
        <v>-296997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451332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451332</v>
      </c>
      <c r="C1535" s="2" t="s">
        <v>573</v>
      </c>
      <c r="D1535" s="2" t="str">
        <f t="shared" ref="D1535:D1598" si="23">IF(ISBLANK(B1535),"OK",IF(A1535-B1535=0,"OK","Error?"))</f>
        <v>Error?</v>
      </c>
    </row>
    <row r="1536" spans="1:4" x14ac:dyDescent="0.2">
      <c r="A1536" s="5">
        <v>1475</v>
      </c>
      <c r="B1536" s="138">
        <f>'Expenditures 15-22'!E312</f>
        <v>451332</v>
      </c>
      <c r="C1536" s="2" t="s">
        <v>573</v>
      </c>
      <c r="D1536" s="2" t="str">
        <f t="shared" si="23"/>
        <v>Error?</v>
      </c>
    </row>
    <row r="1537" spans="1:4" x14ac:dyDescent="0.2">
      <c r="A1537" s="5">
        <v>1476</v>
      </c>
      <c r="B1537" s="138">
        <f>'Expenditures 15-22'!F301</f>
        <v>28464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28464</v>
      </c>
      <c r="C1541" s="2" t="s">
        <v>573</v>
      </c>
      <c r="D1541" s="2" t="str">
        <f t="shared" si="23"/>
        <v>Error?</v>
      </c>
    </row>
    <row r="1542" spans="1:4" x14ac:dyDescent="0.2">
      <c r="A1542" s="5">
        <v>1481</v>
      </c>
      <c r="B1542" s="138">
        <f>'Expenditures 15-22'!F312</f>
        <v>28464</v>
      </c>
      <c r="C1542" s="2" t="s">
        <v>573</v>
      </c>
      <c r="D1542" s="2" t="str">
        <f t="shared" si="23"/>
        <v>Error?</v>
      </c>
    </row>
    <row r="1543" spans="1:4" x14ac:dyDescent="0.2">
      <c r="A1543" s="5">
        <v>1482</v>
      </c>
      <c r="B1543" s="138">
        <f>'Expenditures 15-22'!G301</f>
        <v>4050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4050</v>
      </c>
      <c r="C1547" s="2" t="s">
        <v>573</v>
      </c>
      <c r="D1547" s="2" t="str">
        <f t="shared" si="23"/>
        <v>Error?</v>
      </c>
    </row>
    <row r="1548" spans="1:4" x14ac:dyDescent="0.2">
      <c r="A1548" s="5">
        <v>1487</v>
      </c>
      <c r="B1548" s="138">
        <f>'Expenditures 15-22'!G312</f>
        <v>4050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483846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483846</v>
      </c>
      <c r="C1559" s="2" t="s">
        <v>573</v>
      </c>
      <c r="D1559" s="2" t="str">
        <f t="shared" si="23"/>
        <v>Error?</v>
      </c>
    </row>
    <row r="1560" spans="1:4" x14ac:dyDescent="0.2">
      <c r="A1560" s="5">
        <v>1499</v>
      </c>
      <c r="B1560" s="138">
        <f>'Expenditures 15-22'!K312</f>
        <v>483846</v>
      </c>
      <c r="C1560" s="2" t="s">
        <v>573</v>
      </c>
      <c r="D1560" s="2" t="str">
        <f t="shared" si="23"/>
        <v>Error?</v>
      </c>
    </row>
    <row r="1561" spans="1:4" x14ac:dyDescent="0.2">
      <c r="A1561" s="5">
        <v>1500</v>
      </c>
      <c r="B1561" s="138">
        <f>'Expenditures 15-22'!K313</f>
        <v>309128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10033900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9041558</v>
      </c>
      <c r="C1630" s="2" t="s">
        <v>573</v>
      </c>
      <c r="D1630" s="2" t="str">
        <f t="shared" si="24"/>
        <v>Error?</v>
      </c>
    </row>
    <row r="1631" spans="1:4" x14ac:dyDescent="0.2">
      <c r="A1631" s="5">
        <v>1570</v>
      </c>
      <c r="B1631" s="138">
        <f>'Acct Summary 7-8'!D79</f>
        <v>623408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229982</v>
      </c>
      <c r="C1644" s="2" t="s">
        <v>573</v>
      </c>
      <c r="D1644" s="2" t="str">
        <f t="shared" si="24"/>
        <v>Error?</v>
      </c>
    </row>
    <row r="1645" spans="1:4" x14ac:dyDescent="0.2">
      <c r="A1645" s="5">
        <v>1584</v>
      </c>
      <c r="B1645" s="138">
        <f>'Acct Summary 7-8'!E79</f>
        <v>526433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113451</v>
      </c>
      <c r="C1658" s="2" t="s">
        <v>573</v>
      </c>
      <c r="D1658" s="2" t="str">
        <f t="shared" si="24"/>
        <v>Error?</v>
      </c>
    </row>
    <row r="1659" spans="1:4" x14ac:dyDescent="0.2">
      <c r="A1659" s="5">
        <v>1598</v>
      </c>
      <c r="B1659" s="138">
        <f>'Acct Summary 7-8'!F79</f>
        <v>820863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678778</v>
      </c>
      <c r="C1672" s="2" t="s">
        <v>573</v>
      </c>
      <c r="D1672" s="2" t="str">
        <f t="shared" si="25"/>
        <v>Error?</v>
      </c>
    </row>
    <row r="1673" spans="1:4" x14ac:dyDescent="0.2">
      <c r="A1673" s="5">
        <v>1612</v>
      </c>
      <c r="B1673" s="138">
        <f>'Acct Summary 7-8'!G79</f>
        <v>663347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366350</v>
      </c>
      <c r="C1686" s="2" t="s">
        <v>573</v>
      </c>
      <c r="D1686" s="2" t="str">
        <f t="shared" si="25"/>
        <v>Error?</v>
      </c>
    </row>
    <row r="1687" spans="1:4" x14ac:dyDescent="0.2">
      <c r="A1687" s="5">
        <v>1626</v>
      </c>
      <c r="B1687" s="138">
        <f>'Acct Summary 7-8'!H79</f>
        <v>889202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1198330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1849693</v>
      </c>
      <c r="C1744" s="2" t="s">
        <v>573</v>
      </c>
      <c r="D1744" s="2" t="str">
        <f t="shared" si="26"/>
        <v>Error?</v>
      </c>
    </row>
    <row r="1745" spans="1:5" x14ac:dyDescent="0.2">
      <c r="A1745" s="5">
        <v>1684</v>
      </c>
      <c r="B1745" s="138">
        <f>'Tax Sched 23'!B5</f>
        <v>504407</v>
      </c>
      <c r="C1745" s="2" t="s">
        <v>573</v>
      </c>
      <c r="D1745" s="2" t="str">
        <f t="shared" si="26"/>
        <v>Error?</v>
      </c>
    </row>
    <row r="1746" spans="1:5" x14ac:dyDescent="0.2">
      <c r="A1746" s="5">
        <v>1685</v>
      </c>
      <c r="B1746" s="138">
        <f>'Tax Sched 23'!B6</f>
        <v>372682</v>
      </c>
      <c r="C1746" s="2" t="s">
        <v>573</v>
      </c>
      <c r="D1746" s="2" t="str">
        <f t="shared" si="26"/>
        <v>Error?</v>
      </c>
    </row>
    <row r="1747" spans="1:5" x14ac:dyDescent="0.2">
      <c r="A1747" s="5">
        <v>1686</v>
      </c>
      <c r="B1747" s="138">
        <f>'Tax Sched 23'!B7</f>
        <v>201373</v>
      </c>
      <c r="C1747" s="2" t="s">
        <v>573</v>
      </c>
      <c r="D1747" s="2" t="str">
        <f t="shared" si="26"/>
        <v>Error?</v>
      </c>
    </row>
    <row r="1748" spans="1:5" x14ac:dyDescent="0.2">
      <c r="A1748" s="5">
        <v>1687</v>
      </c>
      <c r="B1748" s="138">
        <f>'Tax Sched 23'!B8</f>
        <v>118511</v>
      </c>
      <c r="C1748" s="2" t="s">
        <v>573</v>
      </c>
      <c r="D1748" s="2" t="str">
        <f t="shared" si="26"/>
        <v>Error?</v>
      </c>
    </row>
    <row r="1749" spans="1:5" x14ac:dyDescent="0.2">
      <c r="A1749" s="5">
        <v>1688</v>
      </c>
      <c r="B1749" s="138">
        <f>'Tax Sched 23'!B10</f>
        <v>50342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560237</v>
      </c>
      <c r="C1752" s="2" t="s">
        <v>573</v>
      </c>
      <c r="D1752" s="2" t="str">
        <f t="shared" si="26"/>
        <v>Error?</v>
      </c>
    </row>
    <row r="1753" spans="1:5" x14ac:dyDescent="0.2">
      <c r="A1753" s="5">
        <v>1692</v>
      </c>
      <c r="B1753" s="138">
        <f>'Tax Sched 23'!B12</f>
        <v>50342</v>
      </c>
      <c r="C1753" s="2" t="s">
        <v>573</v>
      </c>
      <c r="D1753" s="2" t="str">
        <f t="shared" si="26"/>
        <v>Error?</v>
      </c>
    </row>
    <row r="1754" spans="1:5" x14ac:dyDescent="0.2">
      <c r="A1754" s="5">
        <v>1693</v>
      </c>
      <c r="B1754" s="138">
        <f>'Tax Sched 23'!B14</f>
        <v>40354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3968106</v>
      </c>
      <c r="C1759" s="2" t="s">
        <v>573</v>
      </c>
      <c r="D1759" s="2" t="str">
        <f t="shared" si="26"/>
        <v>Error?</v>
      </c>
    </row>
    <row r="1760" spans="1:5" x14ac:dyDescent="0.2">
      <c r="A1760" s="5">
        <v>1699</v>
      </c>
      <c r="B1760" s="138">
        <f>'Tax Sched 23'!D4</f>
        <v>1785369</v>
      </c>
      <c r="C1760" s="2" t="s">
        <v>573</v>
      </c>
      <c r="D1760" s="2" t="str">
        <f t="shared" si="26"/>
        <v>Error?</v>
      </c>
    </row>
    <row r="1761" spans="1:5" x14ac:dyDescent="0.2">
      <c r="A1761" s="5">
        <v>1700</v>
      </c>
      <c r="B1761" s="138">
        <f>'Tax Sched 23'!D5</f>
        <v>486928</v>
      </c>
      <c r="C1761" s="2" t="s">
        <v>573</v>
      </c>
      <c r="D1761" s="2" t="str">
        <f t="shared" si="26"/>
        <v>Error?</v>
      </c>
    </row>
    <row r="1762" spans="1:5" s="8" customFormat="1" x14ac:dyDescent="0.2">
      <c r="A1762" s="5">
        <v>1701</v>
      </c>
      <c r="B1762" s="138">
        <f>'Tax Sched 23'!D6</f>
        <v>359744</v>
      </c>
      <c r="C1762" s="2" t="s">
        <v>573</v>
      </c>
      <c r="D1762" s="2" t="str">
        <f t="shared" si="26"/>
        <v>Error?</v>
      </c>
      <c r="E1762" s="9"/>
    </row>
    <row r="1763" spans="1:5" x14ac:dyDescent="0.2">
      <c r="A1763" s="5">
        <v>1702</v>
      </c>
      <c r="B1763" s="138">
        <f>'Tax Sched 23'!D7</f>
        <v>194381</v>
      </c>
      <c r="C1763" s="2" t="s">
        <v>573</v>
      </c>
      <c r="D1763" s="2" t="str">
        <f t="shared" si="26"/>
        <v>Error?</v>
      </c>
    </row>
    <row r="1764" spans="1:5" x14ac:dyDescent="0.2">
      <c r="A1764" s="5">
        <v>1703</v>
      </c>
      <c r="B1764" s="138">
        <f>'Tax Sched 23'!D8</f>
        <v>111505</v>
      </c>
      <c r="C1764" s="2" t="s">
        <v>573</v>
      </c>
      <c r="D1764" s="2" t="str">
        <f t="shared" si="26"/>
        <v>Error?</v>
      </c>
    </row>
    <row r="1765" spans="1:5" x14ac:dyDescent="0.2">
      <c r="A1765" s="5">
        <v>1704</v>
      </c>
      <c r="B1765" s="138">
        <f>'Tax Sched 23'!D10</f>
        <v>48594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542439</v>
      </c>
      <c r="C1768" s="2" t="s">
        <v>573</v>
      </c>
      <c r="D1768" s="2" t="str">
        <f t="shared" si="26"/>
        <v>Error?</v>
      </c>
    </row>
    <row r="1769" spans="1:5" x14ac:dyDescent="0.2">
      <c r="A1769" s="5">
        <v>1708</v>
      </c>
      <c r="B1769" s="138">
        <f>'Tax Sched 23'!D12</f>
        <v>48594</v>
      </c>
      <c r="C1769" s="2" t="s">
        <v>573</v>
      </c>
      <c r="D1769" s="2" t="str">
        <f t="shared" si="26"/>
        <v>Error?</v>
      </c>
    </row>
    <row r="1770" spans="1:5" x14ac:dyDescent="0.2">
      <c r="A1770" s="5">
        <v>1709</v>
      </c>
      <c r="B1770" s="138">
        <f>'Tax Sched 23'!D14</f>
        <v>38956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3827837</v>
      </c>
      <c r="C1775" s="2" t="s">
        <v>573</v>
      </c>
      <c r="D1775" s="2" t="str">
        <f t="shared" si="26"/>
        <v>Error?</v>
      </c>
    </row>
    <row r="1776" spans="1:5" x14ac:dyDescent="0.2">
      <c r="A1776" s="5">
        <v>1715</v>
      </c>
      <c r="B1776" s="138">
        <f>'Tax Sched 23'!C4</f>
        <v>64324</v>
      </c>
      <c r="D1776" s="2" t="str">
        <f t="shared" si="26"/>
        <v>Error?</v>
      </c>
    </row>
    <row r="1777" spans="1:4" x14ac:dyDescent="0.2">
      <c r="A1777" s="5">
        <v>1716</v>
      </c>
      <c r="B1777" s="138">
        <f>'Tax Sched 23'!C5</f>
        <v>17479</v>
      </c>
      <c r="D1777" s="2" t="str">
        <f t="shared" si="26"/>
        <v>Error?</v>
      </c>
    </row>
    <row r="1778" spans="1:4" x14ac:dyDescent="0.2">
      <c r="A1778" s="5">
        <v>1717</v>
      </c>
      <c r="B1778" s="138">
        <f>'Tax Sched 23'!C6</f>
        <v>12938</v>
      </c>
      <c r="D1778" s="2" t="str">
        <f t="shared" si="26"/>
        <v>Error?</v>
      </c>
    </row>
    <row r="1779" spans="1:4" x14ac:dyDescent="0.2">
      <c r="A1779" s="5">
        <v>1718</v>
      </c>
      <c r="B1779" s="138">
        <f>'Tax Sched 23'!C7</f>
        <v>6992</v>
      </c>
      <c r="D1779" s="2" t="str">
        <f t="shared" si="26"/>
        <v>Error?</v>
      </c>
    </row>
    <row r="1780" spans="1:4" x14ac:dyDescent="0.2">
      <c r="A1780" s="5">
        <v>1719</v>
      </c>
      <c r="B1780" s="138">
        <f>'Tax Sched 23'!C8</f>
        <v>7006</v>
      </c>
      <c r="D1780" s="2" t="str">
        <f t="shared" si="26"/>
        <v>Error?</v>
      </c>
    </row>
    <row r="1781" spans="1:4" x14ac:dyDescent="0.2">
      <c r="A1781" s="5">
        <v>1720</v>
      </c>
      <c r="B1781" s="138">
        <f>'Tax Sched 23'!C10</f>
        <v>1748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17798</v>
      </c>
      <c r="D1784" s="2" t="str">
        <f t="shared" si="26"/>
        <v>Error?</v>
      </c>
    </row>
    <row r="1785" spans="1:4" x14ac:dyDescent="0.2">
      <c r="A1785" s="5">
        <v>1724</v>
      </c>
      <c r="B1785" s="138">
        <f>'Tax Sched 23'!C12</f>
        <v>1748</v>
      </c>
      <c r="D1785" s="2" t="str">
        <f t="shared" si="26"/>
        <v>Error?</v>
      </c>
    </row>
    <row r="1786" spans="1:4" x14ac:dyDescent="0.2">
      <c r="A1786" s="5">
        <v>1725</v>
      </c>
      <c r="B1786" s="138">
        <f>'Tax Sched 23'!C14</f>
        <v>1398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140269</v>
      </c>
      <c r="C1791" s="2" t="s">
        <v>573</v>
      </c>
      <c r="D1791" s="2" t="str">
        <f t="shared" ref="D1791:D1854" si="27">IF(ISBLANK(B1791),"OK",IF(A1791-B1791=0,"OK","Error?"))</f>
        <v>Error?</v>
      </c>
    </row>
    <row r="1792" spans="1:4" x14ac:dyDescent="0.2">
      <c r="A1792" s="5">
        <v>1731</v>
      </c>
      <c r="B1792" s="138">
        <f>'Tax Sched 23'!F4</f>
        <v>3911490</v>
      </c>
      <c r="C1792" s="2" t="s">
        <v>573</v>
      </c>
      <c r="D1792" s="2" t="str">
        <f t="shared" si="27"/>
        <v>Error?</v>
      </c>
    </row>
    <row r="1793" spans="1:4" x14ac:dyDescent="0.2">
      <c r="A1793" s="5">
        <v>1732</v>
      </c>
      <c r="B1793" s="138">
        <f>'Tax Sched 23'!F5</f>
        <v>1062905</v>
      </c>
      <c r="C1793" s="2" t="s">
        <v>573</v>
      </c>
      <c r="D1793" s="2" t="str">
        <f t="shared" si="27"/>
        <v>Error?</v>
      </c>
    </row>
    <row r="1794" spans="1:4" x14ac:dyDescent="0.2">
      <c r="A1794" s="5">
        <v>1733</v>
      </c>
      <c r="B1794" s="138">
        <f>'Tax Sched 23'!F6</f>
        <v>786762</v>
      </c>
      <c r="C1794" s="2" t="s">
        <v>573</v>
      </c>
      <c r="D1794" s="2" t="str">
        <f t="shared" si="27"/>
        <v>Error?</v>
      </c>
    </row>
    <row r="1795" spans="1:4" x14ac:dyDescent="0.2">
      <c r="A1795" s="5">
        <v>1734</v>
      </c>
      <c r="B1795" s="138">
        <f>'Tax Sched 23'!F7</f>
        <v>425162</v>
      </c>
      <c r="C1795" s="2" t="s">
        <v>573</v>
      </c>
      <c r="D1795" s="2" t="str">
        <f t="shared" si="27"/>
        <v>Error?</v>
      </c>
    </row>
    <row r="1796" spans="1:4" x14ac:dyDescent="0.2">
      <c r="A1796" s="5">
        <v>1735</v>
      </c>
      <c r="B1796" s="138">
        <f>'Tax Sched 23'!F8</f>
        <v>426012</v>
      </c>
      <c r="C1796" s="2" t="s">
        <v>573</v>
      </c>
      <c r="D1796" s="2" t="str">
        <f t="shared" si="27"/>
        <v>Error?</v>
      </c>
    </row>
    <row r="1797" spans="1:4" x14ac:dyDescent="0.2">
      <c r="A1797" s="5">
        <v>1736</v>
      </c>
      <c r="B1797" s="138">
        <f>'Tax Sched 23'!F10</f>
        <v>106290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1082249</v>
      </c>
      <c r="C1800" s="2" t="s">
        <v>573</v>
      </c>
      <c r="D1800" s="2" t="str">
        <f t="shared" si="27"/>
        <v>Error?</v>
      </c>
    </row>
    <row r="1801" spans="1:4" x14ac:dyDescent="0.2">
      <c r="A1801" s="5">
        <v>1740</v>
      </c>
      <c r="B1801" s="138">
        <f>'Tax Sched 23'!F12</f>
        <v>106290</v>
      </c>
      <c r="C1801" s="2" t="s">
        <v>573</v>
      </c>
      <c r="D1801" s="2" t="str">
        <f t="shared" si="27"/>
        <v>Error?</v>
      </c>
    </row>
    <row r="1802" spans="1:4" x14ac:dyDescent="0.2">
      <c r="A1802" s="5">
        <v>1741</v>
      </c>
      <c r="B1802" s="138">
        <f>'Tax Sched 23'!F14</f>
        <v>85033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8529597</v>
      </c>
      <c r="C1807" s="2" t="s">
        <v>573</v>
      </c>
      <c r="D1807" s="2" t="str">
        <f t="shared" si="27"/>
        <v>Error?</v>
      </c>
    </row>
    <row r="1808" spans="1:4" x14ac:dyDescent="0.2">
      <c r="A1808" s="5">
        <v>1747</v>
      </c>
      <c r="B1808" s="138">
        <f>'Tax Sched 23'!E4</f>
        <v>3975814</v>
      </c>
      <c r="D1808" s="2" t="str">
        <f t="shared" si="27"/>
        <v>Error?</v>
      </c>
    </row>
    <row r="1809" spans="1:4" x14ac:dyDescent="0.2">
      <c r="A1809" s="5">
        <v>1748</v>
      </c>
      <c r="B1809" s="138">
        <f>'Tax Sched 23'!E5</f>
        <v>1080384</v>
      </c>
      <c r="D1809" s="2" t="str">
        <f t="shared" si="27"/>
        <v>Error?</v>
      </c>
    </row>
    <row r="1810" spans="1:4" x14ac:dyDescent="0.2">
      <c r="A1810" s="5">
        <v>1749</v>
      </c>
      <c r="B1810" s="138">
        <f>'Tax Sched 23'!E6</f>
        <v>799700</v>
      </c>
      <c r="D1810" s="2" t="str">
        <f t="shared" si="27"/>
        <v>Error?</v>
      </c>
    </row>
    <row r="1811" spans="1:4" x14ac:dyDescent="0.2">
      <c r="A1811" s="5">
        <v>1750</v>
      </c>
      <c r="B1811" s="138">
        <f>'Tax Sched 23'!E7</f>
        <v>432154</v>
      </c>
      <c r="D1811" s="2" t="str">
        <f t="shared" si="27"/>
        <v>Error?</v>
      </c>
    </row>
    <row r="1812" spans="1:4" x14ac:dyDescent="0.2">
      <c r="A1812" s="5">
        <v>1751</v>
      </c>
      <c r="B1812" s="138">
        <f>'Tax Sched 23'!E8</f>
        <v>433018</v>
      </c>
      <c r="D1812" s="2" t="str">
        <f t="shared" si="27"/>
        <v>Error?</v>
      </c>
    </row>
    <row r="1813" spans="1:4" x14ac:dyDescent="0.2">
      <c r="A1813" s="5">
        <v>1752</v>
      </c>
      <c r="B1813" s="138">
        <f>'Tax Sched 23'!E10</f>
        <v>108038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1100047</v>
      </c>
      <c r="D1816" s="2" t="str">
        <f t="shared" si="27"/>
        <v>Error?</v>
      </c>
    </row>
    <row r="1817" spans="1:4" x14ac:dyDescent="0.2">
      <c r="A1817" s="5">
        <v>1756</v>
      </c>
      <c r="B1817" s="138">
        <f>'Tax Sched 23'!E12</f>
        <v>108038</v>
      </c>
      <c r="D1817" s="2" t="str">
        <f t="shared" si="27"/>
        <v>Error?</v>
      </c>
    </row>
    <row r="1818" spans="1:4" x14ac:dyDescent="0.2">
      <c r="A1818" s="5">
        <v>1757</v>
      </c>
      <c r="B1818" s="138">
        <f>'Tax Sched 23'!E14</f>
        <v>86431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8669866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8538719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40354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40354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40354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253690</v>
      </c>
      <c r="D2008" s="2" t="str">
        <f t="shared" si="30"/>
        <v>Error?</v>
      </c>
    </row>
    <row r="2009" spans="1:4" x14ac:dyDescent="0.2">
      <c r="A2009" s="5">
        <v>1948</v>
      </c>
      <c r="B2009" s="138">
        <f>'Cap Outlay Deprec 26'!C8</f>
        <v>24097103</v>
      </c>
      <c r="D2009" s="2" t="str">
        <f t="shared" si="30"/>
        <v>Error?</v>
      </c>
    </row>
    <row r="2010" spans="1:4" x14ac:dyDescent="0.2">
      <c r="A2010" s="5">
        <v>1949</v>
      </c>
      <c r="B2010" s="138">
        <f>'Cap Outlay Deprec 26'!C10</f>
        <v>7267229</v>
      </c>
      <c r="D2010" s="2" t="str">
        <f t="shared" si="30"/>
        <v>Error?</v>
      </c>
    </row>
    <row r="2011" spans="1:4" x14ac:dyDescent="0.2">
      <c r="A2011" s="5">
        <v>1950</v>
      </c>
      <c r="B2011" s="138">
        <f>'Cap Outlay Deprec 26'!C12</f>
        <v>2823073</v>
      </c>
      <c r="D2011" s="2" t="str">
        <f t="shared" si="30"/>
        <v>Error?</v>
      </c>
    </row>
    <row r="2012" spans="1:4" x14ac:dyDescent="0.2">
      <c r="A2012" s="5">
        <v>1951</v>
      </c>
      <c r="B2012" s="138">
        <f>'Cap Outlay Deprec 26'!C13</f>
        <v>2592253</v>
      </c>
      <c r="D2012" s="2" t="str">
        <f t="shared" si="30"/>
        <v>Error?</v>
      </c>
    </row>
    <row r="2013" spans="1:4" x14ac:dyDescent="0.2">
      <c r="A2013" s="5">
        <v>1952</v>
      </c>
      <c r="B2013" s="138">
        <f>'Cap Outlay Deprec 26'!C16</f>
        <v>37593763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1608423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30827</v>
      </c>
      <c r="D2017" s="2" t="str">
        <f t="shared" si="30"/>
        <v>Error?</v>
      </c>
    </row>
    <row r="2018" spans="1:4" x14ac:dyDescent="0.2">
      <c r="A2018" s="5">
        <v>1957</v>
      </c>
      <c r="B2018" s="138">
        <f>'Cap Outlay Deprec 26'!D13</f>
        <v>206266</v>
      </c>
      <c r="D2018" s="2" t="str">
        <f t="shared" si="30"/>
        <v>Error?</v>
      </c>
    </row>
    <row r="2019" spans="1:4" x14ac:dyDescent="0.2">
      <c r="A2019" s="5">
        <v>1958</v>
      </c>
      <c r="B2019" s="138">
        <f>'Cap Outlay Deprec 26'!D16</f>
        <v>2369586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486902</v>
      </c>
      <c r="C2025" s="2" t="s">
        <v>573</v>
      </c>
      <c r="D2025" s="2" t="str">
        <f t="shared" si="30"/>
        <v>Error?</v>
      </c>
    </row>
    <row r="2026" spans="1:4" x14ac:dyDescent="0.2">
      <c r="A2026" s="5">
        <v>1965</v>
      </c>
      <c r="B2026" s="138">
        <f>'Cap Outlay Deprec 26'!F5</f>
        <v>253690</v>
      </c>
      <c r="C2026" s="2" t="s">
        <v>573</v>
      </c>
      <c r="D2026" s="2" t="str">
        <f t="shared" si="30"/>
        <v>Error?</v>
      </c>
    </row>
    <row r="2027" spans="1:4" x14ac:dyDescent="0.2">
      <c r="A2027" s="5">
        <v>1966</v>
      </c>
      <c r="B2027" s="138">
        <f>'Cap Outlay Deprec 26'!F8</f>
        <v>25705526</v>
      </c>
      <c r="C2027" s="2" t="s">
        <v>573</v>
      </c>
      <c r="D2027" s="2" t="str">
        <f t="shared" si="30"/>
        <v>Error?</v>
      </c>
    </row>
    <row r="2028" spans="1:4" x14ac:dyDescent="0.2">
      <c r="A2028" s="5">
        <v>1967</v>
      </c>
      <c r="B2028" s="138">
        <f>'Cap Outlay Deprec 26'!F10</f>
        <v>7267229</v>
      </c>
      <c r="C2028" s="2" t="s">
        <v>573</v>
      </c>
      <c r="D2028" s="2" t="str">
        <f t="shared" si="30"/>
        <v>Error?</v>
      </c>
    </row>
    <row r="2029" spans="1:4" x14ac:dyDescent="0.2">
      <c r="A2029" s="5">
        <v>1968</v>
      </c>
      <c r="B2029" s="138">
        <f>'Cap Outlay Deprec 26'!F12</f>
        <v>2853900</v>
      </c>
      <c r="C2029" s="2" t="s">
        <v>573</v>
      </c>
      <c r="D2029" s="2" t="str">
        <f t="shared" si="30"/>
        <v>Error?</v>
      </c>
    </row>
    <row r="2030" spans="1:4" x14ac:dyDescent="0.2">
      <c r="A2030" s="5">
        <v>1969</v>
      </c>
      <c r="B2030" s="138">
        <f>'Cap Outlay Deprec 26'!F13</f>
        <v>2798519</v>
      </c>
      <c r="C2030" s="2" t="s">
        <v>573</v>
      </c>
      <c r="D2030" s="2" t="str">
        <f t="shared" si="30"/>
        <v>Error?</v>
      </c>
    </row>
    <row r="2031" spans="1:4" x14ac:dyDescent="0.2">
      <c r="A2031" s="5">
        <v>1970</v>
      </c>
      <c r="B2031" s="138">
        <f>'Cap Outlay Deprec 26'!F16</f>
        <v>39476447</v>
      </c>
      <c r="C2031" s="2" t="s">
        <v>573</v>
      </c>
      <c r="D2031" s="2" t="str">
        <f t="shared" si="30"/>
        <v>Error?</v>
      </c>
    </row>
    <row r="2032" spans="1:4" x14ac:dyDescent="0.2">
      <c r="A2032" s="10">
        <v>1971</v>
      </c>
      <c r="D2032" s="2" t="str">
        <f t="shared" si="30"/>
        <v>OK</v>
      </c>
    </row>
    <row r="2033" spans="1:4" x14ac:dyDescent="0.2">
      <c r="A2033" s="5">
        <v>1972</v>
      </c>
      <c r="B2033" s="138">
        <f>'Cap Outlay Deprec 26'!H8</f>
        <v>14013072</v>
      </c>
      <c r="D2033" s="2" t="str">
        <f t="shared" si="30"/>
        <v>Error?</v>
      </c>
    </row>
    <row r="2034" spans="1:4" x14ac:dyDescent="0.2">
      <c r="A2034" s="5">
        <v>1973</v>
      </c>
      <c r="B2034" s="138">
        <f>'Cap Outlay Deprec 26'!H10</f>
        <v>2934322</v>
      </c>
      <c r="D2034" s="2" t="str">
        <f t="shared" si="30"/>
        <v>Error?</v>
      </c>
    </row>
    <row r="2035" spans="1:4" x14ac:dyDescent="0.2">
      <c r="A2035" s="5">
        <v>1974</v>
      </c>
      <c r="B2035" s="138">
        <f>'Cap Outlay Deprec 26'!H12</f>
        <v>1870907</v>
      </c>
      <c r="D2035" s="2" t="str">
        <f t="shared" si="30"/>
        <v>Error?</v>
      </c>
    </row>
    <row r="2036" spans="1:4" x14ac:dyDescent="0.2">
      <c r="A2036" s="5">
        <v>1975</v>
      </c>
      <c r="B2036" s="138">
        <f>'Cap Outlay Deprec 26'!H13</f>
        <v>2284516</v>
      </c>
      <c r="D2036" s="2" t="str">
        <f t="shared" si="30"/>
        <v>Error?</v>
      </c>
    </row>
    <row r="2037" spans="1:4" x14ac:dyDescent="0.2">
      <c r="A2037" s="5">
        <v>1976</v>
      </c>
      <c r="B2037" s="138">
        <f>'Cap Outlay Deprec 26'!H16</f>
        <v>21111646</v>
      </c>
      <c r="C2037" s="2" t="s">
        <v>573</v>
      </c>
      <c r="D2037" s="2" t="str">
        <f t="shared" si="30"/>
        <v>Error?</v>
      </c>
    </row>
    <row r="2038" spans="1:4" x14ac:dyDescent="0.2">
      <c r="A2038" s="10">
        <v>1977</v>
      </c>
      <c r="D2038" s="2" t="str">
        <f t="shared" si="30"/>
        <v>OK</v>
      </c>
    </row>
    <row r="2039" spans="1:4" x14ac:dyDescent="0.2">
      <c r="A2039" s="5">
        <v>1978</v>
      </c>
      <c r="B2039" s="138">
        <f>'Cap Outlay Deprec 26'!I8</f>
        <v>321069</v>
      </c>
      <c r="D2039" s="2" t="str">
        <f t="shared" si="30"/>
        <v>Error?</v>
      </c>
    </row>
    <row r="2040" spans="1:4" x14ac:dyDescent="0.2">
      <c r="A2040" s="5">
        <v>1979</v>
      </c>
      <c r="B2040" s="138">
        <f>'Cap Outlay Deprec 26'!I10</f>
        <v>313878</v>
      </c>
      <c r="D2040" s="2" t="str">
        <f t="shared" si="30"/>
        <v>Error?</v>
      </c>
    </row>
    <row r="2041" spans="1:4" x14ac:dyDescent="0.2">
      <c r="A2041" s="5">
        <v>1980</v>
      </c>
      <c r="B2041" s="138">
        <f>'Cap Outlay Deprec 26'!I12</f>
        <v>210994</v>
      </c>
      <c r="D2041" s="2" t="str">
        <f t="shared" si="30"/>
        <v>Error?</v>
      </c>
    </row>
    <row r="2042" spans="1:4" x14ac:dyDescent="0.2">
      <c r="A2042" s="5">
        <v>1981</v>
      </c>
      <c r="B2042" s="138">
        <f>'Cap Outlay Deprec 26'!I13</f>
        <v>168779</v>
      </c>
      <c r="D2042" s="2" t="str">
        <f t="shared" si="30"/>
        <v>Error?</v>
      </c>
    </row>
    <row r="2043" spans="1:4" x14ac:dyDescent="0.2">
      <c r="A2043" s="5">
        <v>1982</v>
      </c>
      <c r="B2043" s="138">
        <f>'Cap Outlay Deprec 26'!I16</f>
        <v>1019934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14334141</v>
      </c>
      <c r="C2051" s="2" t="s">
        <v>573</v>
      </c>
      <c r="D2051" s="2" t="str">
        <f t="shared" si="31"/>
        <v>Error?</v>
      </c>
    </row>
    <row r="2052" spans="1:4" x14ac:dyDescent="0.2">
      <c r="A2052" s="5">
        <v>1991</v>
      </c>
      <c r="B2052" s="138">
        <f>'Cap Outlay Deprec 26'!K10</f>
        <v>3248200</v>
      </c>
      <c r="C2052" s="2" t="s">
        <v>573</v>
      </c>
      <c r="D2052" s="2" t="str">
        <f t="shared" si="31"/>
        <v>Error?</v>
      </c>
    </row>
    <row r="2053" spans="1:4" x14ac:dyDescent="0.2">
      <c r="A2053" s="5">
        <v>1992</v>
      </c>
      <c r="B2053" s="138">
        <f>'Cap Outlay Deprec 26'!K12</f>
        <v>2081901</v>
      </c>
      <c r="C2053" s="2" t="s">
        <v>573</v>
      </c>
      <c r="D2053" s="2" t="str">
        <f t="shared" si="31"/>
        <v>Error?</v>
      </c>
    </row>
    <row r="2054" spans="1:4" x14ac:dyDescent="0.2">
      <c r="A2054" s="5">
        <v>1993</v>
      </c>
      <c r="B2054" s="138">
        <f>'Cap Outlay Deprec 26'!K13</f>
        <v>2453295</v>
      </c>
      <c r="C2054" s="2" t="s">
        <v>573</v>
      </c>
      <c r="D2054" s="2" t="str">
        <f t="shared" si="31"/>
        <v>Error?</v>
      </c>
    </row>
    <row r="2055" spans="1:4" x14ac:dyDescent="0.2">
      <c r="A2055" s="5">
        <v>1994</v>
      </c>
      <c r="B2055" s="138">
        <f>'Cap Outlay Deprec 26'!K16</f>
        <v>22131580</v>
      </c>
      <c r="C2055" s="2" t="s">
        <v>573</v>
      </c>
      <c r="D2055" s="2" t="str">
        <f t="shared" si="31"/>
        <v>Error?</v>
      </c>
    </row>
    <row r="2056" spans="1:4" x14ac:dyDescent="0.2">
      <c r="A2056" s="5">
        <v>1995</v>
      </c>
      <c r="B2056" s="138">
        <f>'Cap Outlay Deprec 26'!L5</f>
        <v>253690</v>
      </c>
      <c r="C2056" s="2" t="s">
        <v>573</v>
      </c>
      <c r="D2056" s="2" t="str">
        <f t="shared" si="31"/>
        <v>Error?</v>
      </c>
    </row>
    <row r="2057" spans="1:4" x14ac:dyDescent="0.2">
      <c r="A2057" s="5">
        <v>1996</v>
      </c>
      <c r="B2057" s="138">
        <f>'Cap Outlay Deprec 26'!L8</f>
        <v>11371385</v>
      </c>
      <c r="C2057" s="2" t="s">
        <v>573</v>
      </c>
      <c r="D2057" s="2" t="str">
        <f t="shared" si="31"/>
        <v>Error?</v>
      </c>
    </row>
    <row r="2058" spans="1:4" x14ac:dyDescent="0.2">
      <c r="A2058" s="5">
        <v>1997</v>
      </c>
      <c r="B2058" s="138">
        <f>'Cap Outlay Deprec 26'!L10</f>
        <v>4019029</v>
      </c>
      <c r="C2058" s="2" t="s">
        <v>573</v>
      </c>
      <c r="D2058" s="2" t="str">
        <f t="shared" si="31"/>
        <v>Error?</v>
      </c>
    </row>
    <row r="2059" spans="1:4" x14ac:dyDescent="0.2">
      <c r="A2059" s="5">
        <v>1998</v>
      </c>
      <c r="B2059" s="138">
        <f>'Cap Outlay Deprec 26'!L12</f>
        <v>771999</v>
      </c>
      <c r="C2059" s="2" t="s">
        <v>573</v>
      </c>
      <c r="D2059" s="2" t="str">
        <f t="shared" si="31"/>
        <v>Error?</v>
      </c>
    </row>
    <row r="2060" spans="1:4" x14ac:dyDescent="0.2">
      <c r="A2060" s="5">
        <v>1999</v>
      </c>
      <c r="B2060" s="138">
        <f>'Cap Outlay Deprec 26'!L13</f>
        <v>345224</v>
      </c>
      <c r="C2060" s="2" t="s">
        <v>573</v>
      </c>
      <c r="D2060" s="2" t="str">
        <f t="shared" si="31"/>
        <v>Error?</v>
      </c>
    </row>
    <row r="2061" spans="1:4" x14ac:dyDescent="0.2">
      <c r="A2061" s="5">
        <v>2000</v>
      </c>
      <c r="B2061" s="138">
        <f>'Cap Outlay Deprec 26'!L16</f>
        <v>17344867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40246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170464</v>
      </c>
      <c r="C2088" s="2" t="s">
        <v>573</v>
      </c>
      <c r="D2088" s="2" t="str">
        <f t="shared" si="31"/>
        <v>Error?</v>
      </c>
    </row>
    <row r="2089" spans="1:4" x14ac:dyDescent="0.2">
      <c r="A2089" s="5">
        <v>2028</v>
      </c>
      <c r="B2089" s="138">
        <f>'Expenditures 15-22'!K92</f>
        <v>711484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1417551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367105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753606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5690999</v>
      </c>
      <c r="C2551" s="2" t="s">
        <v>573</v>
      </c>
      <c r="D2551" s="2" t="str">
        <f t="shared" si="38"/>
        <v>Error?</v>
      </c>
    </row>
    <row r="2552" spans="1:4" x14ac:dyDescent="0.2">
      <c r="A2552" s="10">
        <v>2491</v>
      </c>
      <c r="D2552" s="2" t="str">
        <f t="shared" si="38"/>
        <v>OK</v>
      </c>
    </row>
    <row r="2553" spans="1:4" x14ac:dyDescent="0.2">
      <c r="A2553" s="5">
        <v>2492</v>
      </c>
      <c r="B2553" s="138">
        <f>'Acct Summary 7-8'!C6</f>
        <v>9582053</v>
      </c>
      <c r="C2553" s="2" t="s">
        <v>573</v>
      </c>
      <c r="D2553" s="2" t="str">
        <f t="shared" si="38"/>
        <v>Error?</v>
      </c>
    </row>
    <row r="2554" spans="1:4" x14ac:dyDescent="0.2">
      <c r="A2554" s="5">
        <v>2493</v>
      </c>
      <c r="B2554" s="138">
        <f>'Acct Summary 7-8'!C7</f>
        <v>2005025</v>
      </c>
      <c r="C2554" s="2" t="s">
        <v>573</v>
      </c>
      <c r="D2554" s="2" t="str">
        <f t="shared" si="38"/>
        <v>Error?</v>
      </c>
    </row>
    <row r="2555" spans="1:4" x14ac:dyDescent="0.2">
      <c r="A2555" s="5">
        <v>2494</v>
      </c>
      <c r="B2555" s="138">
        <f>'Acct Summary 7-8'!C8</f>
        <v>17278077</v>
      </c>
      <c r="C2555" s="2" t="s">
        <v>573</v>
      </c>
      <c r="D2555" s="2" t="str">
        <f t="shared" si="38"/>
        <v>Error?</v>
      </c>
    </row>
    <row r="2556" spans="1:4" x14ac:dyDescent="0.2">
      <c r="A2556" s="5">
        <v>2495</v>
      </c>
      <c r="B2556" s="138">
        <f>'Acct Summary 7-8'!C12</f>
        <v>13238991</v>
      </c>
      <c r="C2556" s="2" t="s">
        <v>573</v>
      </c>
      <c r="D2556" s="2" t="str">
        <f t="shared" si="38"/>
        <v>Error?</v>
      </c>
    </row>
    <row r="2557" spans="1:4" x14ac:dyDescent="0.2">
      <c r="A2557" s="5">
        <v>2496</v>
      </c>
      <c r="B2557" s="138">
        <f>'Acct Summary 7-8'!C13</f>
        <v>4129146</v>
      </c>
      <c r="C2557" s="2" t="s">
        <v>573</v>
      </c>
      <c r="D2557" s="2" t="str">
        <f t="shared" si="38"/>
        <v>Error?</v>
      </c>
    </row>
    <row r="2558" spans="1:4" x14ac:dyDescent="0.2">
      <c r="A2558" s="5">
        <v>2497</v>
      </c>
      <c r="B2558" s="138">
        <f>'Acct Summary 7-8'!C14</f>
        <v>20334</v>
      </c>
      <c r="C2558" s="2" t="s">
        <v>573</v>
      </c>
      <c r="D2558" s="2" t="str">
        <f t="shared" si="38"/>
        <v>Error?</v>
      </c>
    </row>
    <row r="2559" spans="1:4" x14ac:dyDescent="0.2">
      <c r="A2559" s="5">
        <v>2498</v>
      </c>
      <c r="B2559" s="138">
        <f>'Acct Summary 7-8'!C15</f>
        <v>881948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18270419</v>
      </c>
      <c r="C2561" s="2" t="s">
        <v>573</v>
      </c>
      <c r="D2561" s="2" t="str">
        <f t="shared" si="39"/>
        <v>Error?</v>
      </c>
    </row>
    <row r="2562" spans="1:4" x14ac:dyDescent="0.2">
      <c r="A2562" s="5">
        <v>2501</v>
      </c>
      <c r="B2562" s="138">
        <f>'Acct Summary 7-8'!C20</f>
        <v>-992342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1453682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1453682</v>
      </c>
      <c r="C2568" s="2" t="s">
        <v>573</v>
      </c>
      <c r="D2568" s="2" t="str">
        <f t="shared" si="39"/>
        <v>Error?</v>
      </c>
    </row>
    <row r="2569" spans="1:4" x14ac:dyDescent="0.2">
      <c r="A2569" s="5">
        <v>2508</v>
      </c>
      <c r="B2569" s="138">
        <f>'Acct Summary 7-8'!D13</f>
        <v>1847108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1847108</v>
      </c>
      <c r="C2573" s="2" t="s">
        <v>573</v>
      </c>
      <c r="D2573" s="2" t="str">
        <f t="shared" si="39"/>
        <v>Error?</v>
      </c>
    </row>
    <row r="2574" spans="1:4" x14ac:dyDescent="0.2">
      <c r="A2574" s="5">
        <v>2513</v>
      </c>
      <c r="B2574" s="138">
        <f>'Acct Summary 7-8'!D20</f>
        <v>-393426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459885</v>
      </c>
      <c r="C2591" s="2" t="s">
        <v>573</v>
      </c>
      <c r="D2591" s="2" t="str">
        <f t="shared" si="39"/>
        <v>Error?</v>
      </c>
    </row>
    <row r="2592" spans="1:4" x14ac:dyDescent="0.2">
      <c r="A2592" s="10">
        <v>2531</v>
      </c>
      <c r="D2592" s="2" t="str">
        <f t="shared" si="39"/>
        <v>OK</v>
      </c>
    </row>
    <row r="2593" spans="1:4" x14ac:dyDescent="0.2">
      <c r="A2593" s="5">
        <v>2532</v>
      </c>
      <c r="B2593" s="138">
        <f>'Acct Summary 7-8'!F6</f>
        <v>596262</v>
      </c>
      <c r="C2593" s="2" t="s">
        <v>573</v>
      </c>
      <c r="D2593" s="2" t="str">
        <f t="shared" si="39"/>
        <v>Error?</v>
      </c>
    </row>
    <row r="2594" spans="1:4" x14ac:dyDescent="0.2">
      <c r="A2594" s="5">
        <v>2533</v>
      </c>
      <c r="B2594" s="138">
        <f>'Acct Summary 7-8'!F7</f>
        <v>6065</v>
      </c>
      <c r="C2594" s="2" t="s">
        <v>573</v>
      </c>
      <c r="D2594" s="2" t="str">
        <f t="shared" si="39"/>
        <v>Error?</v>
      </c>
    </row>
    <row r="2595" spans="1:4" x14ac:dyDescent="0.2">
      <c r="A2595" s="5">
        <v>2534</v>
      </c>
      <c r="B2595" s="138">
        <f>'Acct Summary 7-8'!F8</f>
        <v>1062212</v>
      </c>
      <c r="C2595" s="2" t="s">
        <v>573</v>
      </c>
      <c r="D2595" s="2" t="str">
        <f t="shared" si="39"/>
        <v>Error?</v>
      </c>
    </row>
    <row r="2596" spans="1:4" x14ac:dyDescent="0.2">
      <c r="A2596" s="5">
        <v>2535</v>
      </c>
      <c r="B2596" s="138">
        <f>'Acct Summary 7-8'!F13</f>
        <v>1204297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1204297</v>
      </c>
      <c r="C2600" s="2" t="s">
        <v>573</v>
      </c>
      <c r="D2600" s="2" t="str">
        <f t="shared" si="39"/>
        <v>Error?</v>
      </c>
    </row>
    <row r="2601" spans="1:4" x14ac:dyDescent="0.2">
      <c r="A2601" s="5">
        <v>2540</v>
      </c>
      <c r="B2601" s="138">
        <f>'Acct Summary 7-8'!F20</f>
        <v>-142085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529013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529013</v>
      </c>
      <c r="C2606" s="2" t="s">
        <v>573</v>
      </c>
      <c r="D2606" s="2" t="str">
        <f t="shared" si="39"/>
        <v>Error?</v>
      </c>
    </row>
    <row r="2607" spans="1:4" x14ac:dyDescent="0.2">
      <c r="A2607" s="5">
        <v>2546</v>
      </c>
      <c r="B2607" s="138">
        <f>'Acct Summary 7-8'!G12</f>
        <v>385154</v>
      </c>
      <c r="C2607" s="2" t="s">
        <v>573</v>
      </c>
      <c r="D2607" s="2" t="str">
        <f t="shared" si="39"/>
        <v>Error?</v>
      </c>
    </row>
    <row r="2608" spans="1:4" x14ac:dyDescent="0.2">
      <c r="A2608" s="5">
        <v>2547</v>
      </c>
      <c r="B2608" s="138">
        <f>'Acct Summary 7-8'!G13</f>
        <v>440586</v>
      </c>
      <c r="C2608" s="2" t="s">
        <v>573</v>
      </c>
      <c r="D2608" s="2" t="str">
        <f t="shared" si="39"/>
        <v>Error?</v>
      </c>
    </row>
    <row r="2609" spans="1:4" x14ac:dyDescent="0.2">
      <c r="A2609" s="5">
        <v>2548</v>
      </c>
      <c r="B2609" s="138">
        <f>'Acct Summary 7-8'!G14</f>
        <v>270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826010</v>
      </c>
      <c r="C2612" s="2" t="s">
        <v>573</v>
      </c>
      <c r="D2612" s="2" t="str">
        <f t="shared" si="39"/>
        <v>Error?</v>
      </c>
    </row>
    <row r="2613" spans="1:4" x14ac:dyDescent="0.2">
      <c r="A2613" s="5">
        <v>2552</v>
      </c>
      <c r="B2613" s="138">
        <f>'Acct Summary 7-8'!G20</f>
        <v>-296997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700990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700990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1113972</v>
      </c>
      <c r="C2634" s="2" t="s">
        <v>573</v>
      </c>
      <c r="D2634" s="2" t="str">
        <f t="shared" si="40"/>
        <v>Error?</v>
      </c>
    </row>
    <row r="2635" spans="1:4" x14ac:dyDescent="0.2">
      <c r="A2635" s="5">
        <v>2574</v>
      </c>
      <c r="B2635" s="138">
        <f>'Acct Summary 7-8'!E17</f>
        <v>1113972</v>
      </c>
      <c r="C2635" s="2" t="s">
        <v>573</v>
      </c>
      <c r="D2635" s="2" t="str">
        <f t="shared" si="40"/>
        <v>Error?</v>
      </c>
    </row>
    <row r="2636" spans="1:4" x14ac:dyDescent="0.2">
      <c r="A2636" s="5">
        <v>2575</v>
      </c>
      <c r="B2636" s="138">
        <f>'Acct Summary 7-8'!E20</f>
        <v>-412982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792974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792974</v>
      </c>
      <c r="C2658" s="2" t="s">
        <v>573</v>
      </c>
      <c r="D2658" s="2" t="str">
        <f t="shared" si="40"/>
        <v>Error?</v>
      </c>
    </row>
    <row r="2659" spans="1:4" x14ac:dyDescent="0.2">
      <c r="A2659" s="5">
        <v>2598</v>
      </c>
      <c r="B2659" s="138">
        <f>'Acct Summary 7-8'!H13</f>
        <v>483846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483846</v>
      </c>
      <c r="C2661" s="2" t="s">
        <v>573</v>
      </c>
      <c r="D2661" s="2" t="str">
        <f t="shared" si="40"/>
        <v>Error?</v>
      </c>
    </row>
    <row r="2662" spans="1:4" x14ac:dyDescent="0.2">
      <c r="A2662" s="5">
        <v>2601</v>
      </c>
      <c r="B2662" s="138">
        <f>'Acct Summary 7-8'!H20</f>
        <v>309128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130218</v>
      </c>
      <c r="C2789" s="2" t="s">
        <v>573</v>
      </c>
      <c r="D2789" s="2" t="str">
        <f t="shared" si="42"/>
        <v>Error?</v>
      </c>
    </row>
    <row r="2790" spans="1:4" x14ac:dyDescent="0.2">
      <c r="A2790" s="5">
        <v>2729</v>
      </c>
      <c r="B2790" s="138">
        <f>'Expenditures 15-22'!E102</f>
        <v>130218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1345224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52175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1092229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1345224</v>
      </c>
      <c r="D2912" s="2" t="str">
        <f t="shared" si="44"/>
        <v>Error?</v>
      </c>
    </row>
    <row r="2913" spans="1:4" x14ac:dyDescent="0.2">
      <c r="A2913" s="5">
        <v>2852</v>
      </c>
      <c r="B2913" s="138">
        <f>'Assets-Liab 5-6'!I41</f>
        <v>1345224</v>
      </c>
      <c r="C2913" s="2" t="s">
        <v>573</v>
      </c>
      <c r="D2913" s="2" t="str">
        <f t="shared" si="44"/>
        <v>Error?</v>
      </c>
    </row>
    <row r="2914" spans="1:4" x14ac:dyDescent="0.2">
      <c r="A2914" s="5">
        <v>2853</v>
      </c>
      <c r="B2914" s="138">
        <f>'Assets-Liab 5-6'!L33</f>
        <v>477105</v>
      </c>
      <c r="D2914" s="2" t="str">
        <f t="shared" si="44"/>
        <v>Error?</v>
      </c>
    </row>
    <row r="2915" spans="1:4" x14ac:dyDescent="0.2">
      <c r="A2915" s="10">
        <v>2854</v>
      </c>
      <c r="D2915" s="2" t="str">
        <f t="shared" si="44"/>
        <v>OK</v>
      </c>
    </row>
    <row r="2916" spans="1:4" x14ac:dyDescent="0.2">
      <c r="A2916" s="5">
        <v>2855</v>
      </c>
      <c r="B2916" s="138">
        <f>'Assets-Liab 5-6'!L34</f>
        <v>477105</v>
      </c>
      <c r="C2916" s="2" t="s">
        <v>573</v>
      </c>
      <c r="D2916" s="2" t="str">
        <f t="shared" si="44"/>
        <v>Error?</v>
      </c>
    </row>
    <row r="2917" spans="1:4" x14ac:dyDescent="0.2">
      <c r="A2917" s="5">
        <v>2856</v>
      </c>
      <c r="B2917" s="138">
        <f>'Assets-Liab 5-6'!L41</f>
        <v>1092229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71225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58993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37746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108971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58993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570477</v>
      </c>
      <c r="D3055" s="2" t="str">
        <f t="shared" si="46"/>
        <v>Error?</v>
      </c>
    </row>
    <row r="3056" spans="1:4" x14ac:dyDescent="0.2">
      <c r="A3056" s="5">
        <v>2995</v>
      </c>
      <c r="B3056" s="138">
        <f>'Expenditures 15-22'!D10</f>
        <v>113339</v>
      </c>
      <c r="D3056" s="2" t="str">
        <f t="shared" si="46"/>
        <v>Error?</v>
      </c>
    </row>
    <row r="3057" spans="1:4" x14ac:dyDescent="0.2">
      <c r="A3057" s="5">
        <v>2996</v>
      </c>
      <c r="B3057" s="138">
        <f>'Expenditures 15-22'!E10</f>
        <v>304653</v>
      </c>
      <c r="D3057" s="2" t="str">
        <f t="shared" si="46"/>
        <v>Error?</v>
      </c>
    </row>
    <row r="3058" spans="1:4" x14ac:dyDescent="0.2">
      <c r="A3058" s="5">
        <v>2997</v>
      </c>
      <c r="B3058" s="138">
        <f>'Expenditures 15-22'!F10</f>
        <v>73942</v>
      </c>
      <c r="D3058" s="2" t="str">
        <f t="shared" si="46"/>
        <v>Error?</v>
      </c>
    </row>
    <row r="3059" spans="1:4" x14ac:dyDescent="0.2">
      <c r="A3059" s="5">
        <v>2998</v>
      </c>
      <c r="B3059" s="138">
        <f>'Expenditures 15-22'!G10</f>
        <v>75658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1138069</v>
      </c>
      <c r="C3062" s="2" t="s">
        <v>573</v>
      </c>
      <c r="D3062" s="2" t="str">
        <f t="shared" si="46"/>
        <v>Error?</v>
      </c>
    </row>
    <row r="3063" spans="1:4" x14ac:dyDescent="0.2">
      <c r="A3063" s="10">
        <v>3002</v>
      </c>
      <c r="D3063" s="2" t="str">
        <f t="shared" si="46"/>
        <v>OK</v>
      </c>
    </row>
    <row r="3064" spans="1:4" x14ac:dyDescent="0.2">
      <c r="A3064" s="5">
        <v>3003</v>
      </c>
      <c r="B3064" s="138">
        <f>'Expenditures 15-22'!D219</f>
        <v>41846</v>
      </c>
      <c r="D3064" s="2" t="str">
        <f t="shared" si="46"/>
        <v>Error?</v>
      </c>
    </row>
    <row r="3065" spans="1:4" x14ac:dyDescent="0.2">
      <c r="A3065" s="5">
        <v>3004</v>
      </c>
      <c r="B3065" s="138">
        <f>'Expenditures 15-22'!K219</f>
        <v>41846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615124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72074</v>
      </c>
      <c r="C3225" s="2" t="s">
        <v>573</v>
      </c>
      <c r="D3225" s="2" t="str">
        <f t="shared" si="49"/>
        <v>Error?</v>
      </c>
    </row>
    <row r="3226" spans="1:4" x14ac:dyDescent="0.2">
      <c r="A3226" s="5">
        <v>3165</v>
      </c>
      <c r="B3226" s="138">
        <f>'Acct Summary 7-8'!I8</f>
        <v>72074</v>
      </c>
      <c r="C3226" s="2" t="s">
        <v>573</v>
      </c>
      <c r="D3226" s="2" t="str">
        <f t="shared" si="49"/>
        <v>Error?</v>
      </c>
    </row>
    <row r="3227" spans="1:4" x14ac:dyDescent="0.2">
      <c r="A3227" s="5">
        <v>3166</v>
      </c>
      <c r="B3227" s="138">
        <f>'Acct Summary 7-8'!I20</f>
        <v>72074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-992342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-393426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-142085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-296997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-412982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309128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72074</v>
      </c>
      <c r="C3320" s="2" t="s">
        <v>573</v>
      </c>
      <c r="D3320" s="2" t="str">
        <f t="shared" si="50"/>
        <v>Error?</v>
      </c>
    </row>
    <row r="3321" spans="1:4" x14ac:dyDescent="0.2">
      <c r="A3321" s="5">
        <v>3260</v>
      </c>
      <c r="B3321" s="138">
        <f>'Acct Summary 7-8'!I79</f>
        <v>1273150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1345224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2716567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498511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11549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3641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3236125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91166</v>
      </c>
      <c r="D3387" s="2" t="str">
        <f t="shared" si="51"/>
        <v>Error?</v>
      </c>
    </row>
    <row r="3388" spans="1:4" x14ac:dyDescent="0.2">
      <c r="A3388" s="5">
        <v>3327</v>
      </c>
      <c r="B3388" s="138">
        <f>'Expenditures 15-22'!D217</f>
        <v>224131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91166</v>
      </c>
      <c r="C3390" s="2" t="s">
        <v>573</v>
      </c>
      <c r="D3390" s="2" t="str">
        <f t="shared" si="51"/>
        <v>Error?</v>
      </c>
    </row>
    <row r="3391" spans="1:4" x14ac:dyDescent="0.2">
      <c r="A3391" s="5">
        <v>3330</v>
      </c>
      <c r="B3391" s="138">
        <f>'Expenditures 15-22'!K217</f>
        <v>224131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4167740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229982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113451</v>
      </c>
      <c r="D3417" s="2" t="str">
        <f t="shared" si="52"/>
        <v>Error?</v>
      </c>
    </row>
    <row r="3418" spans="1:4" x14ac:dyDescent="0.2">
      <c r="A3418" s="10">
        <v>3357</v>
      </c>
      <c r="D3418" s="2" t="str">
        <f t="shared" si="52"/>
        <v>OK</v>
      </c>
    </row>
    <row r="3419" spans="1:4" x14ac:dyDescent="0.2">
      <c r="A3419" s="5">
        <v>3358</v>
      </c>
      <c r="B3419" s="138">
        <f>'Assets-Liab 5-6'!F4</f>
        <v>678778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366350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1198330</v>
      </c>
      <c r="D3425" s="2" t="str">
        <f t="shared" si="52"/>
        <v>Error?</v>
      </c>
    </row>
    <row r="3426" spans="1:4" x14ac:dyDescent="0.2">
      <c r="A3426" s="10">
        <v>3365</v>
      </c>
      <c r="D3426" s="2" t="str">
        <f t="shared" si="52"/>
        <v>OK</v>
      </c>
    </row>
    <row r="3427" spans="1:4" x14ac:dyDescent="0.2">
      <c r="A3427" s="5">
        <v>3366</v>
      </c>
      <c r="B3427" s="138">
        <f>'Assets-Liab 5-6'!I4</f>
        <v>1345224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1040054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169823</v>
      </c>
      <c r="C3446" s="2" t="s">
        <v>573</v>
      </c>
      <c r="D3446" s="2" t="str">
        <f t="shared" si="52"/>
        <v>Error?</v>
      </c>
    </row>
    <row r="3447" spans="1:4" x14ac:dyDescent="0.2">
      <c r="A3447" s="5">
        <v>3386</v>
      </c>
      <c r="B3447" s="138">
        <f>'Tax Sched 23'!D16</f>
        <v>162733</v>
      </c>
      <c r="C3447" s="2" t="s">
        <v>573</v>
      </c>
      <c r="D3447" s="2" t="str">
        <f t="shared" si="52"/>
        <v>Error?</v>
      </c>
    </row>
    <row r="3448" spans="1:4" x14ac:dyDescent="0.2">
      <c r="A3448" s="5">
        <v>3387</v>
      </c>
      <c r="B3448" s="138">
        <f>'Tax Sched 23'!C16</f>
        <v>7090</v>
      </c>
      <c r="D3448" s="2" t="str">
        <f t="shared" si="52"/>
        <v>Error?</v>
      </c>
    </row>
    <row r="3449" spans="1:4" x14ac:dyDescent="0.2">
      <c r="A3449" s="5">
        <v>3388</v>
      </c>
      <c r="B3449" s="138">
        <f>'Tax Sched 23'!F16</f>
        <v>431114</v>
      </c>
      <c r="C3449" s="2" t="s">
        <v>573</v>
      </c>
      <c r="D3449" s="2" t="str">
        <f t="shared" si="52"/>
        <v>Error?</v>
      </c>
    </row>
    <row r="3450" spans="1:4" x14ac:dyDescent="0.2">
      <c r="A3450" s="5">
        <v>3389</v>
      </c>
      <c r="B3450" s="138">
        <f>'Tax Sched 23'!E16</f>
        <v>438204</v>
      </c>
      <c r="D3450" s="2" t="str">
        <f t="shared" si="52"/>
        <v>Error?</v>
      </c>
    </row>
    <row r="3451" spans="1:4" x14ac:dyDescent="0.2">
      <c r="A3451" s="5">
        <v>3390</v>
      </c>
      <c r="B3451" s="138">
        <f>'Cap Outlay Deprec 26'!C15</f>
        <v>544772</v>
      </c>
      <c r="D3451" s="2" t="str">
        <f t="shared" si="52"/>
        <v>Error?</v>
      </c>
    </row>
    <row r="3452" spans="1:4" x14ac:dyDescent="0.2">
      <c r="A3452" s="5">
        <v>3391</v>
      </c>
      <c r="B3452" s="138">
        <f>'Cap Outlay Deprec 26'!D15</f>
        <v>524070</v>
      </c>
      <c r="D3452" s="2" t="str">
        <f t="shared" si="52"/>
        <v>Error?</v>
      </c>
    </row>
    <row r="3453" spans="1:4" x14ac:dyDescent="0.2">
      <c r="A3453" s="5">
        <v>3392</v>
      </c>
      <c r="B3453" s="138">
        <f>'Cap Outlay Deprec 26'!E15</f>
        <v>486902</v>
      </c>
      <c r="D3453" s="2" t="str">
        <f t="shared" si="52"/>
        <v>Error?</v>
      </c>
    </row>
    <row r="3454" spans="1:4" x14ac:dyDescent="0.2">
      <c r="A3454" s="5">
        <v>3393</v>
      </c>
      <c r="B3454" s="138">
        <f>'Cap Outlay Deprec 26'!F15</f>
        <v>581940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581940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1336487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1336487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1336487</v>
      </c>
      <c r="D3567" s="2" t="str">
        <f t="shared" si="54"/>
        <v>Error?</v>
      </c>
    </row>
    <row r="3568" spans="1:4" x14ac:dyDescent="0.2">
      <c r="A3568" s="5">
        <v>3507</v>
      </c>
      <c r="B3568" s="138">
        <f>'Assets-Liab 5-6'!K41</f>
        <v>1336487</v>
      </c>
      <c r="C3568" s="2" t="s">
        <v>573</v>
      </c>
      <c r="D3568" s="2" t="str">
        <f t="shared" si="54"/>
        <v>Error?</v>
      </c>
    </row>
    <row r="3569" spans="1:4" x14ac:dyDescent="0.2">
      <c r="A3569" s="5">
        <v>3508</v>
      </c>
      <c r="B3569" s="138">
        <f>'Acct Summary 7-8'!K4</f>
        <v>88432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88432</v>
      </c>
      <c r="C3571" s="2" t="s">
        <v>573</v>
      </c>
      <c r="D3571" s="2" t="str">
        <f t="shared" si="54"/>
        <v>Error?</v>
      </c>
    </row>
    <row r="3572" spans="1:4" x14ac:dyDescent="0.2">
      <c r="A3572" s="5">
        <v>3511</v>
      </c>
      <c r="B3572" s="138">
        <f>'Acct Summary 7-8'!K13</f>
        <v>1821954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1821954</v>
      </c>
      <c r="C3575" s="2" t="s">
        <v>573</v>
      </c>
      <c r="D3575" s="2" t="str">
        <f t="shared" si="54"/>
        <v>Error?</v>
      </c>
    </row>
    <row r="3576" spans="1:4" x14ac:dyDescent="0.2">
      <c r="A3576" s="5">
        <v>3515</v>
      </c>
      <c r="B3576" s="138">
        <f>'Acct Summary 7-8'!K20</f>
        <v>-1733522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-1733522</v>
      </c>
      <c r="C3588" s="2" t="s">
        <v>573</v>
      </c>
      <c r="D3588" s="2" t="str">
        <f t="shared" si="55"/>
        <v>Error?</v>
      </c>
    </row>
    <row r="3589" spans="1:4" x14ac:dyDescent="0.2">
      <c r="A3589" s="5">
        <v>3528</v>
      </c>
      <c r="B3589" s="138">
        <f>'Acct Summary 7-8'!K79</f>
        <v>3070009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1336487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12549</v>
      </c>
      <c r="D3618" s="2" t="str">
        <f t="shared" si="55"/>
        <v>Error?</v>
      </c>
    </row>
    <row r="3619" spans="1:4" x14ac:dyDescent="0.2">
      <c r="A3619" s="5">
        <v>3558</v>
      </c>
      <c r="B3619" s="138">
        <f>'Expenditures 15-22'!C350</f>
        <v>12549</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12549</v>
      </c>
      <c r="C3621" s="2" t="s">
        <v>573</v>
      </c>
      <c r="D3621" s="2" t="str">
        <f t="shared" si="55"/>
        <v>Error?</v>
      </c>
    </row>
    <row r="3622" spans="1:4" x14ac:dyDescent="0.2">
      <c r="A3622" s="5">
        <v>3561</v>
      </c>
      <c r="B3622" s="138">
        <f>'Expenditures 15-22'!C367</f>
        <v>12549</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1741</v>
      </c>
      <c r="D3625" s="2" t="str">
        <f t="shared" si="55"/>
        <v>Error?</v>
      </c>
    </row>
    <row r="3626" spans="1:4" x14ac:dyDescent="0.2">
      <c r="A3626" s="5">
        <v>3565</v>
      </c>
      <c r="B3626" s="138">
        <f>'Expenditures 15-22'!D350</f>
        <v>1741</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1741</v>
      </c>
      <c r="C3628" s="2" t="s">
        <v>573</v>
      </c>
      <c r="D3628" s="2" t="str">
        <f t="shared" si="55"/>
        <v>Error?</v>
      </c>
    </row>
    <row r="3629" spans="1:4" x14ac:dyDescent="0.2">
      <c r="A3629" s="5">
        <v>3568</v>
      </c>
      <c r="B3629" s="138">
        <f>'Expenditures 15-22'!D367</f>
        <v>1741</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1797304</v>
      </c>
      <c r="D3632" s="2" t="str">
        <f t="shared" si="55"/>
        <v>Error?</v>
      </c>
    </row>
    <row r="3633" spans="1:4" x14ac:dyDescent="0.2">
      <c r="A3633" s="5">
        <v>3572</v>
      </c>
      <c r="B3633" s="138">
        <f>'Expenditures 15-22'!E350</f>
        <v>1797304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1797304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7630</v>
      </c>
      <c r="D3639" s="2" t="str">
        <f t="shared" si="55"/>
        <v>Error?</v>
      </c>
    </row>
    <row r="3640" spans="1:4" x14ac:dyDescent="0.2">
      <c r="A3640" s="5">
        <v>3579</v>
      </c>
      <c r="B3640" s="138">
        <f>'Expenditures 15-22'!F350</f>
        <v>7630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7630</v>
      </c>
      <c r="C3642" s="2" t="s">
        <v>573</v>
      </c>
      <c r="D3642" s="2" t="str">
        <f t="shared" si="55"/>
        <v>Error?</v>
      </c>
    </row>
    <row r="3643" spans="1:4" x14ac:dyDescent="0.2">
      <c r="A3643" s="5">
        <v>3582</v>
      </c>
      <c r="B3643" s="138">
        <f>'Expenditures 15-22'!F367</f>
        <v>7630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2730</v>
      </c>
      <c r="D3646" s="2" t="str">
        <f t="shared" si="55"/>
        <v>Error?</v>
      </c>
    </row>
    <row r="3647" spans="1:4" x14ac:dyDescent="0.2">
      <c r="A3647" s="5">
        <v>3586</v>
      </c>
      <c r="B3647" s="138">
        <f>'Expenditures 15-22'!G350</f>
        <v>2730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2730</v>
      </c>
      <c r="C3649" s="2" t="s">
        <v>573</v>
      </c>
      <c r="D3649" s="2" t="str">
        <f t="shared" si="56"/>
        <v>Error?</v>
      </c>
    </row>
    <row r="3650" spans="1:4" x14ac:dyDescent="0.2">
      <c r="A3650" s="5">
        <v>3589</v>
      </c>
      <c r="B3650" s="138">
        <f>'Expenditures 15-22'!G367</f>
        <v>2730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1821954</v>
      </c>
      <c r="C3669" s="2" t="s">
        <v>573</v>
      </c>
      <c r="D3669" s="2" t="str">
        <f t="shared" si="56"/>
        <v>Error?</v>
      </c>
    </row>
    <row r="3670" spans="1:4" x14ac:dyDescent="0.2">
      <c r="A3670" s="5">
        <v>3609</v>
      </c>
      <c r="B3670" s="138">
        <f>'Expenditures 15-22'!K350</f>
        <v>1821954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1821954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1821954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-1733522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50342</v>
      </c>
      <c r="C3725" s="2" t="s">
        <v>573</v>
      </c>
      <c r="D3725" s="2" t="str">
        <f t="shared" si="57"/>
        <v>Error?</v>
      </c>
    </row>
    <row r="3726" spans="1:4" x14ac:dyDescent="0.2">
      <c r="A3726" s="5">
        <v>3665</v>
      </c>
      <c r="B3726" s="138">
        <f>'Tax Sched 23'!D13</f>
        <v>48594</v>
      </c>
      <c r="C3726" s="2" t="s">
        <v>573</v>
      </c>
      <c r="D3726" s="2" t="str">
        <f t="shared" si="57"/>
        <v>Error?</v>
      </c>
    </row>
    <row r="3727" spans="1:4" x14ac:dyDescent="0.2">
      <c r="A3727" s="5">
        <v>3666</v>
      </c>
      <c r="B3727" s="138">
        <f>'Tax Sched 23'!C13</f>
        <v>1748</v>
      </c>
      <c r="D3727" s="2" t="str">
        <f t="shared" si="57"/>
        <v>Error?</v>
      </c>
    </row>
    <row r="3728" spans="1:4" x14ac:dyDescent="0.2">
      <c r="A3728" s="5">
        <v>3667</v>
      </c>
      <c r="B3728" s="138">
        <f>'Tax Sched 23'!F13</f>
        <v>106290</v>
      </c>
      <c r="C3728" s="2" t="s">
        <v>573</v>
      </c>
      <c r="D3728" s="2" t="str">
        <f t="shared" si="57"/>
        <v>Error?</v>
      </c>
    </row>
    <row r="3729" spans="1:4" x14ac:dyDescent="0.2">
      <c r="A3729" s="5">
        <v>3668</v>
      </c>
      <c r="B3729" s="138">
        <f>'Tax Sched 23'!E13</f>
        <v>108038</v>
      </c>
      <c r="D3729" s="2" t="str">
        <f t="shared" si="57"/>
        <v>Error?</v>
      </c>
    </row>
    <row r="3730" spans="1:4" x14ac:dyDescent="0.2">
      <c r="A3730" s="5">
        <v>3669</v>
      </c>
      <c r="B3730" s="138">
        <f>'ICR Computation 30'!E10</f>
        <v>631624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1128698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18406775</v>
      </c>
      <c r="C4122" s="2" t="s">
        <v>573</v>
      </c>
      <c r="D4122" s="2" t="str">
        <f t="shared" si="63"/>
        <v>Error?</v>
      </c>
    </row>
    <row r="4123" spans="1:4" x14ac:dyDescent="0.2">
      <c r="A4123" s="5">
        <v>4062</v>
      </c>
      <c r="B4123" s="138">
        <f>'Acct Summary 7-8'!D10</f>
        <v>1453682</v>
      </c>
      <c r="C4123" s="2" t="s">
        <v>573</v>
      </c>
      <c r="D4123" s="2" t="str">
        <f t="shared" si="63"/>
        <v>Error?</v>
      </c>
    </row>
    <row r="4124" spans="1:4" x14ac:dyDescent="0.2">
      <c r="A4124" s="5">
        <v>4063</v>
      </c>
      <c r="B4124" s="138">
        <f>'Acct Summary 7-8'!E10</f>
        <v>700990</v>
      </c>
      <c r="C4124" s="2" t="s">
        <v>573</v>
      </c>
      <c r="D4124" s="2" t="str">
        <f t="shared" si="63"/>
        <v>Error?</v>
      </c>
    </row>
    <row r="4125" spans="1:4" x14ac:dyDescent="0.2">
      <c r="A4125" s="5">
        <v>4064</v>
      </c>
      <c r="B4125" s="138">
        <f>'Acct Summary 7-8'!F10</f>
        <v>1062212</v>
      </c>
      <c r="C4125" s="2" t="s">
        <v>573</v>
      </c>
      <c r="D4125" s="2" t="str">
        <f t="shared" si="63"/>
        <v>Error?</v>
      </c>
    </row>
    <row r="4126" spans="1:4" x14ac:dyDescent="0.2">
      <c r="A4126" s="5">
        <v>4065</v>
      </c>
      <c r="B4126" s="138">
        <f>'Acct Summary 7-8'!G10</f>
        <v>529013</v>
      </c>
      <c r="C4126" s="2" t="s">
        <v>573</v>
      </c>
      <c r="D4126" s="2" t="str">
        <f t="shared" si="63"/>
        <v>Error?</v>
      </c>
    </row>
    <row r="4127" spans="1:4" x14ac:dyDescent="0.2">
      <c r="A4127" s="5">
        <v>4066</v>
      </c>
      <c r="B4127" s="138">
        <f>'Acct Summary 7-8'!H10</f>
        <v>792974</v>
      </c>
      <c r="C4127" s="2" t="s">
        <v>573</v>
      </c>
      <c r="D4127" s="2" t="str">
        <f t="shared" si="63"/>
        <v>Error?</v>
      </c>
    </row>
    <row r="4128" spans="1:4" x14ac:dyDescent="0.2">
      <c r="A4128" s="5">
        <v>4067</v>
      </c>
      <c r="B4128" s="138">
        <f>'Acct Summary 7-8'!I10</f>
        <v>72074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88432</v>
      </c>
      <c r="C4130" s="2" t="s">
        <v>573</v>
      </c>
      <c r="D4130" s="2" t="str">
        <f t="shared" si="63"/>
        <v>Error?</v>
      </c>
    </row>
    <row r="4131" spans="1:4" x14ac:dyDescent="0.2">
      <c r="A4131" s="5">
        <v>4070</v>
      </c>
      <c r="B4131" s="138">
        <f>'Acct Summary 7-8'!C18</f>
        <v>1128698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19399117</v>
      </c>
      <c r="C4136" s="2" t="s">
        <v>573</v>
      </c>
      <c r="D4136" s="2" t="str">
        <f t="shared" si="63"/>
        <v>Error?</v>
      </c>
    </row>
    <row r="4137" spans="1:4" x14ac:dyDescent="0.2">
      <c r="A4137" s="5">
        <v>4076</v>
      </c>
      <c r="B4137" s="138">
        <f>'Acct Summary 7-8'!D19</f>
        <v>1847108</v>
      </c>
      <c r="C4137" s="2" t="s">
        <v>573</v>
      </c>
      <c r="D4137" s="2" t="str">
        <f t="shared" si="63"/>
        <v>Error?</v>
      </c>
    </row>
    <row r="4138" spans="1:4" x14ac:dyDescent="0.2">
      <c r="A4138" s="5">
        <v>4077</v>
      </c>
      <c r="B4138" s="138">
        <f>'Acct Summary 7-8'!E19</f>
        <v>1113972</v>
      </c>
      <c r="C4138" s="2" t="s">
        <v>573</v>
      </c>
      <c r="D4138" s="2" t="str">
        <f t="shared" si="63"/>
        <v>Error?</v>
      </c>
    </row>
    <row r="4139" spans="1:4" x14ac:dyDescent="0.2">
      <c r="A4139" s="5">
        <v>4078</v>
      </c>
      <c r="B4139" s="138">
        <f>'Acct Summary 7-8'!F19</f>
        <v>1204297</v>
      </c>
      <c r="C4139" s="2" t="s">
        <v>573</v>
      </c>
      <c r="D4139" s="2" t="str">
        <f t="shared" si="63"/>
        <v>Error?</v>
      </c>
    </row>
    <row r="4140" spans="1:4" x14ac:dyDescent="0.2">
      <c r="A4140" s="5">
        <v>4079</v>
      </c>
      <c r="B4140" s="138">
        <f>'Acct Summary 7-8'!G19</f>
        <v>826010</v>
      </c>
      <c r="C4140" s="2" t="s">
        <v>573</v>
      </c>
      <c r="D4140" s="2" t="str">
        <f t="shared" si="63"/>
        <v>Error?</v>
      </c>
    </row>
    <row r="4141" spans="1:4" x14ac:dyDescent="0.2">
      <c r="A4141" s="5">
        <v>4080</v>
      </c>
      <c r="B4141" s="138">
        <f>'Acct Summary 7-8'!H19</f>
        <v>483846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1821954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7644194</v>
      </c>
      <c r="C4171" s="2" t="s">
        <v>573</v>
      </c>
      <c r="D4171" s="2" t="str">
        <f t="shared" si="64"/>
        <v>Error?</v>
      </c>
    </row>
    <row r="4172" spans="1:4" x14ac:dyDescent="0.2">
      <c r="A4172" s="5">
        <v>4111</v>
      </c>
      <c r="B4172" s="138">
        <f>'Short-Term Long-Term Debt 24'!J49</f>
        <v>7530743</v>
      </c>
      <c r="C4172" s="2" t="s">
        <v>573</v>
      </c>
      <c r="D4172" s="2" t="str">
        <f t="shared" si="64"/>
        <v>Error?</v>
      </c>
    </row>
    <row r="4173" spans="1:4" x14ac:dyDescent="0.2">
      <c r="A4173" s="5">
        <v>4112</v>
      </c>
      <c r="B4173" s="138">
        <f>'Short-Term Long-Term Debt 24'!H49</f>
        <v>894525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11295542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7120</v>
      </c>
      <c r="D4331" s="2" t="str">
        <f t="shared" si="66"/>
        <v>Error?</v>
      </c>
    </row>
    <row r="4332" spans="1:4" x14ac:dyDescent="0.2">
      <c r="A4332" s="5">
        <v>4271</v>
      </c>
      <c r="B4332" s="138">
        <f>'Revenues 9-14'!C203</f>
        <v>25655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28489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217852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39068</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39068</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39579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93978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7920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216076850</v>
      </c>
      <c r="D4995" s="2" t="str">
        <f t="shared" si="77"/>
        <v>Error?</v>
      </c>
    </row>
    <row r="4996" spans="1:4" x14ac:dyDescent="0.2">
      <c r="A4996" s="12">
        <v>4935</v>
      </c>
      <c r="B4996" s="138">
        <f>'FP Info 3'!H31</f>
        <v>29818605.300000001</v>
      </c>
      <c r="D4996" s="2" t="str">
        <f t="shared" si="77"/>
        <v>Error?</v>
      </c>
    </row>
    <row r="4997" spans="1:4" x14ac:dyDescent="0.2">
      <c r="A4997" s="12">
        <v>4936</v>
      </c>
      <c r="B4997" s="138">
        <f>'FP Info 3'!H37</f>
        <v>7644194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50342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1849693</v>
      </c>
      <c r="D5061" s="2" t="str">
        <f t="shared" si="78"/>
        <v>Error?</v>
      </c>
    </row>
    <row r="5062" spans="1:4" x14ac:dyDescent="0.2">
      <c r="A5062" s="10">
        <v>5001</v>
      </c>
      <c r="D5062" s="2" t="str">
        <f t="shared" si="78"/>
        <v>OK</v>
      </c>
    </row>
    <row r="5063" spans="1:4" x14ac:dyDescent="0.2">
      <c r="A5063" s="5">
        <v>5002</v>
      </c>
      <c r="B5063" s="138">
        <f>'Revenues 9-14'!C7</f>
        <v>40354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1940389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2649418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2649418</v>
      </c>
      <c r="C5071" s="2" t="s">
        <v>573</v>
      </c>
      <c r="D5071" s="2" t="str">
        <f t="shared" si="78"/>
        <v>Error?</v>
      </c>
    </row>
    <row r="5072" spans="1:4" x14ac:dyDescent="0.2">
      <c r="A5072" s="5">
        <v>5011</v>
      </c>
      <c r="B5072" s="138">
        <f>'Revenues 9-14'!C20</f>
        <v>27909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58332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86241</v>
      </c>
      <c r="C5087" s="2" t="s">
        <v>573</v>
      </c>
      <c r="D5087" s="2" t="str">
        <f t="shared" si="78"/>
        <v>Error?</v>
      </c>
    </row>
    <row r="5088" spans="1:4" x14ac:dyDescent="0.2">
      <c r="A5088" s="5">
        <v>5027</v>
      </c>
      <c r="B5088" s="138">
        <f>'Revenues 9-14'!C65</f>
        <v>147111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147111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21012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2288</v>
      </c>
      <c r="D5094" s="2" t="str">
        <f t="shared" si="78"/>
        <v>Error?</v>
      </c>
    </row>
    <row r="5095" spans="1:4" x14ac:dyDescent="0.2">
      <c r="A5095" s="5">
        <v>5034</v>
      </c>
      <c r="B5095" s="138">
        <f>'Revenues 9-14'!C74</f>
        <v>24684</v>
      </c>
      <c r="D5095" s="2" t="str">
        <f t="shared" si="78"/>
        <v>Error?</v>
      </c>
    </row>
    <row r="5096" spans="1:4" x14ac:dyDescent="0.2">
      <c r="A5096" s="5">
        <v>5035</v>
      </c>
      <c r="B5096" s="138">
        <f>'Revenues 9-14'!C75</f>
        <v>188327</v>
      </c>
      <c r="C5096" s="2" t="s">
        <v>573</v>
      </c>
      <c r="D5096" s="2" t="str">
        <f t="shared" si="78"/>
        <v>Error?</v>
      </c>
    </row>
    <row r="5097" spans="1:4" x14ac:dyDescent="0.2">
      <c r="A5097" s="5">
        <v>5036</v>
      </c>
      <c r="B5097" s="138">
        <f>'Revenues 9-14'!C77</f>
        <v>59110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30315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89425</v>
      </c>
      <c r="C5102" s="2" t="s">
        <v>573</v>
      </c>
      <c r="D5102" s="2" t="str">
        <f t="shared" si="78"/>
        <v>Error?</v>
      </c>
    </row>
    <row r="5103" spans="1:4" x14ac:dyDescent="0.2">
      <c r="A5103" s="5">
        <v>5042</v>
      </c>
      <c r="B5103" s="138">
        <f>'Revenues 9-14'!C84</f>
        <v>150804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2735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153539</v>
      </c>
      <c r="C5112" s="2" t="s">
        <v>573</v>
      </c>
      <c r="D5112" s="2" t="str">
        <f t="shared" si="78"/>
        <v>Error?</v>
      </c>
    </row>
    <row r="5113" spans="1:4" x14ac:dyDescent="0.2">
      <c r="A5113" s="5">
        <v>5052</v>
      </c>
      <c r="B5113" s="138">
        <f>'Revenues 9-14'!C95</f>
        <v>7392</v>
      </c>
      <c r="D5113" s="2" t="str">
        <f t="shared" si="78"/>
        <v>Error?</v>
      </c>
    </row>
    <row r="5114" spans="1:4" x14ac:dyDescent="0.2">
      <c r="A5114" s="5">
        <v>5053</v>
      </c>
      <c r="B5114" s="138">
        <f>'Revenues 9-14'!C96</f>
        <v>352138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34541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33288</v>
      </c>
      <c r="D5119" s="2" t="str">
        <f t="shared" ref="D5119:D5182" si="79">IF(ISBLANK(B5119),"OK",IF(A5119-B5119=0,"OK","Error?"))</f>
        <v>Error?</v>
      </c>
    </row>
    <row r="5120" spans="1:4" x14ac:dyDescent="0.2">
      <c r="A5120" s="5">
        <v>5059</v>
      </c>
      <c r="B5120" s="138">
        <f>'Revenues 9-14'!C108</f>
        <v>436549</v>
      </c>
      <c r="C5120" s="2" t="s">
        <v>573</v>
      </c>
      <c r="D5120" s="2" t="str">
        <f t="shared" si="79"/>
        <v>Error?</v>
      </c>
    </row>
    <row r="5121" spans="1:4" x14ac:dyDescent="0.2">
      <c r="A5121" s="5">
        <v>5060</v>
      </c>
      <c r="B5121" s="138">
        <f>'Revenues 9-14'!C109</f>
        <v>5690999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8845664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8845664</v>
      </c>
      <c r="C5132" s="2" t="s">
        <v>573</v>
      </c>
      <c r="D5132" s="2" t="str">
        <f t="shared" si="79"/>
        <v>Error?</v>
      </c>
    </row>
    <row r="5133" spans="1:4" x14ac:dyDescent="0.2">
      <c r="A5133" s="5">
        <v>5072</v>
      </c>
      <c r="B5133" s="138">
        <f>'Revenues 9-14'!C125</f>
        <v>24726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257617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282343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107801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121076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11376</v>
      </c>
      <c r="D5167" s="2" t="str">
        <f t="shared" si="79"/>
        <v>Error?</v>
      </c>
    </row>
    <row r="5168" spans="1:4" x14ac:dyDescent="0.2">
      <c r="A5168" s="5">
        <v>5107</v>
      </c>
      <c r="B5168" s="138">
        <f>'Revenues 9-14'!C148</f>
        <v>30327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291267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736389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9582053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488154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136246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7225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638745</v>
      </c>
      <c r="C5246" s="2" t="s">
        <v>573</v>
      </c>
      <c r="D5246" s="2" t="str">
        <f t="shared" si="80"/>
        <v>Error?</v>
      </c>
    </row>
    <row r="5247" spans="1:4" x14ac:dyDescent="0.2">
      <c r="A5247" s="5">
        <v>5186</v>
      </c>
      <c r="B5247" s="138">
        <f>'Revenues 9-14'!C200</f>
        <v>694074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39579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719729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134285</v>
      </c>
      <c r="D5278" s="2" t="str">
        <f t="shared" si="81"/>
        <v>Error?</v>
      </c>
    </row>
    <row r="5279" spans="1:4" x14ac:dyDescent="0.2">
      <c r="A5279" s="5">
        <v>5218</v>
      </c>
      <c r="B5279" s="138">
        <f>'Revenues 9-14'!C214</f>
        <v>85380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219665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2005025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2005025</v>
      </c>
      <c r="C5326" s="2" t="s">
        <v>573</v>
      </c>
      <c r="D5326" s="2" t="str">
        <f t="shared" si="82"/>
        <v>Error?</v>
      </c>
    </row>
    <row r="5327" spans="1:5" x14ac:dyDescent="0.2">
      <c r="A5327" s="5">
        <v>5266</v>
      </c>
      <c r="B5327" s="138">
        <f>'Revenues 9-14'!C268</f>
        <v>17278077</v>
      </c>
      <c r="C5327" s="2" t="s">
        <v>573</v>
      </c>
      <c r="D5327" s="2" t="str">
        <f t="shared" si="82"/>
        <v>Error?</v>
      </c>
    </row>
    <row r="5328" spans="1:5" x14ac:dyDescent="0.2">
      <c r="A5328" s="5">
        <v>5267</v>
      </c>
      <c r="B5328" s="138">
        <f>'Revenues 9-14'!D5</f>
        <v>504407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504407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850000</v>
      </c>
      <c r="C5339" s="2" t="s">
        <v>573</v>
      </c>
      <c r="D5339" s="2" t="str">
        <f t="shared" si="82"/>
        <v>Error?</v>
      </c>
    </row>
    <row r="5340" spans="1:4" x14ac:dyDescent="0.2">
      <c r="A5340" s="5">
        <v>5279</v>
      </c>
      <c r="B5340" s="138">
        <f>'Revenues 9-14'!D65</f>
        <v>13640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13640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77229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8406</v>
      </c>
      <c r="D5354" s="2" t="str">
        <f t="shared" si="82"/>
        <v>Error?</v>
      </c>
    </row>
    <row r="5355" spans="1:4" x14ac:dyDescent="0.2">
      <c r="A5355" s="5">
        <v>5294</v>
      </c>
      <c r="B5355" s="138">
        <f>'Revenues 9-14'!D108</f>
        <v>85635</v>
      </c>
      <c r="C5355" s="2" t="s">
        <v>573</v>
      </c>
      <c r="D5355" s="2" t="str">
        <f t="shared" si="82"/>
        <v>Error?</v>
      </c>
    </row>
    <row r="5356" spans="1:4" x14ac:dyDescent="0.2">
      <c r="A5356" s="5">
        <v>5295</v>
      </c>
      <c r="B5356" s="138">
        <f>'Revenues 9-14'!D109</f>
        <v>1453682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1453682</v>
      </c>
      <c r="C5508" s="2" t="s">
        <v>573</v>
      </c>
      <c r="D5508" s="2" t="str">
        <f t="shared" si="85"/>
        <v>Error?</v>
      </c>
    </row>
    <row r="5509" spans="1:4" x14ac:dyDescent="0.2">
      <c r="A5509" s="5">
        <v>5448</v>
      </c>
      <c r="B5509" s="138">
        <f>'Revenues 9-14'!E5</f>
        <v>372682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372682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5707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72601</v>
      </c>
      <c r="D5525" s="2" t="str">
        <f t="shared" si="85"/>
        <v>Error?</v>
      </c>
    </row>
    <row r="5526" spans="1:4" x14ac:dyDescent="0.2">
      <c r="A5526" s="5">
        <v>5465</v>
      </c>
      <c r="B5526" s="138">
        <f>'Revenues 9-14'!E108</f>
        <v>322601</v>
      </c>
      <c r="C5526" s="2" t="s">
        <v>573</v>
      </c>
      <c r="D5526" s="2" t="str">
        <f t="shared" si="85"/>
        <v>Error?</v>
      </c>
    </row>
    <row r="5527" spans="1:4" x14ac:dyDescent="0.2">
      <c r="A5527" s="5">
        <v>5466</v>
      </c>
      <c r="B5527" s="138">
        <f>'Revenues 9-14'!E109</f>
        <v>700990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700990</v>
      </c>
      <c r="C5552" s="2" t="s">
        <v>573</v>
      </c>
      <c r="D5552" s="2" t="str">
        <f t="shared" si="85"/>
        <v>Error?</v>
      </c>
    </row>
    <row r="5553" spans="1:4" x14ac:dyDescent="0.2">
      <c r="A5553" s="5">
        <v>5492</v>
      </c>
      <c r="B5553" s="138">
        <f>'Revenues 9-14'!F5</f>
        <v>201373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201373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130000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10944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10944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117568</v>
      </c>
      <c r="D5586" s="2" t="str">
        <f t="shared" si="86"/>
        <v>Error?</v>
      </c>
    </row>
    <row r="5587" spans="1:4" x14ac:dyDescent="0.2">
      <c r="A5587" s="5">
        <v>5526</v>
      </c>
      <c r="B5587" s="138">
        <f>'Revenues 9-14'!F108</f>
        <v>117568</v>
      </c>
      <c r="C5587" s="2" t="s">
        <v>573</v>
      </c>
      <c r="D5587" s="2" t="str">
        <f t="shared" si="86"/>
        <v>Error?</v>
      </c>
    </row>
    <row r="5588" spans="1:4" x14ac:dyDescent="0.2">
      <c r="A5588" s="5">
        <v>5527</v>
      </c>
      <c r="B5588" s="138">
        <f>'Revenues 9-14'!F109</f>
        <v>459885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7803</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7803</v>
      </c>
      <c r="C5614" s="2" t="s">
        <v>573</v>
      </c>
      <c r="D5614" s="2" t="str">
        <f t="shared" si="86"/>
        <v>Error?</v>
      </c>
    </row>
    <row r="5615" spans="1:4" x14ac:dyDescent="0.2">
      <c r="A5615" s="5">
        <v>5554</v>
      </c>
      <c r="B5615" s="138">
        <f>'Revenues 9-14'!F152</f>
        <v>237301</v>
      </c>
      <c r="D5615" s="2" t="str">
        <f t="shared" si="86"/>
        <v>Error?</v>
      </c>
    </row>
    <row r="5616" spans="1:4" x14ac:dyDescent="0.2">
      <c r="A5616" s="10">
        <v>5555</v>
      </c>
      <c r="D5616" s="2" t="str">
        <f t="shared" si="86"/>
        <v>OK</v>
      </c>
    </row>
    <row r="5617" spans="1:5" x14ac:dyDescent="0.2">
      <c r="A5617" s="5">
        <v>5556</v>
      </c>
      <c r="B5617" s="138">
        <f>'Revenues 9-14'!F153</f>
        <v>351158</v>
      </c>
      <c r="D5617" s="2" t="str">
        <f t="shared" si="86"/>
        <v>Error?</v>
      </c>
    </row>
    <row r="5618" spans="1:5" x14ac:dyDescent="0.2">
      <c r="A5618" s="5">
        <v>5557</v>
      </c>
      <c r="B5618" s="138">
        <f>'Revenues 9-14'!F155</f>
        <v>588459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596262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596262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6065</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6065</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6065</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6065</v>
      </c>
      <c r="C5719" s="2" t="s">
        <v>573</v>
      </c>
      <c r="D5719" s="2" t="str">
        <f t="shared" si="88"/>
        <v>Error?</v>
      </c>
    </row>
    <row r="5720" spans="1:4" x14ac:dyDescent="0.2">
      <c r="A5720" s="5">
        <v>5659</v>
      </c>
      <c r="B5720" s="138">
        <f>'Revenues 9-14'!F268</f>
        <v>1062212</v>
      </c>
      <c r="C5720" s="2" t="s">
        <v>573</v>
      </c>
      <c r="D5720" s="2" t="str">
        <f t="shared" si="88"/>
        <v>Error?</v>
      </c>
    </row>
    <row r="5721" spans="1:4" x14ac:dyDescent="0.2">
      <c r="A5721" s="5">
        <v>5660</v>
      </c>
      <c r="B5721" s="138">
        <f>'Revenues 9-14'!G5</f>
        <v>118511</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169823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288334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230000</v>
      </c>
      <c r="C5730" s="2" t="s">
        <v>573</v>
      </c>
      <c r="D5730" s="2" t="str">
        <f t="shared" si="88"/>
        <v>Error?</v>
      </c>
    </row>
    <row r="5731" spans="1:4" x14ac:dyDescent="0.2">
      <c r="A5731" s="5">
        <v>5670</v>
      </c>
      <c r="B5731" s="138">
        <f>'Revenues 9-14'!G65</f>
        <v>10679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10679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529013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15497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15497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26469</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777477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792974</v>
      </c>
      <c r="C5915" s="2" t="s">
        <v>573</v>
      </c>
      <c r="D5915" s="2" t="str">
        <f t="shared" si="91"/>
        <v>Error?</v>
      </c>
    </row>
    <row r="5916" spans="1:4" x14ac:dyDescent="0.2">
      <c r="A5916" s="5">
        <v>5855</v>
      </c>
      <c r="B5916" s="138">
        <f>'Revenues 9-14'!I5</f>
        <v>50342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50342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21732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21732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72074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50342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50342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26590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26590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11500</v>
      </c>
      <c r="D5998" s="2" t="str">
        <f t="shared" si="92"/>
        <v>Error?</v>
      </c>
    </row>
    <row r="5999" spans="1:4" x14ac:dyDescent="0.2">
      <c r="A5999" s="5">
        <v>5938</v>
      </c>
      <c r="B5999" s="138">
        <f>'Revenues 9-14'!K108</f>
        <v>11500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88432</v>
      </c>
      <c r="C6023" s="2" t="s">
        <v>573</v>
      </c>
      <c r="D6023" s="2" t="str">
        <f t="shared" si="93"/>
        <v>Error?</v>
      </c>
    </row>
    <row r="6024" spans="1:5" x14ac:dyDescent="0.2">
      <c r="A6024" s="5">
        <v>5963</v>
      </c>
      <c r="B6024" s="138">
        <f>'Revenues 9-14'!G109</f>
        <v>529013</v>
      </c>
      <c r="C6024" s="2" t="s">
        <v>573</v>
      </c>
      <c r="D6024" s="2" t="str">
        <f t="shared" si="93"/>
        <v>Error?</v>
      </c>
    </row>
    <row r="6025" spans="1:5" x14ac:dyDescent="0.2">
      <c r="A6025" s="5">
        <v>5964</v>
      </c>
      <c r="B6025" s="138">
        <f>'Revenues 9-14'!H109</f>
        <v>792974</v>
      </c>
      <c r="C6025" s="2" t="s">
        <v>573</v>
      </c>
      <c r="D6025" s="2" t="str">
        <f t="shared" si="93"/>
        <v>Error?</v>
      </c>
    </row>
    <row r="6026" spans="1:5" x14ac:dyDescent="0.2">
      <c r="A6026" s="5">
        <v>5965</v>
      </c>
      <c r="B6026" s="138">
        <f>'Revenues 9-14'!I109</f>
        <v>72074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88432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140343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72669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2183.1999999999998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261680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261680</v>
      </c>
      <c r="D6215" s="2" t="str">
        <f t="shared" si="96"/>
        <v>Error?</v>
      </c>
      <c r="E6215" s="2" t="s">
        <v>190</v>
      </c>
    </row>
    <row r="6216" spans="1:5" x14ac:dyDescent="0.2">
      <c r="A6216">
        <v>6155</v>
      </c>
      <c r="B6216" s="138">
        <f>'Assets-Liab 5-6'!J41</f>
        <v>261680</v>
      </c>
      <c r="D6216" s="2" t="str">
        <f t="shared" si="96"/>
        <v>Error?</v>
      </c>
      <c r="E6216" s="2" t="s">
        <v>190</v>
      </c>
    </row>
    <row r="6217" spans="1:5" x14ac:dyDescent="0.2">
      <c r="A6217">
        <v>6156</v>
      </c>
      <c r="B6217" s="138">
        <f>'Assets-Liab 5-6'!J4</f>
        <v>261680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573052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573052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573052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1011442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1011442</v>
      </c>
      <c r="D6229" s="2" t="str">
        <f t="shared" si="96"/>
        <v>Error?</v>
      </c>
      <c r="E6229" s="2" t="s">
        <v>190</v>
      </c>
    </row>
    <row r="6230" spans="1:5" x14ac:dyDescent="0.2">
      <c r="A6230">
        <v>6169</v>
      </c>
      <c r="B6230" s="138">
        <f>'Acct Summary 7-8'!J20</f>
        <v>-438390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-438390</v>
      </c>
      <c r="D6263" s="2" t="str">
        <f t="shared" si="96"/>
        <v>Error?</v>
      </c>
      <c r="E6263" s="2" t="s">
        <v>190</v>
      </c>
    </row>
    <row r="6264" spans="1:5" x14ac:dyDescent="0.2">
      <c r="A6264">
        <v>6203</v>
      </c>
      <c r="B6264" s="138">
        <f>'Acct Summary 7-8'!J79</f>
        <v>700070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261680</v>
      </c>
      <c r="D6266" s="2" t="str">
        <f t="shared" si="96"/>
        <v>Error?</v>
      </c>
      <c r="E6266" s="2" t="s">
        <v>190</v>
      </c>
    </row>
    <row r="6267" spans="1:5" x14ac:dyDescent="0.2">
      <c r="A6267">
        <v>6206</v>
      </c>
      <c r="B6267" s="138">
        <f>'Acct Summary 7-8'!C82</f>
        <v>-992342</v>
      </c>
      <c r="D6267" s="2" t="str">
        <f t="shared" si="96"/>
        <v>Error?</v>
      </c>
      <c r="E6267" s="2" t="s">
        <v>190</v>
      </c>
    </row>
    <row r="6268" spans="1:5" x14ac:dyDescent="0.2">
      <c r="A6268">
        <v>6207</v>
      </c>
      <c r="B6268" s="138">
        <f>'Acct Summary 7-8'!D82</f>
        <v>-393426</v>
      </c>
      <c r="D6268" s="2" t="str">
        <f t="shared" si="96"/>
        <v>Error?</v>
      </c>
      <c r="E6268" s="2" t="s">
        <v>190</v>
      </c>
    </row>
    <row r="6269" spans="1:5" x14ac:dyDescent="0.2">
      <c r="A6269">
        <v>6208</v>
      </c>
      <c r="B6269" s="138">
        <f>'Acct Summary 7-8'!E82</f>
        <v>-412982</v>
      </c>
      <c r="D6269" s="2" t="str">
        <f t="shared" si="96"/>
        <v>Error?</v>
      </c>
      <c r="E6269" s="2" t="s">
        <v>190</v>
      </c>
    </row>
    <row r="6270" spans="1:5" x14ac:dyDescent="0.2">
      <c r="A6270">
        <v>6209</v>
      </c>
      <c r="B6270" s="138">
        <f>'Acct Summary 7-8'!F82</f>
        <v>-142085</v>
      </c>
      <c r="D6270" s="2" t="str">
        <f t="shared" si="96"/>
        <v>Error?</v>
      </c>
      <c r="E6270" s="2" t="s">
        <v>190</v>
      </c>
    </row>
    <row r="6271" spans="1:5" x14ac:dyDescent="0.2">
      <c r="A6271">
        <v>6210</v>
      </c>
      <c r="B6271" s="138">
        <f>'Acct Summary 7-8'!G82</f>
        <v>-296997</v>
      </c>
      <c r="D6271" s="2" t="str">
        <f t="shared" ref="D6271:D6334" si="97">IF(ISBLANK(B6271),"OK",IF(A6271-B6271=0,"OK","Error?"))</f>
        <v>Error?</v>
      </c>
      <c r="E6271" s="2" t="s">
        <v>190</v>
      </c>
    </row>
    <row r="6272" spans="1:5" x14ac:dyDescent="0.2">
      <c r="A6272">
        <v>6211</v>
      </c>
      <c r="B6272" s="138">
        <f>'Acct Summary 7-8'!H82</f>
        <v>309128</v>
      </c>
      <c r="D6272" s="2" t="str">
        <f t="shared" si="97"/>
        <v>Error?</v>
      </c>
      <c r="E6272" s="2" t="s">
        <v>190</v>
      </c>
    </row>
    <row r="6273" spans="1:5" x14ac:dyDescent="0.2">
      <c r="A6273">
        <v>6212</v>
      </c>
      <c r="B6273" s="138">
        <f>'Acct Summary 7-8'!I82</f>
        <v>72074</v>
      </c>
      <c r="D6273" s="2" t="str">
        <f t="shared" si="97"/>
        <v>Error?</v>
      </c>
      <c r="E6273" s="2" t="s">
        <v>190</v>
      </c>
    </row>
    <row r="6274" spans="1:5" x14ac:dyDescent="0.2">
      <c r="A6274">
        <v>6213</v>
      </c>
      <c r="B6274" s="138">
        <f>'Acct Summary 7-8'!J82</f>
        <v>-438390</v>
      </c>
      <c r="D6274" s="2" t="str">
        <f t="shared" si="97"/>
        <v>Error?</v>
      </c>
      <c r="E6274" s="2" t="s">
        <v>190</v>
      </c>
    </row>
    <row r="6275" spans="1:5" x14ac:dyDescent="0.2">
      <c r="A6275">
        <v>6214</v>
      </c>
      <c r="B6275" s="138">
        <f>'Acct Summary 7-8'!K82</f>
        <v>-1733522</v>
      </c>
      <c r="D6275" s="2" t="str">
        <f t="shared" si="97"/>
        <v>Error?</v>
      </c>
      <c r="E6275" s="2" t="s">
        <v>190</v>
      </c>
    </row>
    <row r="6276" spans="1:5" x14ac:dyDescent="0.2">
      <c r="A6276">
        <v>6215</v>
      </c>
      <c r="B6276" s="138">
        <f>'Acct Summary 7-8'!C83</f>
        <v>-0.10975342966333899</v>
      </c>
      <c r="D6276" s="2" t="str">
        <f t="shared" si="97"/>
        <v>Error?</v>
      </c>
      <c r="E6276" s="2" t="s">
        <v>190</v>
      </c>
    </row>
    <row r="6277" spans="1:5" x14ac:dyDescent="0.2">
      <c r="A6277">
        <v>6216</v>
      </c>
      <c r="B6277" s="138">
        <f>'Acct Summary 7-8'!D83</f>
        <v>-1.7106817055247803</v>
      </c>
      <c r="D6277" s="2" t="str">
        <f t="shared" si="97"/>
        <v>Error?</v>
      </c>
      <c r="E6277" s="2" t="s">
        <v>190</v>
      </c>
    </row>
    <row r="6278" spans="1:5" x14ac:dyDescent="0.2">
      <c r="A6278">
        <v>6217</v>
      </c>
      <c r="B6278" s="138">
        <f>'Acct Summary 7-8'!E83</f>
        <v>-3.6401794607363533</v>
      </c>
      <c r="D6278" s="2" t="str">
        <f t="shared" si="97"/>
        <v>Error?</v>
      </c>
      <c r="E6278" s="2" t="s">
        <v>190</v>
      </c>
    </row>
    <row r="6279" spans="1:5" x14ac:dyDescent="0.2">
      <c r="A6279">
        <v>6218</v>
      </c>
      <c r="B6279" s="138">
        <f>'Acct Summary 7-8'!F83</f>
        <v>-0.20932469820766142</v>
      </c>
      <c r="D6279" s="2" t="str">
        <f t="shared" si="97"/>
        <v>Error?</v>
      </c>
      <c r="E6279" s="2" t="s">
        <v>190</v>
      </c>
    </row>
    <row r="6280" spans="1:5" x14ac:dyDescent="0.2">
      <c r="A6280">
        <v>6219</v>
      </c>
      <c r="B6280" s="138">
        <f>'Acct Summary 7-8'!G83</f>
        <v>-0.81069196123925213</v>
      </c>
      <c r="D6280" s="2" t="str">
        <f t="shared" si="97"/>
        <v>Error?</v>
      </c>
      <c r="E6280" s="2" t="s">
        <v>190</v>
      </c>
    </row>
    <row r="6281" spans="1:5" x14ac:dyDescent="0.2">
      <c r="A6281">
        <v>6220</v>
      </c>
      <c r="B6281" s="138">
        <f>'Acct Summary 7-8'!H83</f>
        <v>0.25796566888920414</v>
      </c>
      <c r="D6281" s="2" t="str">
        <f t="shared" si="97"/>
        <v>Error?</v>
      </c>
      <c r="E6281" s="2" t="s">
        <v>190</v>
      </c>
    </row>
    <row r="6282" spans="1:5" x14ac:dyDescent="0.2">
      <c r="A6282">
        <v>6221</v>
      </c>
      <c r="B6282" s="138">
        <f>'Acct Summary 7-8'!I83</f>
        <v>5.3577694123803914E-2</v>
      </c>
      <c r="D6282" s="2" t="str">
        <f t="shared" si="97"/>
        <v>Error?</v>
      </c>
      <c r="E6282" s="2" t="s">
        <v>190</v>
      </c>
    </row>
    <row r="6283" spans="1:5" x14ac:dyDescent="0.2">
      <c r="A6283">
        <v>6222</v>
      </c>
      <c r="B6283" s="138">
        <f>'Acct Summary 7-8'!J83</f>
        <v>-1.6752904310608376</v>
      </c>
      <c r="D6283" s="2" t="str">
        <f t="shared" si="97"/>
        <v>Error?</v>
      </c>
      <c r="E6283" s="2" t="s">
        <v>190</v>
      </c>
    </row>
    <row r="6284" spans="1:5" x14ac:dyDescent="0.2">
      <c r="A6284">
        <v>6223</v>
      </c>
      <c r="B6284" s="138">
        <f>'Acct Summary 7-8'!K83</f>
        <v>-1.2970735966754634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253690</v>
      </c>
      <c r="D6297" s="2" t="str">
        <f t="shared" si="97"/>
        <v>Error?</v>
      </c>
      <c r="E6297" s="2" t="s">
        <v>190</v>
      </c>
    </row>
    <row r="6298" spans="1:5" x14ac:dyDescent="0.2">
      <c r="A6298">
        <v>6237</v>
      </c>
      <c r="B6298" s="138">
        <f>'Revenues 9-14'!J5</f>
        <v>560237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560237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12815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12815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9190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573052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13275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136668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2720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165437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72730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139170</v>
      </c>
      <c r="D6878" s="2" t="str">
        <f t="shared" si="106"/>
        <v>Error?</v>
      </c>
    </row>
    <row r="6879" spans="1:4" x14ac:dyDescent="0.2">
      <c r="A6879">
        <v>6818</v>
      </c>
      <c r="B6879" s="138">
        <f>'Expenditures 15-22'!K21</f>
        <v>139170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2720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4840</v>
      </c>
      <c r="D6981" s="2" t="str">
        <f t="shared" si="108"/>
        <v>Error?</v>
      </c>
    </row>
    <row r="6982" spans="1:4" x14ac:dyDescent="0.2">
      <c r="A6982">
        <v>6921</v>
      </c>
      <c r="B6982" s="138">
        <f>'Expenditures 15-22'!K85</f>
        <v>4840</v>
      </c>
      <c r="D6982" s="2" t="str">
        <f t="shared" si="108"/>
        <v>Error?</v>
      </c>
    </row>
    <row r="6983" spans="1:4" x14ac:dyDescent="0.2">
      <c r="A6983">
        <v>6922</v>
      </c>
      <c r="B6983" s="138">
        <f>'Expenditures 15-22'!H86</f>
        <v>706644</v>
      </c>
      <c r="D6983" s="2" t="str">
        <f t="shared" si="108"/>
        <v>Error?</v>
      </c>
    </row>
    <row r="6984" spans="1:4" x14ac:dyDescent="0.2">
      <c r="A6984">
        <v>6923</v>
      </c>
      <c r="B6984" s="138">
        <f>'Expenditures 15-22'!K86</f>
        <v>706644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711484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2720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11390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11390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11390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1011442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11390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573052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9424</v>
      </c>
      <c r="D7073" s="2" t="str">
        <f t="shared" si="109"/>
        <v>Error?</v>
      </c>
    </row>
    <row r="7074" spans="1:4" x14ac:dyDescent="0.2">
      <c r="A7074">
        <v>7013</v>
      </c>
      <c r="B7074" s="138">
        <f>'Expenditures 15-22'!K216</f>
        <v>9424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727</v>
      </c>
      <c r="D7079" s="2" t="str">
        <f t="shared" si="109"/>
        <v>Error?</v>
      </c>
    </row>
    <row r="7080" spans="1:4" x14ac:dyDescent="0.2">
      <c r="A7080">
        <v>7019</v>
      </c>
      <c r="B7080" s="138">
        <f>'Expenditures 15-22'!K226</f>
        <v>727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2298</v>
      </c>
      <c r="D7089" s="2" t="str">
        <f t="shared" si="109"/>
        <v>Error?</v>
      </c>
    </row>
    <row r="7090" spans="1:4" x14ac:dyDescent="0.2">
      <c r="A7090">
        <v>7029</v>
      </c>
      <c r="B7090" s="138">
        <f>'Expenditures 15-22'!K252</f>
        <v>2298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7329</v>
      </c>
      <c r="D7093" s="2" t="str">
        <f t="shared" si="109"/>
        <v>Error?</v>
      </c>
    </row>
    <row r="7094" spans="1:4" x14ac:dyDescent="0.2">
      <c r="A7094">
        <v>7033</v>
      </c>
      <c r="B7094" s="138">
        <f>'Expenditures 15-22'!K254</f>
        <v>7329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256831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256831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1202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1202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169664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169664</v>
      </c>
      <c r="D7153" s="2" t="str">
        <f t="shared" si="110"/>
        <v>Error?</v>
      </c>
    </row>
    <row r="7154" spans="1:4" x14ac:dyDescent="0.2">
      <c r="A7154">
        <v>7093</v>
      </c>
      <c r="B7154" s="138">
        <f>'Expenditures 15-22'!C323</f>
        <v>62572</v>
      </c>
      <c r="D7154" s="2" t="str">
        <f t="shared" si="110"/>
        <v>Error?</v>
      </c>
    </row>
    <row r="7155" spans="1:4" x14ac:dyDescent="0.2">
      <c r="A7155">
        <v>7094</v>
      </c>
      <c r="B7155" s="138">
        <f>'Expenditures 15-22'!D323</f>
        <v>11675</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2848</v>
      </c>
      <c r="D7161" s="2" t="str">
        <f t="shared" si="110"/>
        <v>Error?</v>
      </c>
    </row>
    <row r="7162" spans="1:4" x14ac:dyDescent="0.2">
      <c r="A7162">
        <v>7101</v>
      </c>
      <c r="B7162" s="138">
        <f>'Expenditures 15-22'!K323</f>
        <v>77095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159201</v>
      </c>
      <c r="D7172" s="2" t="str">
        <f t="shared" si="111"/>
        <v>Error?</v>
      </c>
    </row>
    <row r="7173" spans="1:4" x14ac:dyDescent="0.2">
      <c r="A7173">
        <v>7112</v>
      </c>
      <c r="B7173" s="138">
        <f>'Expenditures 15-22'!D325</f>
        <v>33193</v>
      </c>
      <c r="D7173" s="2" t="str">
        <f t="shared" si="111"/>
        <v>Error?</v>
      </c>
    </row>
    <row r="7174" spans="1:4" x14ac:dyDescent="0.2">
      <c r="A7174">
        <v>7113</v>
      </c>
      <c r="B7174" s="138">
        <f>'Expenditures 15-22'!E325</f>
        <v>199418</v>
      </c>
      <c r="D7174" s="2" t="str">
        <f t="shared" si="111"/>
        <v>Error?</v>
      </c>
    </row>
    <row r="7175" spans="1:4" x14ac:dyDescent="0.2">
      <c r="A7175">
        <v>7114</v>
      </c>
      <c r="B7175" s="138">
        <f>'Expenditures 15-22'!F325</f>
        <v>18153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409965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96685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96685</v>
      </c>
      <c r="D7198" s="2" t="str">
        <f t="shared" si="111"/>
        <v>Error?</v>
      </c>
    </row>
    <row r="7199" spans="1:4" x14ac:dyDescent="0.2">
      <c r="A7199">
        <v>7138</v>
      </c>
      <c r="B7199" s="138">
        <f>'Expenditures 15-22'!C330</f>
        <v>221773</v>
      </c>
      <c r="D7199" s="2" t="str">
        <f t="shared" si="111"/>
        <v>Error?</v>
      </c>
    </row>
    <row r="7200" spans="1:4" x14ac:dyDescent="0.2">
      <c r="A7200">
        <v>7139</v>
      </c>
      <c r="B7200" s="138">
        <f>'Expenditures 15-22'!D330</f>
        <v>44868</v>
      </c>
      <c r="D7200" s="2" t="str">
        <f t="shared" si="111"/>
        <v>Error?</v>
      </c>
    </row>
    <row r="7201" spans="1:4" x14ac:dyDescent="0.2">
      <c r="A7201">
        <v>7140</v>
      </c>
      <c r="B7201" s="138">
        <f>'Expenditures 15-22'!E330</f>
        <v>723800</v>
      </c>
      <c r="D7201" s="2" t="str">
        <f t="shared" si="111"/>
        <v>Error?</v>
      </c>
    </row>
    <row r="7202" spans="1:4" x14ac:dyDescent="0.2">
      <c r="A7202">
        <v>7141</v>
      </c>
      <c r="B7202" s="138">
        <f>'Expenditures 15-22'!F330</f>
        <v>18153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2848</v>
      </c>
      <c r="D7206" s="2" t="str">
        <f t="shared" si="111"/>
        <v>Error?</v>
      </c>
    </row>
    <row r="7207" spans="1:4" x14ac:dyDescent="0.2">
      <c r="A7207">
        <v>7146</v>
      </c>
      <c r="B7207" s="138">
        <f>'Expenditures 15-22'!K330</f>
        <v>1011442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221773</v>
      </c>
      <c r="D7216" s="2" t="str">
        <f t="shared" si="111"/>
        <v>Error?</v>
      </c>
    </row>
    <row r="7217" spans="1:4" x14ac:dyDescent="0.2">
      <c r="A7217">
        <v>7156</v>
      </c>
      <c r="B7217" s="138">
        <f>'Expenditures 15-22'!D342</f>
        <v>44868</v>
      </c>
      <c r="D7217" s="2" t="str">
        <f t="shared" si="111"/>
        <v>Error?</v>
      </c>
    </row>
    <row r="7218" spans="1:4" x14ac:dyDescent="0.2">
      <c r="A7218">
        <v>7157</v>
      </c>
      <c r="B7218" s="138">
        <f>'Expenditures 15-22'!E342</f>
        <v>723800</v>
      </c>
      <c r="D7218" s="2" t="str">
        <f t="shared" si="111"/>
        <v>Error?</v>
      </c>
    </row>
    <row r="7219" spans="1:4" x14ac:dyDescent="0.2">
      <c r="A7219">
        <v>7158</v>
      </c>
      <c r="B7219" s="138">
        <f>'Expenditures 15-22'!F342</f>
        <v>18153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2848</v>
      </c>
      <c r="D7223" s="2" t="str">
        <f t="shared" si="111"/>
        <v>Error?</v>
      </c>
    </row>
    <row r="7224" spans="1:4" x14ac:dyDescent="0.2">
      <c r="A7224">
        <v>7163</v>
      </c>
      <c r="B7224" s="138">
        <f>'Expenditures 15-22'!K342</f>
        <v>1011442</v>
      </c>
      <c r="D7224" s="2" t="str">
        <f t="shared" si="111"/>
        <v>Error?</v>
      </c>
    </row>
    <row r="7225" spans="1:4" x14ac:dyDescent="0.2">
      <c r="A7225">
        <v>7164</v>
      </c>
      <c r="B7225" s="138">
        <f>'Expenditures 15-22'!K343</f>
        <v>-438390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28769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57477</v>
      </c>
      <c r="D7263" s="2" t="str">
        <f t="shared" si="112"/>
        <v>Error?</v>
      </c>
    </row>
    <row r="7264" spans="1:4" x14ac:dyDescent="0.2">
      <c r="A7264">
        <f t="shared" si="113"/>
        <v>7203</v>
      </c>
      <c r="B7264" s="138">
        <f>'Expenditures 15-22'!D17</f>
        <v>15023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230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15643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15643</v>
      </c>
      <c r="D7618" s="2" t="str">
        <f t="shared" si="124"/>
        <v>Error?</v>
      </c>
      <c r="E7618" s="2" t="s">
        <v>19</v>
      </c>
    </row>
    <row r="7619" spans="1:5" x14ac:dyDescent="0.2">
      <c r="A7619">
        <f t="shared" si="123"/>
        <v>7558</v>
      </c>
      <c r="B7619" s="138">
        <f>'Cap Outlay Deprec 26'!H14</f>
        <v>8829</v>
      </c>
      <c r="D7619" s="2" t="str">
        <f t="shared" si="124"/>
        <v>Error?</v>
      </c>
      <c r="E7619" s="2" t="s">
        <v>19</v>
      </c>
    </row>
    <row r="7620" spans="1:5" x14ac:dyDescent="0.2">
      <c r="A7620">
        <f t="shared" si="123"/>
        <v>7559</v>
      </c>
      <c r="B7620" s="138">
        <f>'Cap Outlay Deprec 26'!I14</f>
        <v>5214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14043</v>
      </c>
      <c r="D7622" s="2" t="str">
        <f t="shared" si="124"/>
        <v>Error?</v>
      </c>
      <c r="E7622" s="2" t="s">
        <v>19</v>
      </c>
    </row>
    <row r="7623" spans="1:5" x14ac:dyDescent="0.2">
      <c r="A7623">
        <f t="shared" si="123"/>
        <v>7562</v>
      </c>
      <c r="B7623" s="138">
        <f>'Cap Outlay Deprec 26'!L14</f>
        <v>1600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1019934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486444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9190</v>
      </c>
      <c r="D7712" s="2" t="str">
        <f t="shared" si="126"/>
        <v>Error?</v>
      </c>
      <c r="E7712" s="2" t="s">
        <v>827</v>
      </c>
    </row>
    <row r="7713" spans="1:6" x14ac:dyDescent="0.2">
      <c r="A7713">
        <v>7652</v>
      </c>
      <c r="B7713" s="138">
        <f>'Rest Tax Levies-Tort Im 25'!J8</f>
        <v>1001008</v>
      </c>
      <c r="D7713" s="2" t="str">
        <f t="shared" si="126"/>
        <v>Error?</v>
      </c>
      <c r="E7713" s="2" t="s">
        <v>827</v>
      </c>
    </row>
    <row r="7714" spans="1:6" x14ac:dyDescent="0.2">
      <c r="A7714">
        <v>7653</v>
      </c>
      <c r="B7714" s="138">
        <f>'Rest Tax Levies-Tort Im 25'!K9</f>
        <v>30327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1001008</v>
      </c>
      <c r="D7718" s="2" t="str">
        <f t="shared" si="126"/>
        <v>Error?</v>
      </c>
      <c r="E7718" s="2" t="s">
        <v>827</v>
      </c>
    </row>
    <row r="7719" spans="1:6" x14ac:dyDescent="0.2">
      <c r="A7719">
        <v>7658</v>
      </c>
      <c r="B7719" s="138">
        <f>'Rest Tax Levies-Tort Im 25'!K12</f>
        <v>39517</v>
      </c>
      <c r="D7719" s="2" t="str">
        <f t="shared" si="126"/>
        <v>Error?</v>
      </c>
      <c r="E7719" s="2" t="s">
        <v>827</v>
      </c>
    </row>
    <row r="7720" spans="1:6" x14ac:dyDescent="0.2">
      <c r="A7720">
        <v>7659</v>
      </c>
      <c r="B7720" s="138">
        <f>'Rest Tax Levies-Tort Im 25'!H14</f>
        <v>40354</v>
      </c>
      <c r="D7720" s="2" t="str">
        <f t="shared" si="126"/>
        <v>Error?</v>
      </c>
      <c r="E7720" s="2" t="s">
        <v>827</v>
      </c>
    </row>
    <row r="7721" spans="1:6" x14ac:dyDescent="0.2">
      <c r="A7721">
        <v>7660</v>
      </c>
      <c r="B7721" s="138">
        <f>'Rest Tax Levies-Tort Im 25'!K14</f>
        <v>39517</v>
      </c>
      <c r="D7721" s="2" t="str">
        <f t="shared" si="126"/>
        <v>Error?</v>
      </c>
      <c r="E7721" s="2" t="s">
        <v>827</v>
      </c>
    </row>
    <row r="7722" spans="1:6" x14ac:dyDescent="0.2">
      <c r="A7722">
        <v>7661</v>
      </c>
      <c r="B7722" s="138">
        <f>'Rest Tax Levies-Tort Im 25'!J15</f>
        <v>733846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250000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733846</v>
      </c>
      <c r="D7730" s="2" t="str">
        <f t="shared" si="126"/>
        <v>Error?</v>
      </c>
      <c r="E7730" s="2" t="s">
        <v>827</v>
      </c>
    </row>
    <row r="7731" spans="1:6" x14ac:dyDescent="0.2">
      <c r="A7731">
        <v>7670</v>
      </c>
      <c r="B7731" s="138">
        <f>'Revenues 9-14'!H103</f>
        <v>751008</v>
      </c>
      <c r="D7731" s="2" t="str">
        <f t="shared" si="126"/>
        <v>Error?</v>
      </c>
      <c r="E7731" s="2" t="s">
        <v>827</v>
      </c>
    </row>
    <row r="7732" spans="1:6" x14ac:dyDescent="0.2">
      <c r="A7732">
        <v>7671</v>
      </c>
      <c r="B7732" s="138">
        <f>'Rest Tax Levies-Tort Im 25'!J24</f>
        <v>753606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753606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666355</v>
      </c>
      <c r="D7797" s="2" t="str">
        <f t="shared" si="127"/>
        <v>Error?</v>
      </c>
      <c r="E7797" s="4" t="s">
        <v>1901</v>
      </c>
    </row>
    <row r="7798" spans="1:5" x14ac:dyDescent="0.2">
      <c r="A7798">
        <v>7737</v>
      </c>
      <c r="B7798" s="138">
        <f>'Contracts Paid in CY 29'!F141</f>
        <v>86774</v>
      </c>
      <c r="D7798" s="2" t="str">
        <f t="shared" si="127"/>
        <v>Error?</v>
      </c>
      <c r="E7798" s="4" t="s">
        <v>1901</v>
      </c>
    </row>
    <row r="7799" spans="1:5" x14ac:dyDescent="0.2">
      <c r="A7799">
        <v>7738</v>
      </c>
      <c r="B7799" s="138">
        <f>'Contracts Paid in CY 29'!G141</f>
        <v>579581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1985</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Canton Union SD 66</v>
      </c>
      <c r="B7" s="2411"/>
      <c r="C7" s="2411"/>
      <c r="D7" s="2412"/>
      <c r="E7" s="2413">
        <f>COVER!A13</f>
        <v>26029066025</v>
      </c>
      <c r="F7" s="2414"/>
      <c r="G7" s="2420" t="str">
        <f>COVER!T23</f>
        <v>066-005100</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Mack &amp; Associates, P.C.</v>
      </c>
      <c r="H9" s="2426"/>
      <c r="I9" s="2426"/>
      <c r="J9" s="2426"/>
      <c r="K9" s="2426"/>
      <c r="L9" s="2427"/>
    </row>
    <row r="10" spans="1:29" ht="13.5" customHeight="1" x14ac:dyDescent="0.2">
      <c r="A10" s="2400" t="str">
        <f>COVER!A38</f>
        <v>Rolf Sivertsen</v>
      </c>
      <c r="B10" s="2401"/>
      <c r="C10" s="2401"/>
      <c r="D10" s="2401"/>
      <c r="E10" s="2401"/>
      <c r="F10" s="2402"/>
      <c r="G10" s="2394" t="str">
        <f>COVER!T17</f>
        <v>116 E. Washington St., Suite One</v>
      </c>
      <c r="H10" s="2395"/>
      <c r="I10" s="2395"/>
      <c r="J10" s="2395"/>
      <c r="K10" s="2395"/>
      <c r="L10" s="2396"/>
    </row>
    <row r="11" spans="1:29" ht="13.5" customHeight="1" x14ac:dyDescent="0.2">
      <c r="A11" s="1184" t="s">
        <v>1519</v>
      </c>
      <c r="B11" s="1185"/>
      <c r="C11" s="1186"/>
      <c r="D11" s="1191"/>
      <c r="E11" s="1186"/>
      <c r="F11" s="1190"/>
      <c r="G11" s="2394" t="str">
        <f>COVER!T19</f>
        <v>Morris</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tmack@mackcpas.com</v>
      </c>
      <c r="J13" s="2407"/>
      <c r="K13" s="2407"/>
      <c r="L13" s="2408"/>
    </row>
    <row r="14" spans="1:29" ht="13.5" customHeight="1" x14ac:dyDescent="0.2">
      <c r="A14" s="2394" t="str">
        <f>COVER!A19</f>
        <v>20 W Walnut</v>
      </c>
      <c r="B14" s="2395"/>
      <c r="C14" s="2395"/>
      <c r="D14" s="2395"/>
      <c r="E14" s="2395"/>
      <c r="F14" s="2396"/>
      <c r="G14" s="1195" t="s">
        <v>1185</v>
      </c>
      <c r="H14" s="1193"/>
      <c r="I14" s="1193"/>
      <c r="J14" s="1193"/>
      <c r="K14" s="1193"/>
      <c r="L14" s="1194"/>
    </row>
    <row r="15" spans="1:29" ht="13.5" customHeight="1" x14ac:dyDescent="0.2">
      <c r="A15" s="2394" t="str">
        <f>COVER!A21</f>
        <v>Canton</v>
      </c>
      <c r="B15" s="2395"/>
      <c r="C15" s="2395"/>
      <c r="D15" s="2395"/>
      <c r="E15" s="2395"/>
      <c r="F15" s="2396"/>
      <c r="G15" s="2391" t="str">
        <f>COVER!T15</f>
        <v>Tawnya Mack, CPA</v>
      </c>
      <c r="H15" s="2392"/>
      <c r="I15" s="2392"/>
      <c r="J15" s="2392"/>
      <c r="K15" s="2392"/>
      <c r="L15" s="2393"/>
    </row>
    <row r="16" spans="1:29" ht="12.2" customHeight="1" x14ac:dyDescent="0.2">
      <c r="A16" s="2416">
        <f>COVER!A25</f>
        <v>61520</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815-942-3306</v>
      </c>
      <c r="H18" s="2411"/>
      <c r="I18" s="2411"/>
      <c r="J18" s="2411"/>
      <c r="K18" s="2410" t="str">
        <f>COVER!X21</f>
        <v>815-942-9430</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2071</v>
      </c>
      <c r="C26" s="1202" t="s">
        <v>1699</v>
      </c>
    </row>
    <row r="27" spans="1:13" s="1198" customFormat="1" ht="9" customHeight="1" x14ac:dyDescent="0.2">
      <c r="B27" s="1203"/>
      <c r="C27" s="1202"/>
    </row>
    <row r="28" spans="1:13" s="1198" customFormat="1" ht="12.2" customHeight="1" x14ac:dyDescent="0.2">
      <c r="A28" s="1205"/>
      <c r="B28" s="1201" t="s">
        <v>2071</v>
      </c>
      <c r="C28" s="1202" t="s">
        <v>1700</v>
      </c>
    </row>
    <row r="29" spans="1:13" s="1198" customFormat="1" ht="9" customHeight="1" x14ac:dyDescent="0.2">
      <c r="A29" s="1205"/>
      <c r="B29" s="1203"/>
      <c r="C29" s="1202"/>
    </row>
    <row r="30" spans="1:13" s="1198" customFormat="1" ht="12.2" customHeight="1" x14ac:dyDescent="0.2">
      <c r="B30" s="1201" t="s">
        <v>2071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2071</v>
      </c>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t="s">
        <v>2071</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Canton Union SD 66</v>
      </c>
      <c r="B1" s="2409"/>
      <c r="C1" s="2409"/>
      <c r="D1" s="2409"/>
    </row>
    <row r="2" spans="1:11" s="1212" customFormat="1" ht="12.75" x14ac:dyDescent="0.2">
      <c r="A2" s="2433">
        <f>'Single Audit Cover'!E7</f>
        <v>26029066025</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22"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Canton Union SD 66</v>
      </c>
      <c r="B1" s="2436"/>
      <c r="C1" s="2436"/>
      <c r="D1" s="2436"/>
      <c r="E1" s="2436"/>
    </row>
    <row r="2" spans="1:5" x14ac:dyDescent="0.2">
      <c r="A2" s="2437">
        <f>'Single Audit Cover'!E7</f>
        <v>26029066025</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2011090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72669</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-217852</v>
      </c>
    </row>
    <row r="19" spans="1:4" ht="13.5" thickBot="1" x14ac:dyDescent="0.25">
      <c r="A19" s="1262" t="s">
        <v>1235</v>
      </c>
      <c r="D19" s="1263">
        <f>SUM(D10:D17)</f>
        <v>1865907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1865907</v>
      </c>
    </row>
    <row r="33" spans="1:4" x14ac:dyDescent="0.2">
      <c r="D33" s="1266"/>
    </row>
    <row r="34" spans="1:4" x14ac:dyDescent="0.2">
      <c r="A34" s="317" t="s">
        <v>1232</v>
      </c>
    </row>
    <row r="35" spans="1:4" x14ac:dyDescent="0.2">
      <c r="A35" s="317" t="s">
        <v>1231</v>
      </c>
      <c r="B35" s="1255" t="s">
        <v>1230</v>
      </c>
      <c r="D35" s="1267">
        <v>1865907</v>
      </c>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1865907</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N44"/>
  <sheetViews>
    <sheetView showGridLines="0" workbookViewId="0">
      <selection activeCell="J20" sqref="J20"/>
    </sheetView>
  </sheetViews>
  <sheetFormatPr defaultRowHeight="12.75" x14ac:dyDescent="0.2"/>
  <cols>
    <col min="1" max="1" width="28.5703125" customWidth="1"/>
    <col min="3" max="3" width="12.28515625" customWidth="1"/>
    <col min="4" max="4" width="15.7109375" customWidth="1"/>
    <col min="5" max="5" width="13.28515625" customWidth="1"/>
    <col min="6" max="6" width="13.7109375" customWidth="1"/>
    <col min="7" max="7" width="13.28515625" customWidth="1"/>
    <col min="8" max="8" width="12.85546875" customWidth="1"/>
    <col min="9" max="9" width="12.7109375" customWidth="1"/>
    <col min="10" max="10" width="10.7109375" customWidth="1"/>
  </cols>
  <sheetData>
    <row r="1" spans="1:14" s="317" customFormat="1" ht="11.85" customHeight="1" x14ac:dyDescent="0.2">
      <c r="B1" s="2419" t="str">
        <f>'Single Audit Cover'!A7</f>
        <v>Canton Union SD 66</v>
      </c>
      <c r="C1" s="2440"/>
      <c r="D1" s="2440"/>
      <c r="E1" s="2440"/>
      <c r="F1" s="2440"/>
      <c r="G1" s="2440"/>
      <c r="H1" s="2440"/>
      <c r="I1" s="2440"/>
      <c r="J1" s="2440"/>
      <c r="K1" s="2440"/>
      <c r="L1" s="2440"/>
      <c r="M1" s="2440"/>
    </row>
    <row r="2" spans="1:14" s="317" customFormat="1" ht="15" x14ac:dyDescent="0.2">
      <c r="B2" s="2441">
        <f>'Single Audit Cover'!E7</f>
        <v>26029066025</v>
      </c>
      <c r="C2" s="2441"/>
      <c r="D2" s="2441"/>
      <c r="E2" s="2441"/>
      <c r="F2" s="2441"/>
      <c r="G2" s="2441"/>
      <c r="H2" s="2441"/>
      <c r="I2" s="2441"/>
      <c r="J2" s="2441"/>
      <c r="K2" s="2441"/>
      <c r="L2" s="2441"/>
      <c r="M2" s="2441"/>
      <c r="N2" s="1299"/>
    </row>
    <row r="3" spans="1:14" s="317" customFormat="1" ht="15" x14ac:dyDescent="0.2">
      <c r="B3" s="2442" t="s">
        <v>1219</v>
      </c>
      <c r="C3" s="2442"/>
      <c r="D3" s="2442"/>
      <c r="E3" s="2442"/>
      <c r="F3" s="2442"/>
      <c r="G3" s="2442"/>
      <c r="H3" s="2442"/>
      <c r="I3" s="2442"/>
      <c r="J3" s="2442"/>
      <c r="K3" s="2442"/>
      <c r="L3" s="2442"/>
      <c r="M3" s="2442"/>
      <c r="N3" s="1299"/>
    </row>
    <row r="4" spans="1:14" s="317" customFormat="1" ht="15" x14ac:dyDescent="0.2">
      <c r="B4" s="2443" t="str">
        <f>'Single Audit Cover'!A4</f>
        <v>Year Ending June 30, 2019</v>
      </c>
      <c r="C4" s="2443"/>
      <c r="D4" s="2443"/>
      <c r="E4" s="2443"/>
      <c r="F4" s="2443"/>
      <c r="G4" s="2443"/>
      <c r="H4" s="2443"/>
      <c r="I4" s="2443"/>
      <c r="J4" s="2443"/>
      <c r="K4" s="2443"/>
      <c r="L4" s="2443"/>
      <c r="M4" s="2443"/>
      <c r="N4" s="1299"/>
    </row>
    <row r="5" spans="1:14" s="317" customFormat="1" ht="15" x14ac:dyDescent="0.2">
      <c r="B5" s="1941"/>
      <c r="C5" s="1941"/>
      <c r="D5" s="1941"/>
      <c r="E5" s="1941"/>
      <c r="F5" s="1941"/>
      <c r="G5" s="1941"/>
      <c r="H5" s="1941"/>
      <c r="I5" s="1941"/>
      <c r="J5" s="1941"/>
      <c r="K5" s="1941"/>
      <c r="L5" s="1941"/>
      <c r="M5" s="1941"/>
      <c r="N5" s="1299"/>
    </row>
    <row r="6" spans="1:14" s="317" customFormat="1" ht="14.25" x14ac:dyDescent="0.2">
      <c r="A6" s="1942" t="s">
        <v>1259</v>
      </c>
      <c r="B6" s="1943" t="s">
        <v>1733</v>
      </c>
      <c r="C6" s="1944" t="s">
        <v>1734</v>
      </c>
      <c r="D6" s="1945" t="s">
        <v>1837</v>
      </c>
      <c r="E6" s="1946" t="s">
        <v>1986</v>
      </c>
      <c r="F6" s="1947" t="s">
        <v>1837</v>
      </c>
      <c r="G6" s="1948" t="s">
        <v>1582</v>
      </c>
      <c r="H6" s="1949" t="s">
        <v>1986</v>
      </c>
      <c r="I6" s="1950" t="s">
        <v>1582</v>
      </c>
      <c r="J6" s="1949" t="s">
        <v>1258</v>
      </c>
      <c r="K6" s="1951" t="s">
        <v>1583</v>
      </c>
      <c r="L6" s="1952"/>
    </row>
    <row r="7" spans="1:14" s="317" customFormat="1" ht="11.85" customHeight="1" x14ac:dyDescent="0.2">
      <c r="A7" s="1322" t="s">
        <v>1256</v>
      </c>
      <c r="B7" s="1324" t="s">
        <v>1255</v>
      </c>
      <c r="C7" s="1325" t="s">
        <v>1254</v>
      </c>
      <c r="D7" s="1326" t="s">
        <v>1253</v>
      </c>
      <c r="E7" s="1327" t="s">
        <v>1252</v>
      </c>
      <c r="F7" s="1328" t="s">
        <v>1251</v>
      </c>
      <c r="G7" s="1329" t="s">
        <v>1266</v>
      </c>
      <c r="H7" s="1330" t="s">
        <v>1250</v>
      </c>
      <c r="I7" s="1331" t="s">
        <v>1266</v>
      </c>
      <c r="J7" s="1332" t="s">
        <v>1249</v>
      </c>
      <c r="K7" s="1332" t="s">
        <v>1248</v>
      </c>
      <c r="L7" s="1333" t="s">
        <v>1247</v>
      </c>
    </row>
    <row r="8" spans="1:14" s="317" customFormat="1" ht="20.100000000000001" customHeight="1" x14ac:dyDescent="0.2">
      <c r="A8" s="1334" t="s">
        <v>2112</v>
      </c>
      <c r="B8" s="1335"/>
      <c r="C8" s="1336"/>
      <c r="D8" s="1337"/>
      <c r="E8" s="1337"/>
      <c r="F8" s="1337"/>
      <c r="G8" s="1337"/>
      <c r="H8" s="1337"/>
      <c r="I8" s="1337"/>
      <c r="J8" s="1337"/>
      <c r="K8" s="1337">
        <f>+F8+H8+J8</f>
        <v>0</v>
      </c>
      <c r="L8" s="1337"/>
    </row>
    <row r="9" spans="1:14" s="317" customFormat="1" ht="20.100000000000001" customHeight="1" x14ac:dyDescent="0.2">
      <c r="A9" s="1334" t="s">
        <v>2113</v>
      </c>
      <c r="B9" s="1338"/>
      <c r="C9" s="1339"/>
      <c r="D9" s="1340"/>
      <c r="E9" s="1340"/>
      <c r="F9" s="1340"/>
      <c r="G9" s="1340"/>
      <c r="H9" s="1340"/>
      <c r="I9" s="1340"/>
      <c r="J9" s="1340"/>
      <c r="K9" s="1337">
        <f t="shared" ref="K9:K25" si="0">+F9+H9+J9</f>
        <v>0</v>
      </c>
      <c r="L9" s="1340"/>
    </row>
    <row r="10" spans="1:14" s="317" customFormat="1" ht="20.100000000000001" customHeight="1" x14ac:dyDescent="0.2">
      <c r="A10" s="1334" t="s">
        <v>2124</v>
      </c>
      <c r="B10" s="1338" t="s">
        <v>2114</v>
      </c>
      <c r="C10" s="1339" t="s">
        <v>2115</v>
      </c>
      <c r="D10" s="1340">
        <v>521116</v>
      </c>
      <c r="E10" s="1340">
        <v>115261</v>
      </c>
      <c r="F10" s="1340">
        <v>636377</v>
      </c>
      <c r="G10" s="1340"/>
      <c r="H10" s="1340"/>
      <c r="I10" s="1340"/>
      <c r="J10" s="1340"/>
      <c r="K10" s="1337">
        <f t="shared" si="0"/>
        <v>636377</v>
      </c>
      <c r="L10" s="1340">
        <v>700573</v>
      </c>
    </row>
    <row r="11" spans="1:14" s="317" customFormat="1" ht="20.100000000000001" customHeight="1" x14ac:dyDescent="0.2">
      <c r="A11" s="1334" t="s">
        <v>2130</v>
      </c>
      <c r="B11" s="1338" t="s">
        <v>2114</v>
      </c>
      <c r="C11" s="1339" t="s">
        <v>2137</v>
      </c>
      <c r="D11" s="1340"/>
      <c r="E11" s="1340">
        <v>578813</v>
      </c>
      <c r="F11" s="1340"/>
      <c r="G11" s="1340"/>
      <c r="H11" s="1340">
        <v>840683</v>
      </c>
      <c r="I11" s="1340"/>
      <c r="J11" s="1340">
        <v>16292</v>
      </c>
      <c r="K11" s="1337">
        <f t="shared" si="0"/>
        <v>856975</v>
      </c>
      <c r="L11" s="1340">
        <v>872448</v>
      </c>
    </row>
    <row r="12" spans="1:14" s="317" customFormat="1" ht="20.100000000000001" customHeight="1" x14ac:dyDescent="0.2">
      <c r="A12" s="1334" t="s">
        <v>2138</v>
      </c>
      <c r="B12" s="1338">
        <v>84.337000000000003</v>
      </c>
      <c r="C12" s="1339" t="s">
        <v>2139</v>
      </c>
      <c r="D12" s="1340"/>
      <c r="E12" s="1340">
        <v>25655</v>
      </c>
      <c r="F12" s="1340"/>
      <c r="G12" s="1340"/>
      <c r="H12" s="1340">
        <v>32097</v>
      </c>
      <c r="I12" s="1340"/>
      <c r="J12" s="1340"/>
      <c r="K12" s="1337">
        <f t="shared" si="0"/>
        <v>32097</v>
      </c>
      <c r="L12" s="1340">
        <v>45000</v>
      </c>
    </row>
    <row r="13" spans="1:14" s="317" customFormat="1" ht="20.100000000000001" customHeight="1" x14ac:dyDescent="0.2">
      <c r="A13" s="1334" t="s">
        <v>2194</v>
      </c>
      <c r="B13" s="1338"/>
      <c r="C13" s="1339"/>
      <c r="D13" s="1340">
        <f>SUM(D10:D12)</f>
        <v>521116</v>
      </c>
      <c r="E13" s="1340">
        <f>SUM(E10:E12)</f>
        <v>719729</v>
      </c>
      <c r="F13" s="1340">
        <f>SUM(F10:F12)</f>
        <v>636377</v>
      </c>
      <c r="G13" s="1340"/>
      <c r="H13" s="1340">
        <f>SUM(H10:H12)</f>
        <v>872780</v>
      </c>
      <c r="I13" s="1340"/>
      <c r="J13" s="1340">
        <f>SUM(J10:J12)</f>
        <v>16292</v>
      </c>
      <c r="K13" s="1337">
        <f t="shared" si="0"/>
        <v>1525449</v>
      </c>
      <c r="L13" s="1340">
        <f>SUM(L10:L12)</f>
        <v>1618021</v>
      </c>
    </row>
    <row r="14" spans="1:14" s="317" customFormat="1" ht="20.100000000000001" customHeight="1" x14ac:dyDescent="0.2">
      <c r="A14" s="1334" t="s">
        <v>2116</v>
      </c>
      <c r="B14" s="1338">
        <v>84.358000000000004</v>
      </c>
      <c r="C14" s="1339" t="s">
        <v>2117</v>
      </c>
      <c r="D14" s="1340">
        <v>18702</v>
      </c>
      <c r="E14" s="1340">
        <v>16949</v>
      </c>
      <c r="F14" s="1340">
        <v>35651</v>
      </c>
      <c r="G14" s="1340"/>
      <c r="H14" s="1340"/>
      <c r="I14" s="1340"/>
      <c r="J14" s="1340"/>
      <c r="K14" s="1337">
        <f t="shared" si="0"/>
        <v>35651</v>
      </c>
      <c r="L14" s="1340">
        <v>43537</v>
      </c>
    </row>
    <row r="15" spans="1:14" s="317" customFormat="1" ht="20.100000000000001" customHeight="1" x14ac:dyDescent="0.2">
      <c r="A15" s="1334" t="s">
        <v>2131</v>
      </c>
      <c r="B15" s="1338">
        <v>84.358000000000004</v>
      </c>
      <c r="C15" s="1339" t="s">
        <v>2136</v>
      </c>
      <c r="D15" s="1340"/>
      <c r="E15" s="1340">
        <v>22119</v>
      </c>
      <c r="F15" s="1340"/>
      <c r="G15" s="1340"/>
      <c r="H15" s="1340">
        <v>39699</v>
      </c>
      <c r="I15" s="1340"/>
      <c r="J15" s="1340"/>
      <c r="K15" s="1337">
        <f t="shared" si="0"/>
        <v>39699</v>
      </c>
      <c r="L15" s="1340">
        <v>53078</v>
      </c>
    </row>
    <row r="16" spans="1:14" s="317" customFormat="1" ht="20.100000000000001" customHeight="1" x14ac:dyDescent="0.2">
      <c r="A16" s="1334" t="s">
        <v>2118</v>
      </c>
      <c r="B16" s="1338"/>
      <c r="C16" s="1339"/>
      <c r="D16" s="1340">
        <f>SUM(D14:D15)</f>
        <v>18702</v>
      </c>
      <c r="E16" s="1340">
        <f>SUM(E14:E15)</f>
        <v>39068</v>
      </c>
      <c r="F16" s="1340">
        <f>SUM(F14:F15)</f>
        <v>35651</v>
      </c>
      <c r="G16" s="1340"/>
      <c r="H16" s="1340">
        <f>SUM(H14:H15)</f>
        <v>39699</v>
      </c>
      <c r="I16" s="1340"/>
      <c r="J16" s="1340"/>
      <c r="K16" s="1337">
        <f t="shared" si="0"/>
        <v>75350</v>
      </c>
      <c r="L16" s="1340">
        <f>SUM(L14:L15)</f>
        <v>96615</v>
      </c>
    </row>
    <row r="17" spans="1:13" s="317" customFormat="1" ht="20.100000000000001" customHeight="1" x14ac:dyDescent="0.2">
      <c r="A17" s="1334" t="s">
        <v>2120</v>
      </c>
      <c r="B17" s="1338" t="s">
        <v>2119</v>
      </c>
      <c r="C17" s="1339" t="s">
        <v>2121</v>
      </c>
      <c r="D17" s="1340">
        <v>93481</v>
      </c>
      <c r="E17" s="1340">
        <v>21671</v>
      </c>
      <c r="F17" s="1340">
        <v>115152</v>
      </c>
      <c r="G17" s="1340"/>
      <c r="H17" s="1340"/>
      <c r="I17" s="1340"/>
      <c r="J17" s="1340"/>
      <c r="K17" s="1337">
        <f t="shared" si="0"/>
        <v>115152</v>
      </c>
      <c r="L17" s="1340">
        <v>115391</v>
      </c>
    </row>
    <row r="18" spans="1:13" s="317" customFormat="1" ht="20.100000000000001" customHeight="1" x14ac:dyDescent="0.2">
      <c r="A18" s="1334" t="s">
        <v>2132</v>
      </c>
      <c r="B18" s="1338" t="s">
        <v>2119</v>
      </c>
      <c r="C18" s="1339" t="s">
        <v>2135</v>
      </c>
      <c r="D18" s="1340"/>
      <c r="E18" s="1340">
        <v>72307</v>
      </c>
      <c r="F18" s="1340"/>
      <c r="G18" s="1340"/>
      <c r="H18" s="1340">
        <v>94947</v>
      </c>
      <c r="I18" s="1340"/>
      <c r="J18" s="1340">
        <v>17770</v>
      </c>
      <c r="K18" s="1337">
        <f t="shared" si="0"/>
        <v>112717</v>
      </c>
      <c r="L18" s="1340">
        <v>113395</v>
      </c>
    </row>
    <row r="19" spans="1:13" s="317" customFormat="1" ht="20.100000000000001" customHeight="1" x14ac:dyDescent="0.2">
      <c r="A19" s="1334" t="s">
        <v>2122</v>
      </c>
      <c r="B19" s="1338"/>
      <c r="C19" s="1339"/>
      <c r="D19" s="1340">
        <f>SUM(D17:D18)</f>
        <v>93481</v>
      </c>
      <c r="E19" s="1340">
        <f>SUM(E17:E18)</f>
        <v>93978</v>
      </c>
      <c r="F19" s="1340">
        <f>SUM(F17:F18)</f>
        <v>115152</v>
      </c>
      <c r="G19" s="1340"/>
      <c r="H19" s="1340">
        <f>SUM(H17:H18)</f>
        <v>94947</v>
      </c>
      <c r="I19" s="1340"/>
      <c r="J19" s="1340">
        <f>SUM(J17:J18)</f>
        <v>17770</v>
      </c>
      <c r="K19" s="1337">
        <f t="shared" si="0"/>
        <v>227869</v>
      </c>
      <c r="L19" s="1340">
        <f>SUM(L17:L18)</f>
        <v>228786</v>
      </c>
    </row>
    <row r="20" spans="1:13" s="317" customFormat="1" ht="20.100000000000001" customHeight="1" x14ac:dyDescent="0.2">
      <c r="A20" s="1334" t="s">
        <v>2181</v>
      </c>
      <c r="B20" s="1338">
        <v>84.424000000000007</v>
      </c>
      <c r="C20" s="1339" t="s">
        <v>2182</v>
      </c>
      <c r="D20" s="1340">
        <v>4019</v>
      </c>
      <c r="E20" s="1340">
        <v>10980</v>
      </c>
      <c r="F20" s="1340">
        <v>14999</v>
      </c>
      <c r="G20" s="1340"/>
      <c r="H20" s="1340"/>
      <c r="I20" s="1340"/>
      <c r="J20" s="1340"/>
      <c r="K20" s="1337">
        <f t="shared" si="0"/>
        <v>14999</v>
      </c>
      <c r="L20" s="1340">
        <v>19825</v>
      </c>
    </row>
    <row r="21" spans="1:13" s="317" customFormat="1" ht="20.100000000000001" customHeight="1" x14ac:dyDescent="0.2">
      <c r="A21" s="1334" t="s">
        <v>2123</v>
      </c>
      <c r="B21" s="1338">
        <v>84.424000000000007</v>
      </c>
      <c r="C21" s="1339" t="s">
        <v>2134</v>
      </c>
      <c r="D21" s="1340"/>
      <c r="E21" s="1340">
        <v>28599</v>
      </c>
      <c r="F21" s="1340"/>
      <c r="G21" s="1340"/>
      <c r="H21" s="1340">
        <v>39760</v>
      </c>
      <c r="I21" s="1340"/>
      <c r="J21" s="1340"/>
      <c r="K21" s="1337">
        <f t="shared" si="0"/>
        <v>39760</v>
      </c>
      <c r="L21" s="1340">
        <v>62701</v>
      </c>
    </row>
    <row r="22" spans="1:13" s="317" customFormat="1" ht="20.100000000000001" customHeight="1" x14ac:dyDescent="0.2">
      <c r="A22" s="1334" t="s">
        <v>2198</v>
      </c>
      <c r="B22" s="1338"/>
      <c r="C22" s="1339"/>
      <c r="D22" s="1340">
        <f>SUM(D20:D21)</f>
        <v>4019</v>
      </c>
      <c r="E22" s="1340">
        <f>SUM(E20:E21)</f>
        <v>39579</v>
      </c>
      <c r="F22" s="1340">
        <f>SUM(F20:F21)</f>
        <v>14999</v>
      </c>
      <c r="G22" s="1340"/>
      <c r="H22" s="1340">
        <f>SUM(H20:H21)</f>
        <v>39760</v>
      </c>
      <c r="I22" s="1340"/>
      <c r="J22" s="1340"/>
      <c r="K22" s="1337"/>
      <c r="L22" s="1340"/>
    </row>
    <row r="23" spans="1:13" s="317" customFormat="1" ht="20.100000000000001" customHeight="1" x14ac:dyDescent="0.2">
      <c r="A23" s="1334" t="s">
        <v>2125</v>
      </c>
      <c r="B23" s="1338"/>
      <c r="C23" s="1339"/>
      <c r="D23" s="1340"/>
      <c r="E23" s="1340"/>
      <c r="F23" s="1340"/>
      <c r="G23" s="1340"/>
      <c r="H23" s="1340"/>
      <c r="I23" s="1340"/>
      <c r="J23" s="1340"/>
      <c r="K23" s="1337">
        <f t="shared" si="0"/>
        <v>0</v>
      </c>
      <c r="L23" s="1340"/>
    </row>
    <row r="24" spans="1:13" s="317" customFormat="1" ht="20.100000000000001" customHeight="1" x14ac:dyDescent="0.2">
      <c r="A24" s="1334" t="s">
        <v>2127</v>
      </c>
      <c r="B24" s="1338" t="s">
        <v>2128</v>
      </c>
      <c r="C24" s="1339" t="s">
        <v>2133</v>
      </c>
      <c r="D24" s="1340"/>
      <c r="E24" s="1340">
        <v>91445</v>
      </c>
      <c r="F24" s="1340"/>
      <c r="G24" s="1340"/>
      <c r="H24" s="1340">
        <v>91445</v>
      </c>
      <c r="I24" s="1340"/>
      <c r="J24" s="1340"/>
      <c r="K24" s="1337">
        <f t="shared" si="0"/>
        <v>91445</v>
      </c>
      <c r="L24" s="1340" t="s">
        <v>2111</v>
      </c>
    </row>
    <row r="25" spans="1:13" s="317" customFormat="1" ht="20.100000000000001" customHeight="1" x14ac:dyDescent="0.2">
      <c r="A25" s="1334" t="s">
        <v>2129</v>
      </c>
      <c r="B25" s="1338"/>
      <c r="C25" s="1339"/>
      <c r="D25" s="1340">
        <f>SUM(D24)</f>
        <v>0</v>
      </c>
      <c r="E25" s="1340">
        <f>SUM(E24)</f>
        <v>91445</v>
      </c>
      <c r="F25" s="1340">
        <f>SUM(F24)</f>
        <v>0</v>
      </c>
      <c r="G25" s="1340"/>
      <c r="H25" s="1340">
        <f>SUM(H24)</f>
        <v>91445</v>
      </c>
      <c r="I25" s="1340"/>
      <c r="J25" s="1340"/>
      <c r="K25" s="1337">
        <f t="shared" si="0"/>
        <v>91445</v>
      </c>
      <c r="L25" s="1340"/>
      <c r="M25" s="1341"/>
    </row>
    <row r="26" spans="1:13" s="317" customFormat="1" ht="12.75" customHeight="1" x14ac:dyDescent="0.2">
      <c r="A26" s="1342"/>
      <c r="B26" s="1343"/>
      <c r="C26" s="1344"/>
      <c r="D26" s="1345"/>
      <c r="E26" s="1345"/>
      <c r="F26" s="1345"/>
      <c r="G26" s="1345"/>
      <c r="H26" s="1345"/>
      <c r="I26" s="1345"/>
      <c r="J26" s="1345"/>
      <c r="K26" s="1345"/>
      <c r="L26" s="1345"/>
      <c r="M26" s="1341"/>
    </row>
    <row r="27" spans="1:13" s="317" customFormat="1" x14ac:dyDescent="0.2">
      <c r="A27" s="1254"/>
      <c r="B27" s="1346"/>
      <c r="C27" s="1347"/>
      <c r="D27" s="1254"/>
      <c r="E27" s="1254"/>
      <c r="F27" s="1247"/>
      <c r="G27" s="1247"/>
      <c r="H27" s="1247"/>
      <c r="I27" s="1247"/>
      <c r="J27" s="1247"/>
      <c r="K27" s="1247"/>
      <c r="L27" s="1254"/>
      <c r="M27" s="1341"/>
    </row>
    <row r="28" spans="1:13" s="317" customFormat="1" ht="13.5" customHeight="1" x14ac:dyDescent="0.2">
      <c r="A28" s="1279" t="s">
        <v>1735</v>
      </c>
      <c r="B28" s="1346"/>
      <c r="C28" s="1347"/>
      <c r="D28" s="1254"/>
      <c r="E28" s="1254"/>
      <c r="F28" s="1247"/>
      <c r="G28" s="1247"/>
      <c r="H28" s="1247"/>
      <c r="I28" s="1247"/>
      <c r="J28" s="1247"/>
      <c r="K28" s="1247"/>
      <c r="L28" s="1254"/>
      <c r="M28" s="1341"/>
    </row>
    <row r="29" spans="1:13" s="317" customFormat="1" ht="8.25" customHeight="1" x14ac:dyDescent="0.2">
      <c r="A29" s="1279"/>
      <c r="B29" s="1346"/>
      <c r="C29" s="1347"/>
      <c r="D29" s="1254"/>
      <c r="E29" s="1254"/>
      <c r="F29" s="1247"/>
      <c r="G29" s="1247"/>
      <c r="H29" s="1247"/>
      <c r="I29" s="1247"/>
      <c r="J29" s="1247"/>
      <c r="K29" s="1247"/>
      <c r="L29" s="1254"/>
      <c r="M29" s="1341"/>
    </row>
    <row r="30" spans="1:13" s="317" customFormat="1" x14ac:dyDescent="0.2">
      <c r="A30" s="1348" t="s">
        <v>1838</v>
      </c>
      <c r="B30" s="1349"/>
      <c r="C30" s="1350"/>
      <c r="D30" s="1351"/>
      <c r="E30" s="1351"/>
      <c r="F30" s="1351"/>
      <c r="G30" s="1351"/>
      <c r="J30" s="1255"/>
      <c r="K30" s="1255"/>
    </row>
    <row r="31" spans="1:13" s="317" customFormat="1" x14ac:dyDescent="0.2">
      <c r="A31" s="1274"/>
      <c r="B31" s="1352"/>
      <c r="C31" s="1353"/>
      <c r="D31" s="1275"/>
      <c r="E31" s="1275"/>
      <c r="J31" s="1255"/>
      <c r="K31" s="1255"/>
    </row>
    <row r="32" spans="1:13" s="317" customFormat="1" ht="13.5" customHeight="1" x14ac:dyDescent="0.2">
      <c r="A32" s="1273" t="s">
        <v>1246</v>
      </c>
      <c r="B32" s="1354"/>
      <c r="C32" s="1355"/>
      <c r="J32" s="1255"/>
      <c r="K32" s="1255"/>
    </row>
    <row r="33" spans="1:12" s="317" customFormat="1" ht="13.5" customHeight="1" x14ac:dyDescent="0.2">
      <c r="A33" s="1356"/>
      <c r="B33" s="1357"/>
      <c r="C33" s="1358"/>
      <c r="D33" s="1294"/>
      <c r="E33" s="1294"/>
      <c r="F33" s="1294"/>
      <c r="G33" s="1294"/>
      <c r="H33" s="1294"/>
      <c r="I33" s="1294"/>
      <c r="J33" s="1359"/>
      <c r="K33" s="1359"/>
      <c r="L33" s="1294"/>
    </row>
    <row r="34" spans="1:12" s="317" customFormat="1" ht="9.6" customHeight="1" x14ac:dyDescent="0.2">
      <c r="A34" s="1360"/>
      <c r="B34" s="1354"/>
      <c r="C34" s="1355"/>
      <c r="J34" s="1255"/>
      <c r="K34" s="1255"/>
    </row>
    <row r="35" spans="1:12" s="317" customFormat="1" ht="11.25" customHeight="1" x14ac:dyDescent="0.2">
      <c r="A35" s="1361" t="s">
        <v>1736</v>
      </c>
      <c r="B35" s="1362"/>
      <c r="C35" s="1362"/>
      <c r="D35" s="1362"/>
      <c r="E35" s="1362"/>
      <c r="F35" s="1362"/>
      <c r="G35" s="1362"/>
      <c r="H35" s="1363"/>
      <c r="I35" s="1363"/>
      <c r="J35" s="1363"/>
      <c r="K35" s="1363"/>
      <c r="L35" s="1363"/>
    </row>
    <row r="36" spans="1:12" s="317" customFormat="1" ht="11.25" customHeight="1" x14ac:dyDescent="0.2">
      <c r="A36" s="1364" t="s">
        <v>1584</v>
      </c>
      <c r="B36" s="1363"/>
      <c r="C36" s="1363"/>
      <c r="D36" s="1363"/>
      <c r="E36" s="1363"/>
      <c r="F36" s="1363"/>
      <c r="G36" s="1363"/>
      <c r="H36" s="1363"/>
      <c r="I36" s="1363"/>
      <c r="J36" s="1363"/>
      <c r="K36" s="1363"/>
      <c r="L36" s="1363"/>
    </row>
    <row r="37" spans="1:12" s="317" customFormat="1" ht="3.95" customHeight="1" x14ac:dyDescent="0.2">
      <c r="A37" s="1364"/>
      <c r="B37" s="1363"/>
      <c r="C37" s="1363"/>
      <c r="D37" s="1363"/>
      <c r="E37" s="1363"/>
      <c r="F37" s="1363"/>
      <c r="G37" s="1363"/>
      <c r="H37" s="1363"/>
      <c r="I37" s="1363"/>
      <c r="J37" s="1363"/>
      <c r="K37" s="1363"/>
      <c r="L37" s="1363"/>
    </row>
    <row r="38" spans="1:12" s="317" customFormat="1" ht="11.25" customHeight="1" x14ac:dyDescent="0.2">
      <c r="A38" s="1361" t="s">
        <v>1737</v>
      </c>
      <c r="B38" s="1363"/>
      <c r="C38" s="1363"/>
      <c r="D38" s="1363"/>
      <c r="E38" s="1363"/>
      <c r="F38" s="1363"/>
      <c r="G38" s="1363"/>
      <c r="H38" s="1363"/>
      <c r="I38" s="1363"/>
      <c r="J38" s="1363"/>
      <c r="K38" s="1363"/>
      <c r="L38" s="1363"/>
    </row>
    <row r="39" spans="1:12" s="317" customFormat="1" ht="11.25" customHeight="1" x14ac:dyDescent="0.2">
      <c r="A39" s="1297" t="s">
        <v>1585</v>
      </c>
      <c r="B39" s="1365"/>
      <c r="C39" s="1366"/>
      <c r="D39" s="1297"/>
      <c r="E39" s="1297"/>
      <c r="F39" s="1297"/>
      <c r="G39" s="1297"/>
      <c r="H39" s="1297"/>
      <c r="I39" s="1297"/>
      <c r="J39" s="1367"/>
      <c r="K39" s="1367"/>
      <c r="L39" s="1297"/>
    </row>
    <row r="40" spans="1:12" s="317" customFormat="1" ht="3.95" customHeight="1" x14ac:dyDescent="0.2">
      <c r="A40" s="1297"/>
      <c r="B40" s="1365"/>
      <c r="C40" s="1366"/>
      <c r="D40" s="1297"/>
      <c r="E40" s="1297"/>
      <c r="F40" s="1297"/>
      <c r="G40" s="1297"/>
      <c r="H40" s="1297"/>
      <c r="I40" s="1297"/>
      <c r="J40" s="1367"/>
      <c r="K40" s="1367"/>
      <c r="L40" s="1297"/>
    </row>
    <row r="41" spans="1:12" s="317" customFormat="1" ht="11.25" customHeight="1" x14ac:dyDescent="0.2">
      <c r="A41" s="1368" t="s">
        <v>1738</v>
      </c>
      <c r="B41" s="1365"/>
      <c r="C41" s="1366"/>
      <c r="D41" s="1297"/>
      <c r="E41" s="1297"/>
      <c r="F41" s="1297"/>
      <c r="G41" s="1297"/>
      <c r="H41" s="1297"/>
      <c r="I41" s="1297"/>
      <c r="J41" s="1367"/>
      <c r="K41" s="1367"/>
      <c r="L41" s="1297"/>
    </row>
    <row r="42" spans="1:12" s="317" customFormat="1" ht="3.95" customHeight="1" x14ac:dyDescent="0.2">
      <c r="A42" s="1368"/>
      <c r="B42" s="1365"/>
      <c r="C42" s="1366"/>
      <c r="D42" s="1297"/>
      <c r="E42" s="1297"/>
      <c r="F42" s="1297"/>
      <c r="G42" s="1297"/>
      <c r="H42" s="1297"/>
      <c r="I42" s="1297"/>
      <c r="J42" s="1367"/>
      <c r="K42" s="1367"/>
      <c r="L42" s="1297"/>
    </row>
    <row r="43" spans="1:12" s="317" customFormat="1" ht="11.25" customHeight="1" x14ac:dyDescent="0.2">
      <c r="A43" s="1369" t="s">
        <v>1739</v>
      </c>
      <c r="B43" s="1365"/>
      <c r="C43" s="1366"/>
      <c r="D43" s="1297"/>
      <c r="E43" s="1297"/>
      <c r="F43" s="1297"/>
      <c r="G43" s="1297"/>
      <c r="H43" s="1297"/>
      <c r="I43" s="1297"/>
      <c r="J43" s="1367"/>
      <c r="K43" s="1367"/>
      <c r="L43" s="1297"/>
    </row>
    <row r="44" spans="1:12" s="317" customFormat="1" ht="11.25" customHeight="1" x14ac:dyDescent="0.2">
      <c r="A44" s="1297" t="s">
        <v>1586</v>
      </c>
      <c r="B44" s="1354"/>
      <c r="C44" s="1355"/>
      <c r="J44" s="1255"/>
      <c r="K44" s="1255"/>
    </row>
  </sheetData>
  <mergeCells count="4">
    <mergeCell ref="B1:M1"/>
    <mergeCell ref="B2:M2"/>
    <mergeCell ref="B3:M3"/>
    <mergeCell ref="B4:M4"/>
  </mergeCells>
  <pageMargins left="0.7" right="0.7" top="0.75" bottom="0.75" header="0.3" footer="0.3"/>
  <pageSetup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M47"/>
  <sheetViews>
    <sheetView showGridLines="0" workbookViewId="0">
      <selection activeCell="A14" sqref="A14"/>
    </sheetView>
  </sheetViews>
  <sheetFormatPr defaultRowHeight="12.75" x14ac:dyDescent="0.2"/>
  <cols>
    <col min="1" max="1" width="27.140625" customWidth="1"/>
    <col min="3" max="3" width="11.42578125" customWidth="1"/>
    <col min="4" max="4" width="12.85546875" customWidth="1"/>
    <col min="5" max="5" width="14" customWidth="1"/>
    <col min="6" max="6" width="12.42578125" customWidth="1"/>
    <col min="7" max="7" width="12.140625" customWidth="1"/>
    <col min="8" max="8" width="11.7109375" customWidth="1"/>
    <col min="9" max="9" width="13" customWidth="1"/>
  </cols>
  <sheetData>
    <row r="1" spans="1:13" s="317" customFormat="1" ht="11.85" customHeight="1" x14ac:dyDescent="0.2">
      <c r="A1" s="2419" t="str">
        <f>'Single Audit Cover'!A7</f>
        <v>Canton Union SD 66</v>
      </c>
      <c r="B1" s="2440"/>
      <c r="C1" s="2440"/>
      <c r="D1" s="2440"/>
      <c r="E1" s="2440"/>
      <c r="F1" s="2440"/>
      <c r="G1" s="2440"/>
      <c r="H1" s="2440"/>
      <c r="I1" s="2440"/>
      <c r="J1" s="2440"/>
      <c r="K1" s="2440"/>
      <c r="L1" s="2440"/>
    </row>
    <row r="2" spans="1:13" s="317" customFormat="1" ht="15" x14ac:dyDescent="0.2">
      <c r="A2" s="2441">
        <f>'Single Audit Cover'!E7</f>
        <v>26029066025</v>
      </c>
      <c r="B2" s="2441"/>
      <c r="C2" s="2441"/>
      <c r="D2" s="2441"/>
      <c r="E2" s="2441"/>
      <c r="F2" s="2441"/>
      <c r="G2" s="2441"/>
      <c r="H2" s="2441"/>
      <c r="I2" s="2441"/>
      <c r="J2" s="2441"/>
      <c r="K2" s="2441"/>
      <c r="L2" s="2441"/>
      <c r="M2" s="1299"/>
    </row>
    <row r="3" spans="1:13" s="317" customFormat="1" ht="15" x14ac:dyDescent="0.2">
      <c r="A3" s="2442" t="s">
        <v>1219</v>
      </c>
      <c r="B3" s="2442"/>
      <c r="C3" s="2442"/>
      <c r="D3" s="2442"/>
      <c r="E3" s="2442"/>
      <c r="F3" s="2442"/>
      <c r="G3" s="2442"/>
      <c r="H3" s="2442"/>
      <c r="I3" s="2442"/>
      <c r="J3" s="2442"/>
      <c r="K3" s="2442"/>
      <c r="L3" s="2442"/>
      <c r="M3" s="1299"/>
    </row>
    <row r="4" spans="1:13" s="317" customFormat="1" ht="15" x14ac:dyDescent="0.2">
      <c r="A4" s="2443" t="str">
        <f>'Single Audit Cover'!A4</f>
        <v>Year Ending June 30, 2019</v>
      </c>
      <c r="B4" s="2443"/>
      <c r="C4" s="2443"/>
      <c r="D4" s="2443"/>
      <c r="E4" s="2443"/>
      <c r="F4" s="2443"/>
      <c r="G4" s="2443"/>
      <c r="H4" s="2443"/>
      <c r="I4" s="2443"/>
      <c r="J4" s="2443"/>
      <c r="K4" s="2443"/>
      <c r="L4" s="2443"/>
      <c r="M4" s="1299"/>
    </row>
    <row r="5" spans="1:13" s="317" customFormat="1" x14ac:dyDescent="0.2">
      <c r="B5" s="1354"/>
      <c r="C5" s="1355"/>
      <c r="F5" s="1255"/>
      <c r="G5" s="1255"/>
      <c r="H5" s="1255"/>
      <c r="I5" s="1255"/>
      <c r="J5" s="1255"/>
      <c r="K5" s="1255"/>
    </row>
    <row r="6" spans="1:13" s="317" customFormat="1" x14ac:dyDescent="0.2">
      <c r="A6" s="1300"/>
      <c r="B6" s="1301"/>
      <c r="C6" s="1302" t="s">
        <v>1265</v>
      </c>
      <c r="D6" s="1303" t="s">
        <v>527</v>
      </c>
      <c r="E6" s="1304"/>
      <c r="F6" s="1305" t="s">
        <v>1732</v>
      </c>
      <c r="G6" s="1303"/>
      <c r="H6" s="1303"/>
      <c r="I6" s="1303"/>
      <c r="J6" s="1306"/>
      <c r="K6" s="1307"/>
      <c r="L6" s="1308"/>
    </row>
    <row r="7" spans="1:13" s="317" customFormat="1" x14ac:dyDescent="0.2">
      <c r="A7" s="1309" t="s">
        <v>1581</v>
      </c>
      <c r="B7" s="1310"/>
      <c r="C7" s="1311"/>
      <c r="D7" s="1312"/>
      <c r="E7" s="1313"/>
      <c r="F7" s="1312"/>
      <c r="G7" s="1314" t="s">
        <v>1262</v>
      </c>
      <c r="H7" s="1312"/>
      <c r="I7" s="1315" t="s">
        <v>1262</v>
      </c>
      <c r="J7" s="1316"/>
      <c r="K7" s="1317" t="s">
        <v>1260</v>
      </c>
      <c r="L7" s="1318"/>
    </row>
    <row r="8" spans="1:13" s="317" customFormat="1" x14ac:dyDescent="0.2">
      <c r="A8" s="1665"/>
      <c r="B8" s="1310" t="s">
        <v>1264</v>
      </c>
      <c r="C8" s="1311" t="s">
        <v>1263</v>
      </c>
      <c r="D8" s="1319" t="s">
        <v>1262</v>
      </c>
      <c r="E8" s="1320" t="s">
        <v>1262</v>
      </c>
      <c r="F8" s="1321" t="s">
        <v>1262</v>
      </c>
      <c r="G8" s="1314" t="s">
        <v>1837</v>
      </c>
      <c r="H8" s="1316" t="s">
        <v>1262</v>
      </c>
      <c r="I8" s="1315" t="s">
        <v>1986</v>
      </c>
      <c r="J8" s="1316" t="s">
        <v>1261</v>
      </c>
      <c r="K8" s="1317" t="s">
        <v>1257</v>
      </c>
      <c r="L8" s="1318" t="s">
        <v>30</v>
      </c>
    </row>
    <row r="9" spans="1:13" s="317" customFormat="1" ht="14.25" x14ac:dyDescent="0.2">
      <c r="A9" s="1322" t="s">
        <v>1259</v>
      </c>
      <c r="B9" s="1310" t="s">
        <v>1733</v>
      </c>
      <c r="C9" s="1311" t="s">
        <v>1734</v>
      </c>
      <c r="D9" s="1319" t="s">
        <v>1837</v>
      </c>
      <c r="E9" s="1320" t="s">
        <v>1986</v>
      </c>
      <c r="F9" s="1321" t="s">
        <v>1837</v>
      </c>
      <c r="G9" s="1314" t="s">
        <v>1582</v>
      </c>
      <c r="H9" s="1316" t="s">
        <v>1986</v>
      </c>
      <c r="I9" s="1315" t="s">
        <v>1582</v>
      </c>
      <c r="J9" s="1316" t="s">
        <v>1258</v>
      </c>
      <c r="K9" s="1323" t="s">
        <v>1583</v>
      </c>
      <c r="L9" s="1318"/>
    </row>
    <row r="10" spans="1:13" s="317" customFormat="1" ht="11.85" customHeight="1" x14ac:dyDescent="0.2">
      <c r="A10" s="1322" t="s">
        <v>1256</v>
      </c>
      <c r="B10" s="1324" t="s">
        <v>1255</v>
      </c>
      <c r="C10" s="1325" t="s">
        <v>1254</v>
      </c>
      <c r="D10" s="1326" t="s">
        <v>1253</v>
      </c>
      <c r="E10" s="1327" t="s">
        <v>1252</v>
      </c>
      <c r="F10" s="1328" t="s">
        <v>1251</v>
      </c>
      <c r="G10" s="1329" t="s">
        <v>1266</v>
      </c>
      <c r="H10" s="1330" t="s">
        <v>1250</v>
      </c>
      <c r="I10" s="1331" t="s">
        <v>1266</v>
      </c>
      <c r="J10" s="1332" t="s">
        <v>1249</v>
      </c>
      <c r="K10" s="1332" t="s">
        <v>1248</v>
      </c>
      <c r="L10" s="1333" t="s">
        <v>1247</v>
      </c>
    </row>
    <row r="11" spans="1:13" s="317" customFormat="1" ht="20.100000000000001" customHeight="1" x14ac:dyDescent="0.2">
      <c r="A11" s="1334" t="s">
        <v>2112</v>
      </c>
      <c r="B11" s="1335"/>
      <c r="C11" s="1336"/>
      <c r="D11" s="1337"/>
      <c r="E11" s="1337"/>
      <c r="F11" s="1337"/>
      <c r="G11" s="1337"/>
      <c r="H11" s="1337"/>
      <c r="I11" s="1337"/>
      <c r="J11" s="1337"/>
      <c r="K11" s="1337">
        <f>+F11+H11+J11</f>
        <v>0</v>
      </c>
      <c r="L11" s="1337"/>
    </row>
    <row r="12" spans="1:13" s="317" customFormat="1" ht="20.100000000000001" customHeight="1" x14ac:dyDescent="0.2">
      <c r="A12" s="1334" t="s">
        <v>2195</v>
      </c>
      <c r="B12" s="1338"/>
      <c r="C12" s="1339"/>
      <c r="D12" s="1340"/>
      <c r="E12" s="1340"/>
      <c r="F12" s="1340"/>
      <c r="G12" s="1340"/>
      <c r="H12" s="1340"/>
      <c r="I12" s="1340"/>
      <c r="J12" s="1340"/>
      <c r="K12" s="1337">
        <f t="shared" ref="K12:K28" si="0">+F12+H12+J12</f>
        <v>0</v>
      </c>
      <c r="L12" s="1340"/>
    </row>
    <row r="13" spans="1:13" s="317" customFormat="1" ht="20.100000000000001" customHeight="1" x14ac:dyDescent="0.2">
      <c r="A13" s="1334" t="s">
        <v>2199</v>
      </c>
      <c r="B13" s="1338"/>
      <c r="C13" s="1339"/>
      <c r="D13" s="1340"/>
      <c r="E13" s="1340"/>
      <c r="F13" s="1340"/>
      <c r="G13" s="1340"/>
      <c r="H13" s="1340"/>
      <c r="I13" s="1340"/>
      <c r="J13" s="1340"/>
      <c r="K13" s="1337">
        <f t="shared" si="0"/>
        <v>0</v>
      </c>
      <c r="L13" s="1340"/>
    </row>
    <row r="14" spans="1:13" s="317" customFormat="1" ht="20.100000000000001" customHeight="1" x14ac:dyDescent="0.2">
      <c r="A14" s="1334" t="s">
        <v>2141</v>
      </c>
      <c r="B14" s="1338" t="s">
        <v>2140</v>
      </c>
      <c r="C14" s="1339" t="s">
        <v>2142</v>
      </c>
      <c r="D14" s="1340">
        <v>83497</v>
      </c>
      <c r="E14" s="1340">
        <v>24076</v>
      </c>
      <c r="F14" s="1340">
        <v>107576</v>
      </c>
      <c r="G14" s="1340"/>
      <c r="H14" s="1340"/>
      <c r="I14" s="1340"/>
      <c r="J14" s="1340"/>
      <c r="K14" s="1337">
        <f t="shared" si="0"/>
        <v>107576</v>
      </c>
      <c r="L14" s="1340">
        <v>107573</v>
      </c>
    </row>
    <row r="15" spans="1:13" s="317" customFormat="1" ht="20.100000000000001" customHeight="1" x14ac:dyDescent="0.2">
      <c r="A15" s="1334" t="s">
        <v>2152</v>
      </c>
      <c r="B15" s="1338" t="s">
        <v>2140</v>
      </c>
      <c r="C15" s="1339" t="s">
        <v>2156</v>
      </c>
      <c r="D15" s="1340"/>
      <c r="E15" s="1340">
        <v>110209</v>
      </c>
      <c r="F15" s="1340"/>
      <c r="G15" s="1340"/>
      <c r="H15" s="1340">
        <v>110209</v>
      </c>
      <c r="I15" s="1340"/>
      <c r="J15" s="1340"/>
      <c r="K15" s="1337">
        <f t="shared" si="0"/>
        <v>110209</v>
      </c>
      <c r="L15" s="1340">
        <v>110209</v>
      </c>
    </row>
    <row r="16" spans="1:13" s="317" customFormat="1" ht="20.100000000000001" customHeight="1" x14ac:dyDescent="0.2">
      <c r="A16" s="1334" t="s">
        <v>2143</v>
      </c>
      <c r="B16" s="1338"/>
      <c r="C16" s="1339"/>
      <c r="D16" s="1340">
        <f>SUM(D14:D15)</f>
        <v>83497</v>
      </c>
      <c r="E16" s="1340">
        <f>SUM(E14:E15)</f>
        <v>134285</v>
      </c>
      <c r="F16" s="1340">
        <f>SUM(F14:F15)</f>
        <v>107576</v>
      </c>
      <c r="G16" s="1340"/>
      <c r="H16" s="1340">
        <f>SUM(H14:H15)</f>
        <v>110209</v>
      </c>
      <c r="I16" s="1340"/>
      <c r="J16" s="1340"/>
      <c r="K16" s="1337">
        <f t="shared" si="0"/>
        <v>217785</v>
      </c>
      <c r="L16" s="1340">
        <f>SUM(L14:L15)</f>
        <v>217782</v>
      </c>
    </row>
    <row r="17" spans="1:13" s="317" customFormat="1" ht="20.100000000000001" customHeight="1" x14ac:dyDescent="0.2">
      <c r="A17" s="1334" t="s">
        <v>2196</v>
      </c>
      <c r="B17" s="1338"/>
      <c r="C17" s="1339"/>
      <c r="D17" s="1340"/>
      <c r="E17" s="1340"/>
      <c r="F17" s="1340"/>
      <c r="G17" s="1340"/>
      <c r="H17" s="1340"/>
      <c r="I17" s="1340"/>
      <c r="J17" s="1340"/>
      <c r="K17" s="1337"/>
      <c r="L17" s="1340"/>
    </row>
    <row r="18" spans="1:13" s="317" customFormat="1" ht="20.100000000000001" customHeight="1" x14ac:dyDescent="0.2">
      <c r="A18" s="1334" t="s">
        <v>2157</v>
      </c>
      <c r="B18" s="1338">
        <v>84.126000000000005</v>
      </c>
      <c r="C18" s="1339" t="s">
        <v>2158</v>
      </c>
      <c r="D18" s="1340"/>
      <c r="E18" s="1340">
        <v>7920</v>
      </c>
      <c r="F18" s="1340"/>
      <c r="G18" s="1340"/>
      <c r="H18" s="1340">
        <v>7920</v>
      </c>
      <c r="I18" s="1340"/>
      <c r="J18" s="1340"/>
      <c r="K18" s="1337">
        <f t="shared" si="0"/>
        <v>7920</v>
      </c>
      <c r="L18" s="1340" t="s">
        <v>2111</v>
      </c>
    </row>
    <row r="19" spans="1:13" s="317" customFormat="1" ht="20.100000000000001" customHeight="1" x14ac:dyDescent="0.2">
      <c r="A19" s="1334" t="s">
        <v>2144</v>
      </c>
      <c r="B19" s="1338"/>
      <c r="C19" s="1339"/>
      <c r="D19" s="1340">
        <f>D16+SEFA!D25+SEFA!D22+SEFA!D19+SEFA!D16+SEFA!D13</f>
        <v>720815</v>
      </c>
      <c r="E19" s="1340">
        <f>E16+SEFA!E25+SEFA!E22+SEFA!E19+SEFA!E16+SEFA!E13+E18</f>
        <v>1126004</v>
      </c>
      <c r="F19" s="1340">
        <f>F16+SEFA!F25+SEFA!F22+SEFA!F19+SEFA!F16+SEFA!F13</f>
        <v>909755</v>
      </c>
      <c r="G19" s="1340"/>
      <c r="H19" s="1340">
        <f>H16+SEFA!H25+SEFA!H22+SEFA!H19+SEFA!H16+SEFA!H13+H18</f>
        <v>1256760</v>
      </c>
      <c r="I19" s="1340"/>
      <c r="J19" s="1340"/>
      <c r="K19" s="1337">
        <f t="shared" si="0"/>
        <v>2166515</v>
      </c>
      <c r="L19" s="1340"/>
    </row>
    <row r="20" spans="1:13" s="317" customFormat="1" ht="20.100000000000001" customHeight="1" x14ac:dyDescent="0.2">
      <c r="A20" s="1334" t="s">
        <v>2145</v>
      </c>
      <c r="B20" s="1338"/>
      <c r="C20" s="1339"/>
      <c r="D20" s="1340"/>
      <c r="E20" s="1340"/>
      <c r="F20" s="1340"/>
      <c r="G20" s="1340"/>
      <c r="H20" s="1340"/>
      <c r="I20" s="1340"/>
      <c r="J20" s="1340"/>
      <c r="K20" s="1337">
        <f t="shared" si="0"/>
        <v>0</v>
      </c>
      <c r="L20" s="1340"/>
    </row>
    <row r="21" spans="1:13" s="317" customFormat="1" ht="20.100000000000001" customHeight="1" x14ac:dyDescent="0.2">
      <c r="A21" s="1334" t="s">
        <v>2146</v>
      </c>
      <c r="B21" s="1338"/>
      <c r="C21" s="1339"/>
      <c r="D21" s="1340"/>
      <c r="E21" s="1340"/>
      <c r="F21" s="1340"/>
      <c r="G21" s="1340"/>
      <c r="H21" s="1340"/>
      <c r="I21" s="1340"/>
      <c r="J21" s="1340"/>
      <c r="K21" s="1337">
        <f t="shared" si="0"/>
        <v>0</v>
      </c>
      <c r="L21" s="1340"/>
    </row>
    <row r="22" spans="1:13" s="317" customFormat="1" ht="20.100000000000001" customHeight="1" x14ac:dyDescent="0.2">
      <c r="A22" s="1334" t="s">
        <v>2147</v>
      </c>
      <c r="B22" s="1338"/>
      <c r="C22" s="1339"/>
      <c r="D22" s="1340"/>
      <c r="E22" s="1340"/>
      <c r="F22" s="1340"/>
      <c r="G22" s="1340"/>
      <c r="H22" s="1340"/>
      <c r="I22" s="1340"/>
      <c r="J22" s="1340"/>
      <c r="K22" s="1337">
        <f t="shared" si="0"/>
        <v>0</v>
      </c>
      <c r="L22" s="1340"/>
    </row>
    <row r="23" spans="1:13" s="317" customFormat="1" ht="20.100000000000001" customHeight="1" x14ac:dyDescent="0.2">
      <c r="A23" s="1334" t="s">
        <v>2148</v>
      </c>
      <c r="B23" s="1338">
        <v>10.555</v>
      </c>
      <c r="C23" s="1339" t="s">
        <v>2155</v>
      </c>
      <c r="D23" s="1340"/>
      <c r="E23" s="1340">
        <v>30003</v>
      </c>
      <c r="F23" s="1340"/>
      <c r="G23" s="1340"/>
      <c r="H23" s="1340">
        <v>30003</v>
      </c>
      <c r="I23" s="1340"/>
      <c r="J23" s="1340"/>
      <c r="K23" s="1337">
        <f t="shared" si="0"/>
        <v>30003</v>
      </c>
      <c r="L23" s="1340" t="s">
        <v>2111</v>
      </c>
    </row>
    <row r="24" spans="1:13" s="317" customFormat="1" ht="20.100000000000001" customHeight="1" x14ac:dyDescent="0.2">
      <c r="A24" s="1334" t="s">
        <v>2126</v>
      </c>
      <c r="B24" s="1338"/>
      <c r="C24" s="1339"/>
      <c r="D24" s="1340"/>
      <c r="E24" s="1340"/>
      <c r="F24" s="1340"/>
      <c r="G24" s="1340"/>
      <c r="H24" s="1340"/>
      <c r="I24" s="1340"/>
      <c r="J24" s="1340"/>
      <c r="K24" s="1337">
        <f t="shared" si="0"/>
        <v>0</v>
      </c>
      <c r="L24" s="1340"/>
    </row>
    <row r="25" spans="1:13" s="317" customFormat="1" ht="20.100000000000001" customHeight="1" x14ac:dyDescent="0.2">
      <c r="A25" s="1334" t="s">
        <v>2149</v>
      </c>
      <c r="B25" s="1338">
        <v>10.555</v>
      </c>
      <c r="C25" s="1339" t="s">
        <v>2155</v>
      </c>
      <c r="D25" s="1340"/>
      <c r="E25" s="1340">
        <v>42666</v>
      </c>
      <c r="F25" s="1340"/>
      <c r="G25" s="1340"/>
      <c r="H25" s="1340">
        <v>42666</v>
      </c>
      <c r="I25" s="1340"/>
      <c r="J25" s="1340"/>
      <c r="K25" s="1337">
        <f t="shared" si="0"/>
        <v>42666</v>
      </c>
      <c r="L25" s="1340" t="s">
        <v>2111</v>
      </c>
    </row>
    <row r="26" spans="1:13" s="317" customFormat="1" ht="20.100000000000001" customHeight="1" x14ac:dyDescent="0.2">
      <c r="A26" s="1334" t="s">
        <v>2151</v>
      </c>
      <c r="B26" s="1338">
        <v>10.555</v>
      </c>
      <c r="C26" s="1339" t="s">
        <v>2150</v>
      </c>
      <c r="D26" s="1340">
        <v>414656</v>
      </c>
      <c r="E26" s="1340">
        <v>91291</v>
      </c>
      <c r="F26" s="1340">
        <v>414656</v>
      </c>
      <c r="G26" s="1340"/>
      <c r="H26" s="1340">
        <v>91291</v>
      </c>
      <c r="I26" s="1340"/>
      <c r="J26" s="1340"/>
      <c r="K26" s="1337">
        <f t="shared" si="0"/>
        <v>505947</v>
      </c>
      <c r="L26" s="1340" t="s">
        <v>2111</v>
      </c>
    </row>
    <row r="27" spans="1:13" s="317" customFormat="1" ht="20.100000000000001" customHeight="1" x14ac:dyDescent="0.2">
      <c r="A27" s="1334" t="s">
        <v>2153</v>
      </c>
      <c r="B27" s="1338">
        <v>10.555</v>
      </c>
      <c r="C27" s="1339" t="s">
        <v>2154</v>
      </c>
      <c r="D27" s="1340"/>
      <c r="E27" s="1340">
        <v>396863</v>
      </c>
      <c r="F27" s="1340"/>
      <c r="G27" s="1340"/>
      <c r="H27" s="1340">
        <v>396863</v>
      </c>
      <c r="I27" s="1340"/>
      <c r="J27" s="1340"/>
      <c r="K27" s="1337">
        <f t="shared" si="0"/>
        <v>396863</v>
      </c>
      <c r="L27" s="1340" t="s">
        <v>2111</v>
      </c>
    </row>
    <row r="28" spans="1:13" s="317" customFormat="1" ht="20.100000000000001" customHeight="1" x14ac:dyDescent="0.2">
      <c r="A28" s="1334" t="s">
        <v>2183</v>
      </c>
      <c r="B28" s="1338">
        <v>10.555</v>
      </c>
      <c r="C28" s="1339" t="s">
        <v>2184</v>
      </c>
      <c r="D28" s="1340"/>
      <c r="E28" s="1340">
        <v>7120</v>
      </c>
      <c r="F28" s="1340"/>
      <c r="G28" s="1340"/>
      <c r="H28" s="1340">
        <v>7120</v>
      </c>
      <c r="I28" s="1340"/>
      <c r="J28" s="1340"/>
      <c r="K28" s="1337">
        <f t="shared" si="0"/>
        <v>7120</v>
      </c>
      <c r="L28" s="1340" t="s">
        <v>2111</v>
      </c>
      <c r="M28" s="1341"/>
    </row>
    <row r="29" spans="1:13" s="317" customFormat="1" ht="12.75" customHeight="1" x14ac:dyDescent="0.2">
      <c r="A29" s="1342"/>
      <c r="B29" s="1343"/>
      <c r="C29" s="1344"/>
      <c r="D29" s="1345"/>
      <c r="E29" s="1345"/>
      <c r="F29" s="1345"/>
      <c r="G29" s="1345"/>
      <c r="H29" s="1345"/>
      <c r="I29" s="1345"/>
      <c r="J29" s="1345"/>
      <c r="K29" s="1345"/>
      <c r="L29" s="1345"/>
      <c r="M29" s="1341"/>
    </row>
    <row r="30" spans="1:13" s="317" customFormat="1" x14ac:dyDescent="0.2">
      <c r="A30" s="1254"/>
      <c r="B30" s="1346"/>
      <c r="C30" s="1347"/>
      <c r="D30" s="1254"/>
      <c r="E30" s="1254"/>
      <c r="F30" s="1247"/>
      <c r="G30" s="1247"/>
      <c r="H30" s="1247"/>
      <c r="I30" s="1247"/>
      <c r="J30" s="1247"/>
      <c r="K30" s="1247"/>
      <c r="L30" s="1254"/>
      <c r="M30" s="1341"/>
    </row>
    <row r="31" spans="1:13" s="317" customFormat="1" ht="13.5" customHeight="1" x14ac:dyDescent="0.2">
      <c r="A31" s="1279" t="s">
        <v>1735</v>
      </c>
      <c r="B31" s="1346"/>
      <c r="C31" s="1347"/>
      <c r="D31" s="1254"/>
      <c r="E31" s="1254"/>
      <c r="F31" s="1247"/>
      <c r="G31" s="1247"/>
      <c r="H31" s="1247"/>
      <c r="I31" s="1247"/>
      <c r="J31" s="1247"/>
      <c r="K31" s="1247"/>
      <c r="L31" s="1254"/>
      <c r="M31" s="1341"/>
    </row>
    <row r="32" spans="1:13" s="317" customFormat="1" ht="8.25" customHeight="1" x14ac:dyDescent="0.2">
      <c r="A32" s="1279"/>
      <c r="B32" s="1346"/>
      <c r="C32" s="1347"/>
      <c r="D32" s="1254"/>
      <c r="E32" s="1254"/>
      <c r="F32" s="1247"/>
      <c r="G32" s="1247"/>
      <c r="H32" s="1247"/>
      <c r="I32" s="1247"/>
      <c r="J32" s="1247"/>
      <c r="K32" s="1247"/>
      <c r="L32" s="1254"/>
      <c r="M32" s="1341"/>
    </row>
    <row r="33" spans="1:12" s="317" customFormat="1" x14ac:dyDescent="0.2">
      <c r="A33" s="1348" t="s">
        <v>1838</v>
      </c>
      <c r="B33" s="1349"/>
      <c r="C33" s="1350"/>
      <c r="D33" s="1351"/>
      <c r="E33" s="1351"/>
      <c r="F33" s="1351"/>
      <c r="G33" s="1351"/>
      <c r="J33" s="1255"/>
      <c r="K33" s="1255"/>
    </row>
    <row r="34" spans="1:12" s="317" customFormat="1" x14ac:dyDescent="0.2">
      <c r="A34" s="1274"/>
      <c r="B34" s="1352"/>
      <c r="C34" s="1353"/>
      <c r="D34" s="1275"/>
      <c r="E34" s="1275"/>
      <c r="J34" s="1255"/>
      <c r="K34" s="1255"/>
    </row>
    <row r="35" spans="1:12" s="317" customFormat="1" ht="13.5" customHeight="1" x14ac:dyDescent="0.2">
      <c r="A35" s="1273" t="s">
        <v>1246</v>
      </c>
      <c r="B35" s="1354"/>
      <c r="C35" s="1355"/>
      <c r="J35" s="1255"/>
      <c r="K35" s="1255"/>
    </row>
    <row r="36" spans="1:12" s="317" customFormat="1" ht="13.5" customHeight="1" x14ac:dyDescent="0.2">
      <c r="A36" s="1356"/>
      <c r="B36" s="1357"/>
      <c r="C36" s="1358"/>
      <c r="D36" s="1294"/>
      <c r="E36" s="1294"/>
      <c r="F36" s="1294"/>
      <c r="G36" s="1294"/>
      <c r="H36" s="1294"/>
      <c r="I36" s="1294"/>
      <c r="J36" s="1359"/>
      <c r="K36" s="1359"/>
      <c r="L36" s="1294"/>
    </row>
    <row r="37" spans="1:12" s="317" customFormat="1" ht="9.6" customHeight="1" x14ac:dyDescent="0.2">
      <c r="A37" s="1360"/>
      <c r="B37" s="1354"/>
      <c r="C37" s="1355"/>
      <c r="J37" s="1255"/>
      <c r="K37" s="1255"/>
    </row>
    <row r="38" spans="1:12" s="317" customFormat="1" ht="11.25" customHeight="1" x14ac:dyDescent="0.2">
      <c r="A38" s="1361" t="s">
        <v>1736</v>
      </c>
      <c r="B38" s="1362"/>
      <c r="C38" s="1362"/>
      <c r="D38" s="1362"/>
      <c r="E38" s="1362"/>
      <c r="F38" s="1362"/>
      <c r="G38" s="1362"/>
      <c r="H38" s="1363"/>
      <c r="I38" s="1363"/>
      <c r="J38" s="1363"/>
      <c r="K38" s="1363"/>
      <c r="L38" s="1363"/>
    </row>
    <row r="39" spans="1:12" s="317" customFormat="1" ht="11.25" customHeight="1" x14ac:dyDescent="0.2">
      <c r="A39" s="1364" t="s">
        <v>1584</v>
      </c>
      <c r="B39" s="1363"/>
      <c r="C39" s="1363"/>
      <c r="D39" s="1363"/>
      <c r="E39" s="1363"/>
      <c r="F39" s="1363"/>
      <c r="G39" s="1363"/>
      <c r="H39" s="1363"/>
      <c r="I39" s="1363"/>
      <c r="J39" s="1363"/>
      <c r="K39" s="1363"/>
      <c r="L39" s="1363"/>
    </row>
    <row r="40" spans="1:12" s="317" customFormat="1" ht="3.95" customHeight="1" x14ac:dyDescent="0.2">
      <c r="A40" s="1364"/>
      <c r="B40" s="1363"/>
      <c r="C40" s="1363"/>
      <c r="D40" s="1363"/>
      <c r="E40" s="1363"/>
      <c r="F40" s="1363"/>
      <c r="G40" s="1363"/>
      <c r="H40" s="1363"/>
      <c r="I40" s="1363"/>
      <c r="J40" s="1363"/>
      <c r="K40" s="1363"/>
      <c r="L40" s="1363"/>
    </row>
    <row r="41" spans="1:12" s="317" customFormat="1" ht="11.25" customHeight="1" x14ac:dyDescent="0.2">
      <c r="A41" s="1361" t="s">
        <v>1737</v>
      </c>
      <c r="B41" s="1363"/>
      <c r="C41" s="1363"/>
      <c r="D41" s="1363"/>
      <c r="E41" s="1363"/>
      <c r="F41" s="1363"/>
      <c r="G41" s="1363"/>
      <c r="H41" s="1363"/>
      <c r="I41" s="1363"/>
      <c r="J41" s="1363"/>
      <c r="K41" s="1363"/>
      <c r="L41" s="1363"/>
    </row>
    <row r="42" spans="1:12" s="317" customFormat="1" ht="11.25" customHeight="1" x14ac:dyDescent="0.2">
      <c r="A42" s="1297" t="s">
        <v>1585</v>
      </c>
      <c r="B42" s="1365"/>
      <c r="C42" s="1366"/>
      <c r="D42" s="1297"/>
      <c r="E42" s="1297"/>
      <c r="F42" s="1297"/>
      <c r="G42" s="1297"/>
      <c r="H42" s="1297"/>
      <c r="I42" s="1297"/>
      <c r="J42" s="1367"/>
      <c r="K42" s="1367"/>
      <c r="L42" s="1297"/>
    </row>
    <row r="43" spans="1:12" s="317" customFormat="1" ht="3.95" customHeight="1" x14ac:dyDescent="0.2">
      <c r="A43" s="1297"/>
      <c r="B43" s="1365"/>
      <c r="C43" s="1366"/>
      <c r="D43" s="1297"/>
      <c r="E43" s="1297"/>
      <c r="F43" s="1297"/>
      <c r="G43" s="1297"/>
      <c r="H43" s="1297"/>
      <c r="I43" s="1297"/>
      <c r="J43" s="1367"/>
      <c r="K43" s="1367"/>
      <c r="L43" s="1297"/>
    </row>
    <row r="44" spans="1:12" s="317" customFormat="1" ht="11.25" customHeight="1" x14ac:dyDescent="0.2">
      <c r="A44" s="1368" t="s">
        <v>1738</v>
      </c>
      <c r="B44" s="1365"/>
      <c r="C44" s="1366"/>
      <c r="D44" s="1297"/>
      <c r="E44" s="1297"/>
      <c r="F44" s="1297"/>
      <c r="G44" s="1297"/>
      <c r="H44" s="1297"/>
      <c r="I44" s="1297"/>
      <c r="J44" s="1367"/>
      <c r="K44" s="1367"/>
      <c r="L44" s="1297"/>
    </row>
    <row r="45" spans="1:12" s="317" customFormat="1" ht="3.95" customHeight="1" x14ac:dyDescent="0.2">
      <c r="A45" s="1368"/>
      <c r="B45" s="1365"/>
      <c r="C45" s="1366"/>
      <c r="D45" s="1297"/>
      <c r="E45" s="1297"/>
      <c r="F45" s="1297"/>
      <c r="G45" s="1297"/>
      <c r="H45" s="1297"/>
      <c r="I45" s="1297"/>
      <c r="J45" s="1367"/>
      <c r="K45" s="1367"/>
      <c r="L45" s="1297"/>
    </row>
    <row r="46" spans="1:12" s="317" customFormat="1" ht="11.25" customHeight="1" x14ac:dyDescent="0.2">
      <c r="A46" s="1369" t="s">
        <v>1739</v>
      </c>
      <c r="B46" s="1365"/>
      <c r="C46" s="1366"/>
      <c r="D46" s="1297"/>
      <c r="E46" s="1297"/>
      <c r="F46" s="1297"/>
      <c r="G46" s="1297"/>
      <c r="H46" s="1297"/>
      <c r="I46" s="1297"/>
      <c r="J46" s="1367"/>
      <c r="K46" s="1367"/>
      <c r="L46" s="1297"/>
    </row>
    <row r="47" spans="1:12" s="317" customFormat="1" ht="11.25" customHeight="1" x14ac:dyDescent="0.2">
      <c r="A47" s="1297" t="s">
        <v>1586</v>
      </c>
      <c r="B47" s="1354"/>
      <c r="C47" s="1355"/>
      <c r="J47" s="1255"/>
      <c r="K47" s="1255"/>
    </row>
  </sheetData>
  <mergeCells count="4">
    <mergeCell ref="A1:L1"/>
    <mergeCell ref="A2:L2"/>
    <mergeCell ref="A3:L3"/>
    <mergeCell ref="A4:L4"/>
  </mergeCells>
  <pageMargins left="0.7" right="0.7" top="0.75" bottom="0.75" header="0.3" footer="0.3"/>
  <pageSetup scale="7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2062</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2079</v>
      </c>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B1:N152"/>
  <sheetViews>
    <sheetView showGridLines="0" zoomScaleNormal="100" workbookViewId="0">
      <selection activeCell="E27" sqref="E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Canton Union SD 66</v>
      </c>
      <c r="C1" s="2440"/>
      <c r="D1" s="2440"/>
      <c r="E1" s="2440"/>
      <c r="F1" s="2440"/>
      <c r="G1" s="2440"/>
      <c r="H1" s="2440"/>
      <c r="I1" s="2440"/>
      <c r="J1" s="2440"/>
      <c r="K1" s="2440"/>
      <c r="L1" s="2440"/>
      <c r="M1" s="2440"/>
    </row>
    <row r="2" spans="2:14" ht="15" x14ac:dyDescent="0.2">
      <c r="B2" s="2441">
        <f>'Single Audit Cover'!E7</f>
        <v>26029066025</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2159</v>
      </c>
      <c r="C11" s="1335"/>
      <c r="D11" s="1336"/>
      <c r="E11" s="1337"/>
      <c r="F11" s="1337"/>
      <c r="G11" s="1337"/>
      <c r="H11" s="1337"/>
      <c r="I11" s="1337"/>
      <c r="J11" s="1337"/>
      <c r="K11" s="1337"/>
      <c r="L11" s="1337">
        <f>+G11+I11+K11</f>
        <v>0</v>
      </c>
      <c r="M11" s="1337"/>
    </row>
    <row r="12" spans="2:14" ht="20.100000000000001" customHeight="1" x14ac:dyDescent="0.2">
      <c r="B12" s="1334" t="s">
        <v>2160</v>
      </c>
      <c r="C12" s="1338"/>
      <c r="D12" s="1339"/>
      <c r="E12" s="1340"/>
      <c r="F12" s="1340"/>
      <c r="G12" s="1340"/>
      <c r="H12" s="1340"/>
      <c r="I12" s="1340"/>
      <c r="J12" s="1340"/>
      <c r="K12" s="1340"/>
      <c r="L12" s="1337">
        <f t="shared" ref="L12:L27" si="0">+G12+I12+K12</f>
        <v>0</v>
      </c>
      <c r="M12" s="1340"/>
    </row>
    <row r="13" spans="2:14" ht="20.100000000000001" customHeight="1" x14ac:dyDescent="0.2">
      <c r="B13" s="1334" t="s">
        <v>2197</v>
      </c>
      <c r="C13" s="1338"/>
      <c r="D13" s="1339"/>
      <c r="E13" s="1340"/>
      <c r="F13" s="1340"/>
      <c r="G13" s="1340"/>
      <c r="H13" s="1340"/>
      <c r="I13" s="1340"/>
      <c r="J13" s="1340"/>
      <c r="K13" s="1340"/>
      <c r="L13" s="1337">
        <f t="shared" si="0"/>
        <v>0</v>
      </c>
      <c r="M13" s="1340"/>
    </row>
    <row r="14" spans="2:14" ht="20.100000000000001" customHeight="1" x14ac:dyDescent="0.2">
      <c r="B14" s="1334" t="s">
        <v>2161</v>
      </c>
      <c r="C14" s="1338">
        <v>10.553000000000001</v>
      </c>
      <c r="D14" s="1339" t="s">
        <v>2162</v>
      </c>
      <c r="E14" s="1340">
        <v>115440</v>
      </c>
      <c r="F14" s="1340">
        <v>25381</v>
      </c>
      <c r="G14" s="1340">
        <v>115440</v>
      </c>
      <c r="H14" s="1340"/>
      <c r="I14" s="1340">
        <v>25381</v>
      </c>
      <c r="J14" s="1340"/>
      <c r="K14" s="1340"/>
      <c r="L14" s="1337">
        <f t="shared" si="0"/>
        <v>140821</v>
      </c>
      <c r="M14" s="1340" t="s">
        <v>2111</v>
      </c>
    </row>
    <row r="15" spans="2:14" ht="20.100000000000001" customHeight="1" x14ac:dyDescent="0.2">
      <c r="B15" s="1334" t="s">
        <v>2174</v>
      </c>
      <c r="C15" s="1338">
        <v>10.553000000000001</v>
      </c>
      <c r="D15" s="1339" t="s">
        <v>2179</v>
      </c>
      <c r="E15" s="1340"/>
      <c r="F15" s="1340">
        <v>110865</v>
      </c>
      <c r="G15" s="1340"/>
      <c r="H15" s="1340"/>
      <c r="I15" s="1340">
        <v>110865</v>
      </c>
      <c r="J15" s="1340"/>
      <c r="K15" s="1340"/>
      <c r="L15" s="1337">
        <f t="shared" si="0"/>
        <v>110865</v>
      </c>
      <c r="M15" s="1340" t="s">
        <v>2111</v>
      </c>
    </row>
    <row r="16" spans="2:14" ht="20.100000000000001" customHeight="1" x14ac:dyDescent="0.2">
      <c r="B16" s="1334" t="s">
        <v>2163</v>
      </c>
      <c r="C16" s="1338"/>
      <c r="D16" s="1339"/>
      <c r="E16" s="1340">
        <f>SUM(E14:E15)</f>
        <v>115440</v>
      </c>
      <c r="F16" s="1340">
        <f>SUM(F14:F15)</f>
        <v>136246</v>
      </c>
      <c r="G16" s="1340">
        <f>SUM(G14:G15)</f>
        <v>115440</v>
      </c>
      <c r="H16" s="1340"/>
      <c r="I16" s="1340">
        <f>SUM(I14:I15)</f>
        <v>136246</v>
      </c>
      <c r="J16" s="1340"/>
      <c r="K16" s="1340"/>
      <c r="L16" s="1337">
        <f t="shared" si="0"/>
        <v>251686</v>
      </c>
      <c r="M16" s="1340"/>
    </row>
    <row r="17" spans="2:14" ht="20.100000000000001" customHeight="1" x14ac:dyDescent="0.2">
      <c r="B17" s="1334" t="s">
        <v>2164</v>
      </c>
      <c r="C17" s="1338"/>
      <c r="D17" s="1339"/>
      <c r="E17" s="1340">
        <f>E16+'SEFA (2)'!D28+'SEFA (2)'!D27+'SEFA (2)'!D26+'SEFA (2)'!D25+'SEFA (2)'!D23</f>
        <v>530096</v>
      </c>
      <c r="F17" s="1340">
        <f>F16+'SEFA (2)'!E28+'SEFA (2)'!E27+'SEFA (2)'!E26+'SEFA (2)'!E25+'SEFA (2)'!E23</f>
        <v>704189</v>
      </c>
      <c r="G17" s="1340">
        <f>G16+'SEFA (2)'!F28+'SEFA (2)'!F27+'SEFA (2)'!F26+'SEFA (2)'!F25+'SEFA (2)'!F23</f>
        <v>530096</v>
      </c>
      <c r="H17" s="1340"/>
      <c r="I17" s="1340">
        <f>I16+'SEFA (2)'!H28+'SEFA (2)'!H27+'SEFA (2)'!H26+'SEFA (2)'!H25+'SEFA (2)'!H23</f>
        <v>704189</v>
      </c>
      <c r="J17" s="1340"/>
      <c r="K17" s="1340"/>
      <c r="L17" s="1337">
        <f t="shared" si="0"/>
        <v>1234285</v>
      </c>
      <c r="M17" s="1340"/>
    </row>
    <row r="18" spans="2:14" ht="20.100000000000001" customHeight="1" x14ac:dyDescent="0.2">
      <c r="B18" s="1334" t="s">
        <v>2165</v>
      </c>
      <c r="C18" s="1338">
        <v>10.558</v>
      </c>
      <c r="D18" s="1339" t="s">
        <v>2166</v>
      </c>
      <c r="E18" s="1340">
        <v>4606</v>
      </c>
      <c r="F18" s="1340">
        <v>995</v>
      </c>
      <c r="G18" s="1340">
        <v>4606</v>
      </c>
      <c r="H18" s="1340"/>
      <c r="I18" s="1340">
        <v>995</v>
      </c>
      <c r="J18" s="1340"/>
      <c r="K18" s="1340"/>
      <c r="L18" s="1337">
        <f t="shared" si="0"/>
        <v>5601</v>
      </c>
      <c r="M18" s="1340" t="s">
        <v>2111</v>
      </c>
    </row>
    <row r="19" spans="2:14" ht="20.100000000000001" customHeight="1" x14ac:dyDescent="0.2">
      <c r="B19" s="1334" t="s">
        <v>2175</v>
      </c>
      <c r="C19" s="1338">
        <v>10.558</v>
      </c>
      <c r="D19" s="1339" t="s">
        <v>2178</v>
      </c>
      <c r="E19" s="1340"/>
      <c r="F19" s="1340">
        <v>6230</v>
      </c>
      <c r="G19" s="1340"/>
      <c r="H19" s="1340"/>
      <c r="I19" s="1340">
        <v>6230</v>
      </c>
      <c r="J19" s="1340"/>
      <c r="K19" s="1340"/>
      <c r="L19" s="1337">
        <f t="shared" si="0"/>
        <v>6230</v>
      </c>
      <c r="M19" s="1340" t="s">
        <v>2111</v>
      </c>
    </row>
    <row r="20" spans="2:14" ht="20.100000000000001" customHeight="1" x14ac:dyDescent="0.2">
      <c r="B20" s="1334" t="s">
        <v>2167</v>
      </c>
      <c r="C20" s="1338"/>
      <c r="D20" s="1339"/>
      <c r="E20" s="1340">
        <f>SUM(E18:E19)</f>
        <v>4606</v>
      </c>
      <c r="F20" s="1340">
        <f>SUM(F18:F19)</f>
        <v>7225</v>
      </c>
      <c r="G20" s="1340">
        <f>SUM(G18:G19)</f>
        <v>4606</v>
      </c>
      <c r="H20" s="1340"/>
      <c r="I20" s="1340">
        <f>SUM(I18:I19)</f>
        <v>7225</v>
      </c>
      <c r="J20" s="1340"/>
      <c r="K20" s="1340"/>
      <c r="L20" s="1337">
        <f t="shared" si="0"/>
        <v>11831</v>
      </c>
      <c r="M20" s="1340"/>
    </row>
    <row r="21" spans="2:14" ht="20.100000000000001" customHeight="1" x14ac:dyDescent="0.2">
      <c r="B21" s="1334" t="s">
        <v>2168</v>
      </c>
      <c r="C21" s="1338"/>
      <c r="D21" s="1339"/>
      <c r="E21" s="1340">
        <f>E20+E17</f>
        <v>534702</v>
      </c>
      <c r="F21" s="1340">
        <f>F20+F17</f>
        <v>711414</v>
      </c>
      <c r="G21" s="1340">
        <f>G20+G17</f>
        <v>534702</v>
      </c>
      <c r="H21" s="1340"/>
      <c r="I21" s="1340">
        <f>I20+I17</f>
        <v>711414</v>
      </c>
      <c r="J21" s="1340"/>
      <c r="K21" s="1340"/>
      <c r="L21" s="1337">
        <f t="shared" si="0"/>
        <v>1246116</v>
      </c>
      <c r="M21" s="1340"/>
    </row>
    <row r="22" spans="2:14" ht="20.100000000000001" customHeight="1" x14ac:dyDescent="0.2">
      <c r="B22" s="1334" t="s">
        <v>2169</v>
      </c>
      <c r="C22" s="1338"/>
      <c r="D22" s="1339"/>
      <c r="E22" s="1340"/>
      <c r="F22" s="1340"/>
      <c r="G22" s="1340"/>
      <c r="H22" s="1340"/>
      <c r="I22" s="1340"/>
      <c r="J22" s="1340"/>
      <c r="K22" s="1340"/>
      <c r="L22" s="1337">
        <f t="shared" si="0"/>
        <v>0</v>
      </c>
      <c r="M22" s="1340"/>
    </row>
    <row r="23" spans="2:14" ht="20.100000000000001" customHeight="1" x14ac:dyDescent="0.2">
      <c r="B23" s="1334" t="s">
        <v>2170</v>
      </c>
      <c r="C23" s="1338"/>
      <c r="D23" s="1339"/>
      <c r="E23" s="1340"/>
      <c r="F23" s="1340"/>
      <c r="G23" s="1340"/>
      <c r="H23" s="1340"/>
      <c r="I23" s="1340"/>
      <c r="J23" s="1340"/>
      <c r="K23" s="1340"/>
      <c r="L23" s="1337">
        <f t="shared" si="0"/>
        <v>0</v>
      </c>
      <c r="M23" s="1340"/>
    </row>
    <row r="24" spans="2:14" ht="20.100000000000001" customHeight="1" x14ac:dyDescent="0.2">
      <c r="B24" s="1334" t="s">
        <v>2171</v>
      </c>
      <c r="C24" s="1338">
        <v>93.778000000000006</v>
      </c>
      <c r="D24" s="1339" t="s">
        <v>2172</v>
      </c>
      <c r="E24" s="1340">
        <v>19731</v>
      </c>
      <c r="F24" s="1340">
        <v>7481</v>
      </c>
      <c r="G24" s="1340">
        <v>28346</v>
      </c>
      <c r="H24" s="1340"/>
      <c r="I24" s="1340"/>
      <c r="J24" s="1340"/>
      <c r="K24" s="1340"/>
      <c r="L24" s="1337">
        <f t="shared" si="0"/>
        <v>28346</v>
      </c>
      <c r="M24" s="1340" t="s">
        <v>2111</v>
      </c>
    </row>
    <row r="25" spans="2:14" ht="20.100000000000001" customHeight="1" x14ac:dyDescent="0.2">
      <c r="B25" s="1334" t="s">
        <v>2176</v>
      </c>
      <c r="C25" s="1338">
        <v>93.778000000000006</v>
      </c>
      <c r="D25" s="1339" t="s">
        <v>2177</v>
      </c>
      <c r="E25" s="1340"/>
      <c r="F25" s="1340">
        <v>21008</v>
      </c>
      <c r="G25" s="1340"/>
      <c r="H25" s="1340"/>
      <c r="I25" s="1340">
        <v>29183</v>
      </c>
      <c r="J25" s="1340"/>
      <c r="K25" s="1340"/>
      <c r="L25" s="1337">
        <f t="shared" si="0"/>
        <v>29183</v>
      </c>
      <c r="M25" s="1340" t="s">
        <v>2111</v>
      </c>
    </row>
    <row r="26" spans="2:14" ht="20.100000000000001" customHeight="1" x14ac:dyDescent="0.2">
      <c r="B26" s="1334" t="s">
        <v>2173</v>
      </c>
      <c r="C26" s="1338"/>
      <c r="D26" s="1339"/>
      <c r="E26" s="1340">
        <f>SUM(E24:E25)</f>
        <v>19731</v>
      </c>
      <c r="F26" s="1340">
        <f>SUM(F24:F25)</f>
        <v>28489</v>
      </c>
      <c r="G26" s="1340">
        <f>SUM(G24:G25)</f>
        <v>28346</v>
      </c>
      <c r="H26" s="1340"/>
      <c r="I26" s="1340">
        <f>SUM(I24:I25)</f>
        <v>29183</v>
      </c>
      <c r="J26" s="1340"/>
      <c r="K26" s="1340"/>
      <c r="L26" s="1337">
        <f t="shared" si="0"/>
        <v>57529</v>
      </c>
      <c r="M26" s="1340"/>
    </row>
    <row r="27" spans="2:14" ht="20.100000000000001" customHeight="1" x14ac:dyDescent="0.2">
      <c r="B27" s="1334" t="s">
        <v>2180</v>
      </c>
      <c r="C27" s="1338"/>
      <c r="D27" s="1339"/>
      <c r="E27" s="1340">
        <f>E26+E21+'SEFA (2)'!D19</f>
        <v>1275248</v>
      </c>
      <c r="F27" s="1340">
        <f>F26+F21+'SEFA (2)'!E19</f>
        <v>1865907</v>
      </c>
      <c r="G27" s="1340">
        <f>G26+G21+'SEFA (2)'!F19</f>
        <v>1472803</v>
      </c>
      <c r="H27" s="1340"/>
      <c r="I27" s="1340">
        <f>I26+I21+'SEFA (2)'!H19</f>
        <v>1997357</v>
      </c>
      <c r="J27" s="1340"/>
      <c r="K27" s="1340"/>
      <c r="L27" s="1337">
        <f t="shared" si="0"/>
        <v>3470160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G52"/>
  <sheetViews>
    <sheetView showGridLines="0" topLeftCell="A19"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Canton Union SD 66</v>
      </c>
      <c r="B1" s="2453"/>
      <c r="C1" s="2453"/>
      <c r="D1" s="2453"/>
      <c r="E1" s="2453"/>
      <c r="F1" s="2453"/>
    </row>
    <row r="2" spans="1:7" ht="13.5" customHeight="1" x14ac:dyDescent="0.2">
      <c r="A2" s="2441">
        <f>'Single Audit Cover'!E7</f>
        <v>26029066025</v>
      </c>
      <c r="B2" s="2441"/>
      <c r="C2" s="2441"/>
      <c r="D2" s="2441"/>
      <c r="E2" s="2441"/>
      <c r="F2" s="2441"/>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2" t="s">
        <v>2185</v>
      </c>
      <c r="B7" s="2452"/>
      <c r="C7" s="2452"/>
      <c r="D7" s="2452"/>
      <c r="E7" s="2452"/>
      <c r="F7" s="245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2" t="s">
        <v>1730</v>
      </c>
      <c r="B13" s="2452"/>
      <c r="C13" s="2452"/>
      <c r="D13" s="2452"/>
      <c r="E13" s="2452"/>
      <c r="F13" s="2452"/>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t="s">
        <v>2186</v>
      </c>
      <c r="C17" s="1282" t="s">
        <v>2111</v>
      </c>
      <c r="D17" s="2445">
        <v>0</v>
      </c>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2187</v>
      </c>
      <c r="B32" s="2446"/>
      <c r="C32" s="2446"/>
      <c r="D32" s="2446"/>
      <c r="E32" s="2446"/>
      <c r="F32" s="2446"/>
    </row>
    <row r="33" spans="1:6" ht="13.5" customHeight="1" x14ac:dyDescent="0.2">
      <c r="A33" s="328" t="s">
        <v>1434</v>
      </c>
      <c r="B33" s="328"/>
      <c r="C33" s="1285">
        <v>30003</v>
      </c>
      <c r="D33" s="1903"/>
      <c r="E33" s="1283"/>
    </row>
    <row r="34" spans="1:6" ht="13.5" customHeight="1" x14ac:dyDescent="0.2">
      <c r="A34" s="328" t="s">
        <v>1836</v>
      </c>
      <c r="B34" s="328"/>
      <c r="C34" s="1286">
        <v>42666</v>
      </c>
      <c r="D34" s="1903" t="s">
        <v>1589</v>
      </c>
      <c r="E34" s="2447">
        <f>+C33+C34</f>
        <v>72669</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885</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J63"/>
  <sheetViews>
    <sheetView showGridLines="0" topLeftCell="A25" zoomScale="110" zoomScaleNormal="110" workbookViewId="0">
      <selection activeCell="J51" sqref="J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Canton Union SD 66</v>
      </c>
      <c r="C1" s="2468"/>
      <c r="D1" s="2468"/>
      <c r="E1" s="2468"/>
      <c r="F1" s="2468"/>
      <c r="G1" s="2468"/>
      <c r="H1" s="2468"/>
      <c r="I1" s="2468"/>
      <c r="J1" s="1406"/>
    </row>
    <row r="2" spans="2:10" s="317" customFormat="1" ht="12.75" customHeight="1" x14ac:dyDescent="0.2">
      <c r="B2" s="2469">
        <f>'Single Audit Cover'!E7</f>
        <v>26029066025</v>
      </c>
      <c r="C2" s="2470"/>
      <c r="D2" s="2470"/>
      <c r="E2" s="2470"/>
      <c r="F2" s="2470"/>
      <c r="G2" s="2470"/>
      <c r="H2" s="2470"/>
      <c r="I2" s="2470"/>
      <c r="J2" s="1406"/>
    </row>
    <row r="3" spans="2:10" s="317" customFormat="1" ht="12.75" customHeight="1" x14ac:dyDescent="0.2">
      <c r="B3" s="2471" t="s">
        <v>1285</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1284</v>
      </c>
      <c r="C7" s="2472"/>
      <c r="D7" s="2472"/>
      <c r="E7" s="2472"/>
      <c r="F7" s="2472"/>
      <c r="G7" s="2472"/>
      <c r="H7" s="2472"/>
      <c r="I7" s="247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3" t="s">
        <v>2188</v>
      </c>
      <c r="D11" s="247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2189</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2189</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2189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2189</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2189</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4" t="s">
        <v>2190</v>
      </c>
      <c r="E29" s="2474"/>
      <c r="F29" s="2474"/>
      <c r="G29" s="2474"/>
      <c r="H29" s="2474"/>
      <c r="I29" s="2474"/>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2071</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5" t="s">
        <v>1749</v>
      </c>
      <c r="D37" s="2476"/>
      <c r="E37" s="2476"/>
      <c r="F37" s="2477"/>
      <c r="G37" s="2475" t="s">
        <v>1592</v>
      </c>
      <c r="H37" s="2476"/>
      <c r="I37" s="2477"/>
    </row>
    <row r="38" spans="2:9" ht="16.5" customHeight="1" x14ac:dyDescent="0.2">
      <c r="B38" s="1428" t="s">
        <v>2114</v>
      </c>
      <c r="C38" s="2463" t="s">
        <v>2191</v>
      </c>
      <c r="D38" s="2464"/>
      <c r="E38" s="2464"/>
      <c r="F38" s="2465"/>
      <c r="G38" s="2478">
        <v>840683</v>
      </c>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1593</v>
      </c>
      <c r="D43" s="2457"/>
      <c r="E43" s="2457"/>
      <c r="F43" s="2458"/>
      <c r="G43" s="2459">
        <f>SUM(G38:I42)</f>
        <v>840683</v>
      </c>
      <c r="H43" s="2459"/>
      <c r="I43" s="2459"/>
    </row>
    <row r="44" spans="2:9" ht="12.75" customHeight="1" x14ac:dyDescent="0.2"/>
    <row r="45" spans="2:9" ht="12.75" customHeight="1" x14ac:dyDescent="0.2">
      <c r="B45" s="1419" t="s">
        <v>2060</v>
      </c>
      <c r="D45" s="2460">
        <v>1997357</v>
      </c>
      <c r="E45" s="2461"/>
    </row>
    <row r="46" spans="2:9" ht="5.25" customHeight="1" x14ac:dyDescent="0.2">
      <c r="B46" s="1429"/>
      <c r="D46" s="1430"/>
      <c r="E46" s="1431"/>
    </row>
    <row r="47" spans="2:9" ht="12.75" customHeight="1" x14ac:dyDescent="0.2">
      <c r="B47" s="1297" t="s">
        <v>1594</v>
      </c>
      <c r="C47" s="1297"/>
      <c r="D47" s="1432">
        <f>+G43/D45</f>
        <v>0.42089771633213291</v>
      </c>
      <c r="E47" s="1433"/>
      <c r="F47" s="1434"/>
      <c r="I47" s="1435"/>
    </row>
    <row r="48" spans="2:9" ht="9.9499999999999993" customHeight="1" x14ac:dyDescent="0.2"/>
    <row r="49" spans="1:9" x14ac:dyDescent="0.2">
      <c r="B49" s="1365" t="s">
        <v>1273</v>
      </c>
      <c r="C49" s="1279"/>
      <c r="D49" s="1279"/>
      <c r="E49" s="2462">
        <v>750000</v>
      </c>
      <c r="F49" s="2462"/>
      <c r="G49" s="2462"/>
      <c r="H49" s="322"/>
    </row>
    <row r="51" spans="1:9" ht="13.5" customHeight="1" x14ac:dyDescent="0.2">
      <c r="B51" s="1365" t="s">
        <v>1272</v>
      </c>
      <c r="C51" s="1279"/>
      <c r="E51" s="1422"/>
      <c r="F51" s="1297" t="s">
        <v>885</v>
      </c>
      <c r="G51" s="1422" t="s">
        <v>2189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Canton Union SD 66</v>
      </c>
      <c r="C1" s="2467"/>
      <c r="D1" s="2467"/>
      <c r="E1" s="2467"/>
      <c r="F1" s="2467"/>
      <c r="G1" s="2467"/>
      <c r="H1" s="2467"/>
      <c r="I1" s="2467"/>
      <c r="J1" s="2467"/>
      <c r="K1" s="2467"/>
      <c r="L1" s="1371"/>
      <c r="M1" s="1371"/>
    </row>
    <row r="2" spans="1:13" ht="12" customHeight="1" x14ac:dyDescent="0.2">
      <c r="B2" s="2469">
        <f>'Single Audit Cover'!E7</f>
        <v>26029066025</v>
      </c>
      <c r="C2" s="2469"/>
      <c r="D2" s="2469"/>
      <c r="E2" s="2469"/>
      <c r="F2" s="2469"/>
      <c r="G2" s="2469"/>
      <c r="H2" s="2469"/>
      <c r="I2" s="2469"/>
      <c r="J2" s="2469"/>
      <c r="K2" s="2469"/>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t="s">
        <v>2111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L48"/>
  <sheetViews>
    <sheetView showGridLines="0" zoomScale="110" zoomScaleNormal="110" workbookViewId="0">
      <selection activeCell="P17" sqref="P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Canton Union SD 66</v>
      </c>
      <c r="C1" s="2490"/>
      <c r="D1" s="2490"/>
      <c r="E1" s="2490"/>
      <c r="F1" s="2490"/>
      <c r="G1" s="2490"/>
      <c r="H1" s="2490"/>
      <c r="I1" s="2490"/>
      <c r="J1" s="2490"/>
      <c r="K1" s="2490"/>
      <c r="L1" s="1449"/>
    </row>
    <row r="2" spans="1:12" ht="12.75" customHeight="1" x14ac:dyDescent="0.2">
      <c r="B2" s="2491">
        <f>'Single Audit Cover'!E7</f>
        <v>26029066025</v>
      </c>
      <c r="C2" s="2491"/>
      <c r="D2" s="2491"/>
      <c r="E2" s="2491"/>
      <c r="F2" s="2491"/>
      <c r="G2" s="2491"/>
      <c r="H2" s="2491"/>
      <c r="I2" s="2491"/>
      <c r="J2" s="2491"/>
      <c r="K2" s="2491"/>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t="s">
        <v>2111</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Canton Union SD 66</v>
      </c>
      <c r="C1" s="2467"/>
      <c r="D1" s="2467"/>
      <c r="E1" s="1469"/>
    </row>
    <row r="2" spans="2:5" s="1279" customFormat="1" ht="12.75" customHeight="1" x14ac:dyDescent="0.2">
      <c r="B2" s="2469">
        <f>'Single Audit Cover'!E7</f>
        <v>26029066025</v>
      </c>
      <c r="C2" s="2469"/>
      <c r="D2" s="2469"/>
      <c r="E2" s="1470"/>
    </row>
    <row r="3" spans="2:5" ht="12.75" customHeight="1" x14ac:dyDescent="0.2">
      <c r="B3" s="2483" t="s">
        <v>1764</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5"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216076850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32">
        <f>ROUND(D10+F10+H10,5)</f>
        <v>2.5399999999999999E-2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19866045</v>
      </c>
      <c r="E16" s="356"/>
      <c r="F16" s="1733">
        <f>SUM('Acct Summary 7-8'!C17,'Acct Summary 7-8'!D17,'Acct Summary 7-8'!F17)</f>
        <v>21321824</v>
      </c>
      <c r="G16" s="356"/>
      <c r="H16" s="1733">
        <f>SUM(D16-F16)</f>
        <v>-1455779</v>
      </c>
      <c r="I16" s="222"/>
      <c r="J16" s="1733">
        <f>SUM('Acct Summary 7-8'!C81,'Acct Summary 7-8'!D81,'Acct Summary 7-8'!F81,'Acct Summary 7-8'!I81)</f>
        <v>11295542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29818605.300000001</v>
      </c>
      <c r="I31" s="368"/>
      <c r="J31" s="222"/>
      <c r="K31" s="222"/>
      <c r="L31" s="222"/>
      <c r="M31" s="222"/>
    </row>
    <row r="32" spans="1:13" ht="13.35" customHeight="1" x14ac:dyDescent="0.2">
      <c r="B32" s="369" t="s">
        <v>2071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7644194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Canton Union SD 66</v>
      </c>
      <c r="E7" s="391"/>
      <c r="G7" s="252"/>
      <c r="H7" s="387"/>
      <c r="I7" s="387"/>
      <c r="J7" s="387"/>
      <c r="K7" s="387"/>
      <c r="L7" s="329"/>
      <c r="M7" s="329"/>
      <c r="N7" s="329"/>
      <c r="O7" s="329"/>
      <c r="P7" s="329"/>
    </row>
    <row r="8" spans="1:18" ht="12.75" x14ac:dyDescent="0.2">
      <c r="A8" s="329"/>
      <c r="B8" s="329"/>
      <c r="C8" s="389" t="s">
        <v>1125</v>
      </c>
      <c r="D8" s="392">
        <f>COVER!A13</f>
        <v>26029066025</v>
      </c>
      <c r="E8" s="393"/>
      <c r="G8" s="329"/>
      <c r="H8" s="329"/>
      <c r="I8" s="329"/>
      <c r="J8" s="329"/>
      <c r="K8" s="329"/>
      <c r="L8" s="329"/>
      <c r="M8" s="329"/>
      <c r="N8" s="329"/>
      <c r="O8" s="329"/>
      <c r="P8" s="329"/>
    </row>
    <row r="9" spans="1:18" ht="12.75" x14ac:dyDescent="0.2">
      <c r="A9" s="329"/>
      <c r="B9" s="329"/>
      <c r="C9" s="389" t="s">
        <v>713</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11295542</v>
      </c>
      <c r="I12" s="404"/>
      <c r="J12" s="404"/>
      <c r="K12" s="405">
        <f>TRUNC((H12/H13*100000),5)/100000</f>
        <v>0.56858534240000003</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19866045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21321824</v>
      </c>
      <c r="I17" s="404"/>
      <c r="J17" s="416"/>
      <c r="K17" s="405">
        <f>TRUNC((H17/H18*100000),5)/100000</f>
        <v>1.0732797594999999</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19866045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6.3944716000000001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11295542</v>
      </c>
      <c r="I24" s="422"/>
      <c r="J24" s="422"/>
      <c r="K24" s="423">
        <f>TRUNC(((H24/H25*100000)/100000),2)</f>
        <v>190.71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59227.288890000003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4665099.1914999997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7644194</v>
      </c>
      <c r="I32" s="420"/>
      <c r="J32" s="420"/>
      <c r="K32" s="423">
        <f>TRUNC(100-((((H32/H33*100))*100)/100),2)</f>
        <v>74.36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29818605.300000001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9" activePane="bottomLeft" state="frozen"/>
      <selection pane="bottomLeft" activeCell="C38" sqref="C38: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4167740</v>
      </c>
      <c r="D4" s="466">
        <v>229982</v>
      </c>
      <c r="E4" s="466">
        <v>113451</v>
      </c>
      <c r="F4" s="466">
        <v>678778</v>
      </c>
      <c r="G4" s="466">
        <v>366350</v>
      </c>
      <c r="H4" s="466">
        <v>1198330</v>
      </c>
      <c r="I4" s="466">
        <v>1345224</v>
      </c>
      <c r="J4" s="467">
        <v>261680</v>
      </c>
      <c r="K4" s="466">
        <v>1336487</v>
      </c>
      <c r="L4" s="466">
        <v>1040054</v>
      </c>
      <c r="M4" s="468"/>
      <c r="N4" s="469"/>
    </row>
    <row r="5" spans="1:14" x14ac:dyDescent="0.2">
      <c r="A5" s="463" t="s">
        <v>992</v>
      </c>
      <c r="B5" s="470">
        <v>120</v>
      </c>
      <c r="C5" s="465">
        <v>4873818</v>
      </c>
      <c r="D5" s="466"/>
      <c r="E5" s="466"/>
      <c r="F5" s="466"/>
      <c r="G5" s="466"/>
      <c r="H5" s="466"/>
      <c r="I5" s="466"/>
      <c r="J5" s="467"/>
      <c r="K5" s="471"/>
      <c r="L5" s="472">
        <v>52175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9041558</v>
      </c>
      <c r="D13" s="1737">
        <f t="shared" ref="D13:L13" si="0">SUM(D4:D12)</f>
        <v>229982</v>
      </c>
      <c r="E13" s="1737">
        <f t="shared" si="0"/>
        <v>113451</v>
      </c>
      <c r="F13" s="1737">
        <f t="shared" si="0"/>
        <v>678778</v>
      </c>
      <c r="G13" s="1737">
        <f t="shared" si="0"/>
        <v>366350</v>
      </c>
      <c r="H13" s="1737">
        <f t="shared" si="0"/>
        <v>1198330</v>
      </c>
      <c r="I13" s="1737">
        <f t="shared" si="0"/>
        <v>1345224</v>
      </c>
      <c r="J13" s="1737">
        <f t="shared" si="0"/>
        <v>261680</v>
      </c>
      <c r="K13" s="1737">
        <f t="shared" si="0"/>
        <v>1336487</v>
      </c>
      <c r="L13" s="1737">
        <f t="shared" si="0"/>
        <v>1092229</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253690</v>
      </c>
      <c r="N15" s="484"/>
    </row>
    <row r="16" spans="1:14" s="485" customFormat="1" ht="12.75" customHeight="1" x14ac:dyDescent="0.2">
      <c r="A16" s="482" t="s">
        <v>1402</v>
      </c>
      <c r="B16" s="483">
        <v>220</v>
      </c>
      <c r="C16" s="477"/>
      <c r="D16" s="477"/>
      <c r="E16" s="477"/>
      <c r="F16" s="477"/>
      <c r="G16" s="477"/>
      <c r="H16" s="477"/>
      <c r="I16" s="477"/>
      <c r="J16" s="477"/>
      <c r="K16" s="477"/>
      <c r="L16" s="477"/>
      <c r="M16" s="467">
        <v>25705526</v>
      </c>
      <c r="N16" s="484"/>
    </row>
    <row r="17" spans="1:14" s="485" customFormat="1" ht="12.75" customHeight="1" x14ac:dyDescent="0.2">
      <c r="A17" s="482" t="s">
        <v>1403</v>
      </c>
      <c r="B17" s="483">
        <v>230</v>
      </c>
      <c r="C17" s="477"/>
      <c r="D17" s="477"/>
      <c r="E17" s="477"/>
      <c r="F17" s="477"/>
      <c r="G17" s="477"/>
      <c r="H17" s="477"/>
      <c r="I17" s="477"/>
      <c r="J17" s="477"/>
      <c r="K17" s="477"/>
      <c r="L17" s="477"/>
      <c r="M17" s="467">
        <v>7267229</v>
      </c>
      <c r="N17" s="484"/>
    </row>
    <row r="18" spans="1:14" s="485" customFormat="1" ht="12.75" customHeight="1" x14ac:dyDescent="0.2">
      <c r="A18" s="482" t="s">
        <v>1404</v>
      </c>
      <c r="B18" s="483">
        <v>240</v>
      </c>
      <c r="C18" s="477"/>
      <c r="D18" s="477"/>
      <c r="E18" s="477"/>
      <c r="F18" s="477"/>
      <c r="G18" s="477"/>
      <c r="H18" s="477"/>
      <c r="I18" s="477"/>
      <c r="J18" s="477"/>
      <c r="K18" s="477"/>
      <c r="L18" s="477"/>
      <c r="M18" s="467">
        <v>5668062</v>
      </c>
      <c r="N18" s="484"/>
    </row>
    <row r="19" spans="1:14" s="485" customFormat="1" ht="12.75" customHeight="1" x14ac:dyDescent="0.2">
      <c r="A19" s="482" t="s">
        <v>1405</v>
      </c>
      <c r="B19" s="483">
        <v>250</v>
      </c>
      <c r="C19" s="477"/>
      <c r="D19" s="477"/>
      <c r="E19" s="477"/>
      <c r="F19" s="477"/>
      <c r="G19" s="477"/>
      <c r="H19" s="477"/>
      <c r="I19" s="477"/>
      <c r="J19" s="477"/>
      <c r="K19" s="477"/>
      <c r="L19" s="477"/>
      <c r="M19" s="467">
        <v>581940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113451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7530743</v>
      </c>
    </row>
    <row r="23" spans="1:14" ht="13.5" customHeight="1" thickBot="1" x14ac:dyDescent="0.25">
      <c r="A23" s="1736" t="s">
        <v>643</v>
      </c>
      <c r="B23" s="1741"/>
      <c r="C23" s="468"/>
      <c r="D23" s="468"/>
      <c r="E23" s="468"/>
      <c r="F23" s="468"/>
      <c r="G23" s="468"/>
      <c r="H23" s="468"/>
      <c r="I23" s="468"/>
      <c r="J23" s="468"/>
      <c r="K23" s="468"/>
      <c r="L23" s="468"/>
      <c r="M23" s="1688">
        <f>SUM(M15:M22)</f>
        <v>39476447</v>
      </c>
      <c r="N23" s="1688">
        <f>SUM(N21:N22)</f>
        <v>7644194</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477105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477105</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7644194</v>
      </c>
    </row>
    <row r="37" spans="1:14" ht="13.5" thickBot="1" x14ac:dyDescent="0.25">
      <c r="A37" s="1736" t="s">
        <v>653</v>
      </c>
      <c r="B37" s="1741"/>
      <c r="C37" s="477"/>
      <c r="D37" s="477"/>
      <c r="E37" s="477"/>
      <c r="F37" s="477"/>
      <c r="G37" s="477"/>
      <c r="H37" s="477"/>
      <c r="I37" s="477"/>
      <c r="J37" s="477"/>
      <c r="K37" s="477"/>
      <c r="L37" s="480"/>
      <c r="M37" s="468"/>
      <c r="N37" s="1688">
        <f>SUM(N36:N36)</f>
        <v>7644194</v>
      </c>
    </row>
    <row r="38" spans="1:14" s="329" customFormat="1" ht="13.5" customHeight="1" thickTop="1" x14ac:dyDescent="0.2">
      <c r="A38" s="496" t="s">
        <v>420</v>
      </c>
      <c r="B38" s="483">
        <v>714</v>
      </c>
      <c r="C38" s="466">
        <v>1417551</v>
      </c>
      <c r="D38" s="466"/>
      <c r="E38" s="466"/>
      <c r="F38" s="466"/>
      <c r="G38" s="466">
        <v>367105</v>
      </c>
      <c r="H38" s="466">
        <v>753606</v>
      </c>
      <c r="I38" s="466"/>
      <c r="J38" s="467"/>
      <c r="K38" s="466"/>
      <c r="L38" s="481">
        <v>615124</v>
      </c>
      <c r="M38" s="497"/>
      <c r="N38" s="497"/>
    </row>
    <row r="39" spans="1:14" s="329" customFormat="1" ht="13.5" customHeight="1" x14ac:dyDescent="0.2">
      <c r="A39" s="496" t="s">
        <v>342</v>
      </c>
      <c r="B39" s="483">
        <v>730</v>
      </c>
      <c r="C39" s="466">
        <v>7624007</v>
      </c>
      <c r="D39" s="466">
        <v>229982</v>
      </c>
      <c r="E39" s="466">
        <v>113451</v>
      </c>
      <c r="F39" s="466">
        <v>678778</v>
      </c>
      <c r="G39" s="466">
        <v>-755</v>
      </c>
      <c r="H39" s="466">
        <v>444724</v>
      </c>
      <c r="I39" s="466">
        <v>1345224</v>
      </c>
      <c r="J39" s="467">
        <v>261680</v>
      </c>
      <c r="K39" s="466">
        <v>1336487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39476447</v>
      </c>
      <c r="N40" s="497"/>
    </row>
    <row r="41" spans="1:14" ht="13.5" customHeight="1" thickBot="1" x14ac:dyDescent="0.25">
      <c r="A41" s="1736" t="s">
        <v>655</v>
      </c>
      <c r="B41" s="1706"/>
      <c r="C41" s="1688">
        <f>(SUM(C34,C37,C38,C39))</f>
        <v>9041558</v>
      </c>
      <c r="D41" s="1688">
        <f t="shared" ref="D41:L41" si="2">SUM(D34,D37,D38:D39)</f>
        <v>229982</v>
      </c>
      <c r="E41" s="1688">
        <f t="shared" si="2"/>
        <v>113451</v>
      </c>
      <c r="F41" s="1688">
        <f t="shared" si="2"/>
        <v>678778</v>
      </c>
      <c r="G41" s="1688">
        <f t="shared" si="2"/>
        <v>366350</v>
      </c>
      <c r="H41" s="1688">
        <f t="shared" si="2"/>
        <v>1198330</v>
      </c>
      <c r="I41" s="1688">
        <f t="shared" si="2"/>
        <v>1345224</v>
      </c>
      <c r="J41" s="1688">
        <f t="shared" si="2"/>
        <v>261680</v>
      </c>
      <c r="K41" s="1688">
        <f t="shared" si="2"/>
        <v>1336487</v>
      </c>
      <c r="L41" s="1688">
        <f t="shared" si="2"/>
        <v>1092229</v>
      </c>
      <c r="M41" s="1688">
        <f>SUM(M40)</f>
        <v>39476447</v>
      </c>
      <c r="N41" s="1688">
        <f>SUM(N37)</f>
        <v>7644194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57"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5690999</v>
      </c>
      <c r="D4" s="1742">
        <f>'Revenues 9-14'!D109</f>
        <v>1453682</v>
      </c>
      <c r="E4" s="1742">
        <f>'Revenues 9-14'!E109</f>
        <v>700990</v>
      </c>
      <c r="F4" s="1742">
        <f>'Revenues 9-14'!F109</f>
        <v>459885</v>
      </c>
      <c r="G4" s="1742">
        <f>'Revenues 9-14'!G109</f>
        <v>529013</v>
      </c>
      <c r="H4" s="1742">
        <f>'Revenues 9-14'!H109</f>
        <v>792974</v>
      </c>
      <c r="I4" s="1742">
        <f>'Revenues 9-14'!I109</f>
        <v>72074</v>
      </c>
      <c r="J4" s="1742">
        <f>'Revenues 9-14'!J109</f>
        <v>573052</v>
      </c>
      <c r="K4" s="1742">
        <f>'Revenues 9-14'!K109</f>
        <v>88432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9582053</v>
      </c>
      <c r="D6" s="1743">
        <f>'Revenues 9-14'!D170</f>
        <v>0</v>
      </c>
      <c r="E6" s="1743">
        <f>'Revenues 9-14'!E170</f>
        <v>0</v>
      </c>
      <c r="F6" s="1743">
        <f>'Revenues 9-14'!F170</f>
        <v>596262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2005025</v>
      </c>
      <c r="D7" s="1743">
        <f>'Revenues 9-14'!D267</f>
        <v>0</v>
      </c>
      <c r="E7" s="1743">
        <f>'Revenues 9-14'!E267</f>
        <v>0</v>
      </c>
      <c r="F7" s="1743">
        <f>'Revenues 9-14'!F267</f>
        <v>6065</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17278077</v>
      </c>
      <c r="D8" s="1688">
        <f t="shared" ref="D8:K8" si="0">SUM(D4:D7)</f>
        <v>1453682</v>
      </c>
      <c r="E8" s="1688">
        <f t="shared" si="0"/>
        <v>700990</v>
      </c>
      <c r="F8" s="1688">
        <f t="shared" si="0"/>
        <v>1062212</v>
      </c>
      <c r="G8" s="1688">
        <f t="shared" si="0"/>
        <v>529013</v>
      </c>
      <c r="H8" s="1688">
        <f t="shared" si="0"/>
        <v>792974</v>
      </c>
      <c r="I8" s="1688">
        <f t="shared" si="0"/>
        <v>72074</v>
      </c>
      <c r="J8" s="1688">
        <f t="shared" si="0"/>
        <v>573052</v>
      </c>
      <c r="K8" s="1688">
        <f t="shared" si="0"/>
        <v>88432</v>
      </c>
      <c r="L8" s="347"/>
    </row>
    <row r="9" spans="1:13" ht="15.75" thickTop="1" x14ac:dyDescent="0.2">
      <c r="A9" s="514" t="s">
        <v>1653</v>
      </c>
      <c r="B9" s="515">
        <v>3998</v>
      </c>
      <c r="C9" s="481">
        <v>1128698</v>
      </c>
      <c r="D9" s="516"/>
      <c r="E9" s="481"/>
      <c r="F9" s="481"/>
      <c r="G9" s="517"/>
      <c r="H9" s="481"/>
      <c r="I9" s="509" t="s">
        <v>1169</v>
      </c>
      <c r="J9" s="478"/>
      <c r="K9" s="481"/>
      <c r="L9" s="347"/>
    </row>
    <row r="10" spans="1:13" s="519" customFormat="1" ht="13.5" thickBot="1" x14ac:dyDescent="0.25">
      <c r="A10" s="1736" t="s">
        <v>1173</v>
      </c>
      <c r="B10" s="1709"/>
      <c r="C10" s="1688">
        <f>SUM(C8:C9)</f>
        <v>18406775</v>
      </c>
      <c r="D10" s="1688">
        <f t="shared" ref="D10:K10" si="1">SUM(D8:D9)</f>
        <v>1453682</v>
      </c>
      <c r="E10" s="1688">
        <f t="shared" si="1"/>
        <v>700990</v>
      </c>
      <c r="F10" s="1688">
        <f t="shared" si="1"/>
        <v>1062212</v>
      </c>
      <c r="G10" s="1688">
        <f t="shared" si="1"/>
        <v>529013</v>
      </c>
      <c r="H10" s="1688">
        <f t="shared" si="1"/>
        <v>792974</v>
      </c>
      <c r="I10" s="1688">
        <f t="shared" si="1"/>
        <v>72074</v>
      </c>
      <c r="J10" s="1688">
        <f t="shared" si="1"/>
        <v>573052</v>
      </c>
      <c r="K10" s="1688">
        <f t="shared" si="1"/>
        <v>88432</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13238991</v>
      </c>
      <c r="D12" s="520" t="s">
        <v>1169</v>
      </c>
      <c r="E12" s="468" t="s">
        <v>1169</v>
      </c>
      <c r="F12" s="468" t="s">
        <v>1169</v>
      </c>
      <c r="G12" s="1742">
        <f>'Expenditures 15-22'!K229</f>
        <v>385154</v>
      </c>
      <c r="H12" s="521"/>
      <c r="I12" s="468" t="s">
        <v>1169</v>
      </c>
      <c r="J12" s="468" t="s">
        <v>1169</v>
      </c>
      <c r="K12" s="521" t="s">
        <v>1169</v>
      </c>
      <c r="L12" s="347"/>
    </row>
    <row r="13" spans="1:13" ht="15.75" customHeight="1" x14ac:dyDescent="0.2">
      <c r="A13" s="1576" t="s">
        <v>457</v>
      </c>
      <c r="B13" s="1578">
        <v>2000</v>
      </c>
      <c r="C13" s="1743">
        <f>'Expenditures 15-22'!K74</f>
        <v>4129146</v>
      </c>
      <c r="D13" s="1743">
        <f>'Expenditures 15-22'!K129</f>
        <v>1847108</v>
      </c>
      <c r="E13" s="469" t="s">
        <v>1169</v>
      </c>
      <c r="F13" s="1743">
        <f>'Expenditures 15-22'!K184</f>
        <v>1204297</v>
      </c>
      <c r="G13" s="1743">
        <f>'Expenditures 15-22'!K279</f>
        <v>440586</v>
      </c>
      <c r="H13" s="1743">
        <f>'Expenditures 15-22'!K303</f>
        <v>483846</v>
      </c>
      <c r="I13" s="468" t="s">
        <v>1169</v>
      </c>
      <c r="J13" s="1743">
        <f>'Expenditures 15-22'!K330</f>
        <v>1011442</v>
      </c>
      <c r="K13" s="1747">
        <f>'Expenditures 15-22'!K352</f>
        <v>1821954</v>
      </c>
      <c r="L13" s="347"/>
    </row>
    <row r="14" spans="1:13" ht="15.75" customHeight="1" x14ac:dyDescent="0.2">
      <c r="A14" s="1576" t="s">
        <v>449</v>
      </c>
      <c r="B14" s="1578">
        <v>3000</v>
      </c>
      <c r="C14" s="1743">
        <f>'Expenditures 15-22'!K75</f>
        <v>20334</v>
      </c>
      <c r="D14" s="1743">
        <f>'Expenditures 15-22'!K130</f>
        <v>0</v>
      </c>
      <c r="E14" s="520" t="s">
        <v>1169</v>
      </c>
      <c r="F14" s="1743">
        <f>'Expenditures 15-22'!K185</f>
        <v>0</v>
      </c>
      <c r="G14" s="1743">
        <f>'Expenditures 15-22'!K280</f>
        <v>270</v>
      </c>
      <c r="H14" s="512"/>
      <c r="I14" s="468" t="s">
        <v>1169</v>
      </c>
      <c r="J14" s="468" t="s">
        <v>1169</v>
      </c>
      <c r="K14" s="512" t="s">
        <v>1169</v>
      </c>
      <c r="L14" s="347"/>
    </row>
    <row r="15" spans="1:13" ht="15.75" customHeight="1" x14ac:dyDescent="0.2">
      <c r="A15" s="1576" t="s">
        <v>107</v>
      </c>
      <c r="B15" s="1578">
        <v>4000</v>
      </c>
      <c r="C15" s="1743">
        <f>'Expenditures 15-22'!K102</f>
        <v>881948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1113972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18270419</v>
      </c>
      <c r="D17" s="1688">
        <f t="shared" si="2"/>
        <v>1847108</v>
      </c>
      <c r="E17" s="1688">
        <f t="shared" si="2"/>
        <v>1113972</v>
      </c>
      <c r="F17" s="1688">
        <f t="shared" si="2"/>
        <v>1204297</v>
      </c>
      <c r="G17" s="1688">
        <f t="shared" si="2"/>
        <v>826010</v>
      </c>
      <c r="H17" s="1688">
        <f t="shared" si="2"/>
        <v>483846</v>
      </c>
      <c r="I17" s="468"/>
      <c r="J17" s="1688">
        <f>SUM(J12:J16)</f>
        <v>1011442</v>
      </c>
      <c r="K17" s="1688">
        <f>SUM(K12:K16)</f>
        <v>1821954</v>
      </c>
      <c r="L17" s="347"/>
    </row>
    <row r="18" spans="1:12" ht="15" customHeight="1" thickTop="1" x14ac:dyDescent="0.2">
      <c r="A18" s="1744" t="s">
        <v>1654</v>
      </c>
      <c r="B18" s="1745">
        <v>4180</v>
      </c>
      <c r="C18" s="1742">
        <f t="shared" ref="C18:H18" si="3">C9</f>
        <v>1128698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19399117</v>
      </c>
      <c r="D19" s="1688">
        <f t="shared" si="4"/>
        <v>1847108</v>
      </c>
      <c r="E19" s="1688">
        <f t="shared" si="4"/>
        <v>1113972</v>
      </c>
      <c r="F19" s="1688">
        <f t="shared" si="4"/>
        <v>1204297</v>
      </c>
      <c r="G19" s="1688">
        <f t="shared" si="4"/>
        <v>826010</v>
      </c>
      <c r="H19" s="1688">
        <f t="shared" si="4"/>
        <v>483846</v>
      </c>
      <c r="I19" s="468"/>
      <c r="J19" s="1688">
        <f>SUM(J17:J18)</f>
        <v>1011442</v>
      </c>
      <c r="K19" s="1688">
        <f>SUM(K17:K18)</f>
        <v>1821954</v>
      </c>
      <c r="L19" s="347"/>
    </row>
    <row r="20" spans="1:12" ht="16.5" thickTop="1" thickBot="1" x14ac:dyDescent="0.25">
      <c r="A20" s="2133" t="s">
        <v>1655</v>
      </c>
      <c r="B20" s="2134"/>
      <c r="C20" s="1746">
        <f>C8-C17</f>
        <v>-992342</v>
      </c>
      <c r="D20" s="1746">
        <f t="shared" ref="D20:K20" si="5">D8-D17</f>
        <v>-393426</v>
      </c>
      <c r="E20" s="1746">
        <f t="shared" si="5"/>
        <v>-412982</v>
      </c>
      <c r="F20" s="1746">
        <f t="shared" si="5"/>
        <v>-142085</v>
      </c>
      <c r="G20" s="1746">
        <f t="shared" si="5"/>
        <v>-296997</v>
      </c>
      <c r="H20" s="1746">
        <f t="shared" si="5"/>
        <v>309128</v>
      </c>
      <c r="I20" s="1746">
        <f t="shared" si="5"/>
        <v>72074</v>
      </c>
      <c r="J20" s="1746">
        <f t="shared" si="5"/>
        <v>-438390</v>
      </c>
      <c r="K20" s="1746">
        <f t="shared" si="5"/>
        <v>-1733522</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-992342</v>
      </c>
      <c r="D78" s="1702">
        <f t="shared" si="9"/>
        <v>-393426</v>
      </c>
      <c r="E78" s="1702">
        <f t="shared" si="9"/>
        <v>-412982</v>
      </c>
      <c r="F78" s="1702">
        <f t="shared" si="9"/>
        <v>-142085</v>
      </c>
      <c r="G78" s="1702">
        <f t="shared" si="9"/>
        <v>-296997</v>
      </c>
      <c r="H78" s="1702">
        <f t="shared" si="9"/>
        <v>309128</v>
      </c>
      <c r="I78" s="1702">
        <f t="shared" si="9"/>
        <v>72074</v>
      </c>
      <c r="J78" s="1702">
        <f t="shared" si="9"/>
        <v>-438390</v>
      </c>
      <c r="K78" s="1702">
        <f t="shared" si="9"/>
        <v>-1733522</v>
      </c>
      <c r="L78" s="533"/>
    </row>
    <row r="79" spans="1:12" ht="13.5" thickTop="1" x14ac:dyDescent="0.2">
      <c r="A79" s="1494" t="s">
        <v>1945</v>
      </c>
      <c r="B79" s="534"/>
      <c r="C79" s="478">
        <v>10033900</v>
      </c>
      <c r="D79" s="535">
        <v>623408</v>
      </c>
      <c r="E79" s="535">
        <v>526433</v>
      </c>
      <c r="F79" s="535">
        <v>820863</v>
      </c>
      <c r="G79" s="535">
        <v>663347</v>
      </c>
      <c r="H79" s="535">
        <v>889202</v>
      </c>
      <c r="I79" s="535">
        <v>1273150</v>
      </c>
      <c r="J79" s="535">
        <v>700070</v>
      </c>
      <c r="K79" s="535">
        <v>3070009</v>
      </c>
      <c r="L79" s="347"/>
    </row>
    <row r="80" spans="1:12" x14ac:dyDescent="0.2">
      <c r="A80" s="2135" t="s">
        <v>1793</v>
      </c>
      <c r="B80" s="2136"/>
      <c r="C80" s="467"/>
      <c r="D80" s="467"/>
      <c r="E80" s="467"/>
      <c r="F80" s="467"/>
      <c r="G80" s="467"/>
      <c r="H80" s="467"/>
      <c r="I80" s="467"/>
      <c r="J80" s="467"/>
      <c r="K80" s="467"/>
      <c r="L80" s="347"/>
    </row>
    <row r="81" spans="1:12" ht="13.5" thickBot="1" x14ac:dyDescent="0.25">
      <c r="A81" s="2127" t="s">
        <v>1946</v>
      </c>
      <c r="B81" s="2128"/>
      <c r="C81" s="1688">
        <f>(SUM(C78:C80))</f>
        <v>9041558</v>
      </c>
      <c r="D81" s="1688">
        <f>SUM(D78:D80)</f>
        <v>229982</v>
      </c>
      <c r="E81" s="1688">
        <f t="shared" ref="E81:K81" si="10">SUM(E78:E80)</f>
        <v>113451</v>
      </c>
      <c r="F81" s="1688">
        <f t="shared" si="10"/>
        <v>678778</v>
      </c>
      <c r="G81" s="1688">
        <f t="shared" si="10"/>
        <v>366350</v>
      </c>
      <c r="H81" s="1688">
        <f t="shared" si="10"/>
        <v>1198330</v>
      </c>
      <c r="I81" s="1688">
        <f t="shared" si="10"/>
        <v>1345224</v>
      </c>
      <c r="J81" s="1688">
        <f t="shared" si="10"/>
        <v>261680</v>
      </c>
      <c r="K81" s="1688">
        <f t="shared" si="10"/>
        <v>1336487</v>
      </c>
      <c r="L81" s="347"/>
    </row>
    <row r="82" spans="1:12" ht="0.75" customHeight="1" thickTop="1" thickBot="1" x14ac:dyDescent="0.25">
      <c r="A82" s="536" t="s">
        <v>343</v>
      </c>
      <c r="B82" s="537"/>
      <c r="C82" s="538">
        <f>(C81-C79)</f>
        <v>-992342</v>
      </c>
      <c r="D82" s="538">
        <f t="shared" ref="D82:K82" si="11">(D81-D79)</f>
        <v>-393426</v>
      </c>
      <c r="E82" s="538">
        <f t="shared" si="11"/>
        <v>-412982</v>
      </c>
      <c r="F82" s="538">
        <f t="shared" si="11"/>
        <v>-142085</v>
      </c>
      <c r="G82" s="538">
        <f t="shared" si="11"/>
        <v>-296997</v>
      </c>
      <c r="H82" s="538">
        <f t="shared" si="11"/>
        <v>309128</v>
      </c>
      <c r="I82" s="538">
        <f t="shared" si="11"/>
        <v>72074</v>
      </c>
      <c r="J82" s="538">
        <f t="shared" si="11"/>
        <v>-438390</v>
      </c>
      <c r="K82" s="538">
        <f t="shared" si="11"/>
        <v>-1733522</v>
      </c>
    </row>
    <row r="83" spans="1:12" ht="14.25" hidden="1" thickTop="1" thickBot="1" x14ac:dyDescent="0.25">
      <c r="A83" s="539" t="s">
        <v>344</v>
      </c>
      <c r="B83" s="464"/>
      <c r="C83" s="540">
        <f>C82/C81</f>
        <v>-0.10975342966333899</v>
      </c>
      <c r="D83" s="540">
        <f t="shared" ref="D83:K83" si="12">D82/D81</f>
        <v>-1.7106817055247803</v>
      </c>
      <c r="E83" s="540">
        <f t="shared" si="12"/>
        <v>-3.6401794607363533</v>
      </c>
      <c r="F83" s="540">
        <f t="shared" si="12"/>
        <v>-0.20932469820766142</v>
      </c>
      <c r="G83" s="540">
        <f t="shared" si="12"/>
        <v>-0.81069196123925213</v>
      </c>
      <c r="H83" s="540">
        <f t="shared" si="12"/>
        <v>0.25796566888920414</v>
      </c>
      <c r="I83" s="540">
        <f t="shared" si="12"/>
        <v>5.3577694123803914E-2</v>
      </c>
      <c r="J83" s="540">
        <f t="shared" si="12"/>
        <v>-1.6752904310608376</v>
      </c>
      <c r="K83" s="540">
        <f t="shared" si="12"/>
        <v>-1.2970735966754634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232"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1800</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1849693</v>
      </c>
      <c r="D5" s="481">
        <v>504407</v>
      </c>
      <c r="E5" s="466">
        <v>372682</v>
      </c>
      <c r="F5" s="548">
        <v>201373</v>
      </c>
      <c r="G5" s="466">
        <v>118511</v>
      </c>
      <c r="H5" s="466"/>
      <c r="I5" s="466">
        <v>50342</v>
      </c>
      <c r="J5" s="467">
        <v>560237</v>
      </c>
      <c r="K5" s="466">
        <v>50342</v>
      </c>
    </row>
    <row r="6" spans="1:12" ht="15" x14ac:dyDescent="0.2">
      <c r="A6" s="463" t="s">
        <v>1662</v>
      </c>
      <c r="B6" s="470">
        <v>1130</v>
      </c>
      <c r="C6" s="466">
        <v>50342</v>
      </c>
      <c r="D6" s="466"/>
      <c r="E6" s="475"/>
      <c r="F6" s="475"/>
      <c r="G6" s="468"/>
      <c r="H6" s="468"/>
      <c r="I6" s="468"/>
      <c r="J6" s="468"/>
      <c r="K6" s="468"/>
    </row>
    <row r="7" spans="1:12" x14ac:dyDescent="0.2">
      <c r="A7" s="463" t="s">
        <v>110</v>
      </c>
      <c r="B7" s="549">
        <v>1140</v>
      </c>
      <c r="C7" s="466">
        <v>40354</v>
      </c>
      <c r="D7" s="466"/>
      <c r="E7" s="468"/>
      <c r="F7" s="467"/>
      <c r="G7" s="467"/>
      <c r="H7" s="467"/>
      <c r="I7" s="468"/>
      <c r="J7" s="468"/>
      <c r="K7" s="468"/>
    </row>
    <row r="8" spans="1:12" x14ac:dyDescent="0.2">
      <c r="A8" s="463" t="s">
        <v>413</v>
      </c>
      <c r="B8" s="470">
        <v>1150</v>
      </c>
      <c r="C8" s="475"/>
      <c r="D8" s="475"/>
      <c r="E8" s="477"/>
      <c r="F8" s="477"/>
      <c r="G8" s="481">
        <v>169823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1940389</v>
      </c>
      <c r="D12" s="1707">
        <f t="shared" si="0"/>
        <v>504407</v>
      </c>
      <c r="E12" s="1707">
        <f t="shared" si="0"/>
        <v>372682</v>
      </c>
      <c r="F12" s="1707">
        <f t="shared" si="0"/>
        <v>201373</v>
      </c>
      <c r="G12" s="1707">
        <f t="shared" si="0"/>
        <v>288334</v>
      </c>
      <c r="H12" s="1707">
        <f t="shared" si="0"/>
        <v>0</v>
      </c>
      <c r="I12" s="1707">
        <f t="shared" si="0"/>
        <v>50342</v>
      </c>
      <c r="J12" s="1707">
        <f t="shared" si="0"/>
        <v>560237</v>
      </c>
      <c r="K12" s="1688">
        <f t="shared" si="0"/>
        <v>50342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2649418</v>
      </c>
      <c r="D16" s="466">
        <v>850000</v>
      </c>
      <c r="E16" s="466"/>
      <c r="F16" s="466">
        <v>130000</v>
      </c>
      <c r="G16" s="466">
        <v>230000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2649418</v>
      </c>
      <c r="D18" s="1710">
        <f t="shared" ref="D18:K18" si="1">SUM(D14:D17)</f>
        <v>850000</v>
      </c>
      <c r="E18" s="1710">
        <f t="shared" si="1"/>
        <v>0</v>
      </c>
      <c r="F18" s="1710">
        <f t="shared" si="1"/>
        <v>130000</v>
      </c>
      <c r="G18" s="1710">
        <f t="shared" si="1"/>
        <v>230000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27909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58332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86241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147111</v>
      </c>
      <c r="D65" s="466">
        <v>13640</v>
      </c>
      <c r="E65" s="466">
        <v>5707</v>
      </c>
      <c r="F65" s="467">
        <v>10944</v>
      </c>
      <c r="G65" s="466">
        <v>10679</v>
      </c>
      <c r="H65" s="466">
        <v>15497</v>
      </c>
      <c r="I65" s="466">
        <v>21732</v>
      </c>
      <c r="J65" s="467">
        <v>12815</v>
      </c>
      <c r="K65" s="466">
        <v>26590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147111</v>
      </c>
      <c r="D67" s="1688">
        <f t="shared" ref="D67:K67" si="2">SUM(D65:D66)</f>
        <v>13640</v>
      </c>
      <c r="E67" s="1688">
        <f t="shared" si="2"/>
        <v>5707</v>
      </c>
      <c r="F67" s="1688">
        <f t="shared" si="2"/>
        <v>10944</v>
      </c>
      <c r="G67" s="1688">
        <f t="shared" si="2"/>
        <v>10679</v>
      </c>
      <c r="H67" s="1688">
        <f t="shared" si="2"/>
        <v>15497</v>
      </c>
      <c r="I67" s="1688">
        <f t="shared" si="2"/>
        <v>21732</v>
      </c>
      <c r="J67" s="1688">
        <f t="shared" si="2"/>
        <v>12815</v>
      </c>
      <c r="K67" s="1688">
        <f t="shared" si="2"/>
        <v>26590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140343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21012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2288</v>
      </c>
      <c r="D73" s="468"/>
      <c r="E73" s="468"/>
      <c r="F73" s="468"/>
      <c r="G73" s="468"/>
      <c r="H73" s="468"/>
      <c r="I73" s="468"/>
      <c r="J73" s="468"/>
      <c r="K73" s="468"/>
    </row>
    <row r="74" spans="1:11" ht="12.75" customHeight="1" x14ac:dyDescent="0.2">
      <c r="A74" s="463" t="s">
        <v>25</v>
      </c>
      <c r="B74" s="470">
        <v>1690</v>
      </c>
      <c r="C74" s="551">
        <v>24684</v>
      </c>
      <c r="D74" s="468"/>
      <c r="E74" s="468"/>
      <c r="F74" s="468"/>
      <c r="G74" s="468"/>
      <c r="H74" s="468"/>
      <c r="I74" s="468"/>
      <c r="J74" s="468"/>
      <c r="K74" s="468"/>
    </row>
    <row r="75" spans="1:11" ht="12.75" customHeight="1" thickBot="1" x14ac:dyDescent="0.25">
      <c r="A75" s="1708" t="s">
        <v>548</v>
      </c>
      <c r="B75" s="1709"/>
      <c r="C75" s="1688">
        <f>SUM(C69:C74)</f>
        <v>188327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59110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30315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89425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150804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2735</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153539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7392</v>
      </c>
      <c r="D95" s="551">
        <v>77229</v>
      </c>
      <c r="E95" s="521"/>
      <c r="F95" s="521"/>
      <c r="G95" s="521"/>
      <c r="H95" s="521"/>
      <c r="I95" s="521"/>
      <c r="J95" s="521"/>
      <c r="K95" s="521"/>
    </row>
    <row r="96" spans="1:11" ht="12.75" customHeight="1" x14ac:dyDescent="0.2">
      <c r="A96" s="463" t="s">
        <v>391</v>
      </c>
      <c r="B96" s="470">
        <v>1920</v>
      </c>
      <c r="C96" s="551">
        <v>352138</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34541</v>
      </c>
      <c r="D99" s="466"/>
      <c r="E99" s="466"/>
      <c r="F99" s="466"/>
      <c r="G99" s="466"/>
      <c r="H99" s="466">
        <v>26469</v>
      </c>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9190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250000</v>
      </c>
      <c r="F103" s="468"/>
      <c r="G103" s="468"/>
      <c r="H103" s="489">
        <v>751008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33288</v>
      </c>
      <c r="D107" s="466">
        <v>8406</v>
      </c>
      <c r="E107" s="466">
        <v>72601</v>
      </c>
      <c r="F107" s="466">
        <v>117568</v>
      </c>
      <c r="G107" s="466"/>
      <c r="H107" s="466"/>
      <c r="I107" s="466"/>
      <c r="J107" s="467"/>
      <c r="K107" s="466">
        <v>11500</v>
      </c>
    </row>
    <row r="108" spans="1:12" ht="12.75" customHeight="1" thickBot="1" x14ac:dyDescent="0.25">
      <c r="A108" s="1708" t="s">
        <v>487</v>
      </c>
      <c r="B108" s="1712"/>
      <c r="C108" s="1707">
        <f>SUM(C95:C107)</f>
        <v>436549</v>
      </c>
      <c r="D108" s="1707">
        <f t="shared" ref="D108:K108" si="3">SUM(D95:D107)</f>
        <v>85635</v>
      </c>
      <c r="E108" s="1707">
        <f t="shared" si="3"/>
        <v>322601</v>
      </c>
      <c r="F108" s="1707">
        <f t="shared" si="3"/>
        <v>117568</v>
      </c>
      <c r="G108" s="1707">
        <f t="shared" si="3"/>
        <v>0</v>
      </c>
      <c r="H108" s="1707">
        <f t="shared" si="3"/>
        <v>777477</v>
      </c>
      <c r="I108" s="1707">
        <f t="shared" si="3"/>
        <v>0</v>
      </c>
      <c r="J108" s="1707">
        <f t="shared" si="3"/>
        <v>0</v>
      </c>
      <c r="K108" s="1688">
        <f t="shared" si="3"/>
        <v>11500</v>
      </c>
    </row>
    <row r="109" spans="1:12" ht="14.25" thickTop="1" thickBot="1" x14ac:dyDescent="0.25">
      <c r="A109" s="1713" t="s">
        <v>248</v>
      </c>
      <c r="B109" s="1714" t="s">
        <v>570</v>
      </c>
      <c r="C109" s="1715">
        <f t="shared" ref="C109:K109" si="4">SUM(C12,C18,C40,C63,C67,C75,C82,C93,C108,)</f>
        <v>5690999</v>
      </c>
      <c r="D109" s="1715">
        <f t="shared" si="4"/>
        <v>1453682</v>
      </c>
      <c r="E109" s="1715">
        <f t="shared" si="4"/>
        <v>700990</v>
      </c>
      <c r="F109" s="1715">
        <f t="shared" si="4"/>
        <v>459885</v>
      </c>
      <c r="G109" s="1715">
        <f t="shared" si="4"/>
        <v>529013</v>
      </c>
      <c r="H109" s="1715">
        <f t="shared" si="4"/>
        <v>792974</v>
      </c>
      <c r="I109" s="1715">
        <f t="shared" si="4"/>
        <v>72074</v>
      </c>
      <c r="J109" s="1715">
        <f t="shared" si="4"/>
        <v>573052</v>
      </c>
      <c r="K109" s="1702">
        <f t="shared" si="4"/>
        <v>88432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8845664</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8845664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24726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257617</v>
      </c>
      <c r="D128" s="561"/>
      <c r="E128" s="468"/>
      <c r="F128" s="466">
        <v>7803</v>
      </c>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282343</v>
      </c>
      <c r="D132" s="1707">
        <f>SUM(D125:D131)</f>
        <v>0</v>
      </c>
      <c r="E132" s="469" t="s">
        <v>1169</v>
      </c>
      <c r="F132" s="1707">
        <f>SUM(F125:F131)</f>
        <v>7803</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107801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13275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121076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11376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30327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237301</v>
      </c>
      <c r="G152" s="467"/>
      <c r="H152" s="468"/>
      <c r="I152" s="468"/>
      <c r="J152" s="468"/>
      <c r="K152" s="468"/>
    </row>
    <row r="153" spans="1:11" ht="12.75" customHeight="1" x14ac:dyDescent="0.2">
      <c r="A153" s="463" t="s">
        <v>1057</v>
      </c>
      <c r="B153" s="562">
        <v>3510</v>
      </c>
      <c r="C153" s="551"/>
      <c r="D153" s="466"/>
      <c r="E153" s="561"/>
      <c r="F153" s="466">
        <v>351158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588459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291267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736389</v>
      </c>
      <c r="D169" s="1722">
        <f t="shared" si="6"/>
        <v>0</v>
      </c>
      <c r="E169" s="1722">
        <f t="shared" si="6"/>
        <v>0</v>
      </c>
      <c r="F169" s="1722">
        <f t="shared" si="6"/>
        <v>596262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9582053</v>
      </c>
      <c r="D170" s="1715">
        <f t="shared" si="7"/>
        <v>0</v>
      </c>
      <c r="E170" s="1715">
        <f t="shared" si="7"/>
        <v>0</v>
      </c>
      <c r="F170" s="1715">
        <f t="shared" si="7"/>
        <v>596262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1801</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39068</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39068</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488154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136246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7225</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7120</v>
      </c>
      <c r="D197" s="468"/>
      <c r="E197" s="561"/>
      <c r="F197" s="468"/>
      <c r="G197" s="585"/>
      <c r="H197" s="468"/>
      <c r="I197" s="468"/>
      <c r="J197" s="468"/>
      <c r="K197" s="468"/>
    </row>
    <row r="198" spans="1:11" ht="12.75" customHeight="1" thickBot="1" x14ac:dyDescent="0.25">
      <c r="A198" s="1708" t="s">
        <v>548</v>
      </c>
      <c r="B198" s="1709"/>
      <c r="C198" s="1688">
        <f>SUM(C190:C197)</f>
        <v>638745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694074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25655</v>
      </c>
      <c r="D203" s="466"/>
      <c r="E203" s="468"/>
      <c r="F203" s="466"/>
      <c r="G203" s="466"/>
      <c r="H203" s="468"/>
      <c r="I203" s="468"/>
      <c r="J203" s="468"/>
      <c r="K203" s="468"/>
    </row>
    <row r="204" spans="1:11" ht="12.75" customHeight="1" thickBot="1" x14ac:dyDescent="0.25">
      <c r="A204" s="1708" t="s">
        <v>400</v>
      </c>
      <c r="B204" s="1709"/>
      <c r="C204" s="1707">
        <f>SUM(C200:C203)</f>
        <v>719729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39579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39579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134285</v>
      </c>
      <c r="D213" s="466"/>
      <c r="E213" s="468"/>
      <c r="F213" s="466"/>
      <c r="G213" s="466"/>
      <c r="H213" s="468"/>
      <c r="I213" s="468"/>
      <c r="J213" s="468"/>
      <c r="K213" s="468"/>
    </row>
    <row r="214" spans="1:11" ht="12.75" customHeight="1" x14ac:dyDescent="0.2">
      <c r="A214" s="463" t="s">
        <v>1054</v>
      </c>
      <c r="B214" s="470">
        <v>4625</v>
      </c>
      <c r="C214" s="551">
        <v>85380</v>
      </c>
      <c r="D214" s="466"/>
      <c r="E214" s="468"/>
      <c r="F214" s="466">
        <v>6065</v>
      </c>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219665</v>
      </c>
      <c r="D217" s="1707">
        <f>SUM(D211:D216)</f>
        <v>0</v>
      </c>
      <c r="E217" s="468"/>
      <c r="F217" s="1707">
        <f>SUM(F211:F216)</f>
        <v>6065</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93978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28489</v>
      </c>
      <c r="D263" s="576"/>
      <c r="E263" s="468"/>
      <c r="F263" s="576"/>
      <c r="G263" s="576"/>
      <c r="H263" s="468"/>
      <c r="I263" s="468"/>
      <c r="J263" s="468"/>
      <c r="K263" s="468"/>
    </row>
    <row r="264" spans="1:11" ht="12.75" customHeight="1" thickTop="1" thickBot="1" x14ac:dyDescent="0.25">
      <c r="A264" s="463" t="s">
        <v>377</v>
      </c>
      <c r="B264" s="470">
        <v>4992</v>
      </c>
      <c r="C264" s="575">
        <v>217852</v>
      </c>
      <c r="D264" s="576"/>
      <c r="E264" s="468"/>
      <c r="F264" s="576"/>
      <c r="G264" s="576"/>
      <c r="H264" s="468"/>
      <c r="I264" s="468"/>
      <c r="J264" s="468"/>
      <c r="K264" s="468"/>
    </row>
    <row r="265" spans="1:11" s="593" customFormat="1" ht="12.75" customHeight="1" thickTop="1" thickBot="1" x14ac:dyDescent="0.25">
      <c r="A265" s="563" t="s">
        <v>75</v>
      </c>
      <c r="B265" s="557">
        <v>4999</v>
      </c>
      <c r="C265" s="575">
        <v>7920</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2005025</v>
      </c>
      <c r="D266" s="1715">
        <f t="shared" si="10"/>
        <v>0</v>
      </c>
      <c r="E266" s="1715">
        <f t="shared" si="10"/>
        <v>0</v>
      </c>
      <c r="F266" s="1715">
        <f t="shared" si="10"/>
        <v>6065</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2005025</v>
      </c>
      <c r="D267" s="1715">
        <f>SUM(D175,D181,D266)</f>
        <v>0</v>
      </c>
      <c r="E267" s="1715">
        <f>SUM(E175,E266)</f>
        <v>0</v>
      </c>
      <c r="F267" s="1715">
        <f t="shared" ref="F267:K267" si="11">SUM(F175,F181,F266)</f>
        <v>6065</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17278077</v>
      </c>
      <c r="D268" s="1715">
        <f t="shared" si="12"/>
        <v>1453682</v>
      </c>
      <c r="E268" s="1715">
        <f t="shared" si="12"/>
        <v>700990</v>
      </c>
      <c r="F268" s="1715">
        <f t="shared" si="12"/>
        <v>1062212</v>
      </c>
      <c r="G268" s="1715">
        <f t="shared" si="12"/>
        <v>529013</v>
      </c>
      <c r="H268" s="1715">
        <f t="shared" si="12"/>
        <v>792974</v>
      </c>
      <c r="I268" s="1715">
        <f t="shared" si="12"/>
        <v>72074</v>
      </c>
      <c r="J268" s="1715">
        <f t="shared" si="12"/>
        <v>573052</v>
      </c>
      <c r="K268" s="1702">
        <f t="shared" si="12"/>
        <v>88432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2" activePane="bottomLeft" state="frozen"/>
      <selection pane="bottomLeft" activeCell="L23" sqref="L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6061867</v>
      </c>
      <c r="D5" s="466">
        <v>973995</v>
      </c>
      <c r="E5" s="466">
        <v>159888</v>
      </c>
      <c r="F5" s="466">
        <v>326779</v>
      </c>
      <c r="G5" s="466">
        <v>37998</v>
      </c>
      <c r="H5" s="466">
        <v>4650</v>
      </c>
      <c r="I5" s="467"/>
      <c r="J5" s="467">
        <v>2720</v>
      </c>
      <c r="K5" s="1671">
        <f>SUM(C5:J5)</f>
        <v>7567897</v>
      </c>
      <c r="L5" s="466">
        <v>8176980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136668</v>
      </c>
      <c r="D7" s="467">
        <v>28769</v>
      </c>
      <c r="E7" s="467"/>
      <c r="F7" s="467"/>
      <c r="G7" s="467"/>
      <c r="H7" s="467"/>
      <c r="I7" s="467"/>
      <c r="J7" s="467"/>
      <c r="K7" s="1671">
        <f t="shared" ref="K7:K32" si="0">SUM(C7:J7)</f>
        <v>165437</v>
      </c>
      <c r="L7" s="466">
        <v>186900</v>
      </c>
    </row>
    <row r="8" spans="1:14" x14ac:dyDescent="0.2">
      <c r="A8" s="1504" t="s">
        <v>164</v>
      </c>
      <c r="B8" s="614">
        <v>1200</v>
      </c>
      <c r="C8" s="466">
        <v>2716567</v>
      </c>
      <c r="D8" s="466">
        <v>498511</v>
      </c>
      <c r="E8" s="466">
        <v>11549</v>
      </c>
      <c r="F8" s="466">
        <v>5527</v>
      </c>
      <c r="G8" s="466">
        <v>3641</v>
      </c>
      <c r="H8" s="466">
        <v>330</v>
      </c>
      <c r="I8" s="467"/>
      <c r="J8" s="467"/>
      <c r="K8" s="1671">
        <f t="shared" si="0"/>
        <v>3236125</v>
      </c>
      <c r="L8" s="466">
        <v>3583210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570477</v>
      </c>
      <c r="D10" s="466">
        <v>113339</v>
      </c>
      <c r="E10" s="466">
        <v>304653</v>
      </c>
      <c r="F10" s="466">
        <v>73942</v>
      </c>
      <c r="G10" s="466">
        <v>75658</v>
      </c>
      <c r="H10" s="466"/>
      <c r="I10" s="467"/>
      <c r="J10" s="467"/>
      <c r="K10" s="1671">
        <f t="shared" si="0"/>
        <v>1138069</v>
      </c>
      <c r="L10" s="466">
        <v>1272380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296005</v>
      </c>
      <c r="D13" s="466">
        <v>57877</v>
      </c>
      <c r="E13" s="466"/>
      <c r="F13" s="466">
        <v>19602</v>
      </c>
      <c r="G13" s="466">
        <v>28397</v>
      </c>
      <c r="H13" s="466"/>
      <c r="I13" s="467"/>
      <c r="J13" s="467"/>
      <c r="K13" s="1671">
        <f t="shared" si="0"/>
        <v>401881</v>
      </c>
      <c r="L13" s="466">
        <v>441120</v>
      </c>
    </row>
    <row r="14" spans="1:14" x14ac:dyDescent="0.2">
      <c r="A14" s="1504" t="s">
        <v>963</v>
      </c>
      <c r="B14" s="614">
        <v>1500</v>
      </c>
      <c r="C14" s="466">
        <v>324516</v>
      </c>
      <c r="D14" s="466">
        <v>21937</v>
      </c>
      <c r="E14" s="466">
        <v>87243</v>
      </c>
      <c r="F14" s="466">
        <v>43917</v>
      </c>
      <c r="G14" s="466">
        <v>32751</v>
      </c>
      <c r="H14" s="466">
        <v>7318</v>
      </c>
      <c r="I14" s="467"/>
      <c r="J14" s="467"/>
      <c r="K14" s="1671">
        <f t="shared" si="0"/>
        <v>517682</v>
      </c>
      <c r="L14" s="466">
        <v>536150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57477</v>
      </c>
      <c r="D17" s="467">
        <v>15023</v>
      </c>
      <c r="E17" s="467"/>
      <c r="F17" s="467">
        <v>230</v>
      </c>
      <c r="G17" s="467"/>
      <c r="H17" s="467"/>
      <c r="I17" s="467"/>
      <c r="J17" s="467"/>
      <c r="K17" s="1671">
        <f t="shared" si="0"/>
        <v>72730</v>
      </c>
      <c r="L17" s="466">
        <v>77450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v>139170</v>
      </c>
      <c r="I21" s="616"/>
      <c r="J21" s="477"/>
      <c r="K21" s="1671">
        <f t="shared" si="0"/>
        <v>139170</v>
      </c>
      <c r="L21" s="471">
        <v>115000</v>
      </c>
    </row>
    <row r="22" spans="1:12" x14ac:dyDescent="0.2">
      <c r="A22" s="1505" t="s">
        <v>740</v>
      </c>
      <c r="B22" s="602" t="s">
        <v>727</v>
      </c>
      <c r="C22" s="477"/>
      <c r="D22" s="477"/>
      <c r="E22" s="477"/>
      <c r="F22" s="477"/>
      <c r="G22" s="477"/>
      <c r="H22" s="474"/>
      <c r="I22" s="616"/>
      <c r="J22" s="477"/>
      <c r="K22" s="1671">
        <f t="shared" si="0"/>
        <v>0</v>
      </c>
      <c r="L22" s="471">
        <v>20000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10163577</v>
      </c>
      <c r="D33" s="1670">
        <f t="shared" ref="D33:L33" si="1">SUM(D5:D32)</f>
        <v>1709451</v>
      </c>
      <c r="E33" s="1670">
        <f t="shared" si="1"/>
        <v>563333</v>
      </c>
      <c r="F33" s="1670">
        <f t="shared" si="1"/>
        <v>469997</v>
      </c>
      <c r="G33" s="1670">
        <f t="shared" si="1"/>
        <v>178445</v>
      </c>
      <c r="H33" s="1670">
        <f t="shared" si="1"/>
        <v>151468</v>
      </c>
      <c r="I33" s="1670">
        <f t="shared" si="1"/>
        <v>0</v>
      </c>
      <c r="J33" s="1670">
        <f t="shared" si="1"/>
        <v>2720</v>
      </c>
      <c r="K33" s="1670">
        <f t="shared" si="1"/>
        <v>13238991</v>
      </c>
      <c r="L33" s="1670">
        <f t="shared" si="1"/>
        <v>14409190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93219</v>
      </c>
      <c r="D36" s="481">
        <v>8791</v>
      </c>
      <c r="E36" s="481"/>
      <c r="F36" s="481">
        <v>935</v>
      </c>
      <c r="G36" s="481"/>
      <c r="H36" s="481"/>
      <c r="I36" s="467"/>
      <c r="J36" s="467"/>
      <c r="K36" s="1671">
        <f t="shared" ref="K36:K41" si="2">SUM(C36:J36)</f>
        <v>102945</v>
      </c>
      <c r="L36" s="466">
        <v>116450</v>
      </c>
    </row>
    <row r="37" spans="1:14" x14ac:dyDescent="0.2">
      <c r="A37" s="1504" t="s">
        <v>1090</v>
      </c>
      <c r="B37" s="614">
        <v>2120</v>
      </c>
      <c r="C37" s="466">
        <v>317700</v>
      </c>
      <c r="D37" s="466">
        <v>26556</v>
      </c>
      <c r="E37" s="466"/>
      <c r="F37" s="466">
        <v>176</v>
      </c>
      <c r="G37" s="466"/>
      <c r="H37" s="466"/>
      <c r="I37" s="467"/>
      <c r="J37" s="467"/>
      <c r="K37" s="1671">
        <f t="shared" si="2"/>
        <v>344432</v>
      </c>
      <c r="L37" s="466">
        <v>360800</v>
      </c>
    </row>
    <row r="38" spans="1:14" x14ac:dyDescent="0.2">
      <c r="A38" s="1504" t="s">
        <v>198</v>
      </c>
      <c r="B38" s="614">
        <v>2130</v>
      </c>
      <c r="C38" s="466"/>
      <c r="D38" s="466"/>
      <c r="E38" s="466">
        <v>9597</v>
      </c>
      <c r="F38" s="466"/>
      <c r="G38" s="466"/>
      <c r="H38" s="466"/>
      <c r="I38" s="467"/>
      <c r="J38" s="467"/>
      <c r="K38" s="1671">
        <f t="shared" si="2"/>
        <v>9597</v>
      </c>
      <c r="L38" s="466">
        <v>15000</v>
      </c>
    </row>
    <row r="39" spans="1:14" x14ac:dyDescent="0.2">
      <c r="A39" s="1504" t="s">
        <v>199</v>
      </c>
      <c r="B39" s="614">
        <v>2140</v>
      </c>
      <c r="C39" s="466">
        <v>162323</v>
      </c>
      <c r="D39" s="466">
        <v>10184</v>
      </c>
      <c r="E39" s="466"/>
      <c r="F39" s="466">
        <v>1503</v>
      </c>
      <c r="G39" s="466"/>
      <c r="H39" s="466"/>
      <c r="I39" s="467"/>
      <c r="J39" s="467"/>
      <c r="K39" s="1671">
        <f t="shared" si="2"/>
        <v>174010</v>
      </c>
      <c r="L39" s="466">
        <v>185900</v>
      </c>
    </row>
    <row r="40" spans="1:14" x14ac:dyDescent="0.2">
      <c r="A40" s="1504" t="s">
        <v>200</v>
      </c>
      <c r="B40" s="614">
        <v>2150</v>
      </c>
      <c r="C40" s="466">
        <v>227532</v>
      </c>
      <c r="D40" s="466">
        <v>27701</v>
      </c>
      <c r="E40" s="466"/>
      <c r="F40" s="466">
        <v>91</v>
      </c>
      <c r="G40" s="466"/>
      <c r="H40" s="466"/>
      <c r="I40" s="467"/>
      <c r="J40" s="467"/>
      <c r="K40" s="1671">
        <f t="shared" si="2"/>
        <v>255324</v>
      </c>
      <c r="L40" s="466">
        <v>272020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800774</v>
      </c>
      <c r="D42" s="1670">
        <f t="shared" ref="D42:L42" si="3">SUM(D36:D41)</f>
        <v>73232</v>
      </c>
      <c r="E42" s="1670">
        <f t="shared" si="3"/>
        <v>9597</v>
      </c>
      <c r="F42" s="1670">
        <f t="shared" si="3"/>
        <v>2705</v>
      </c>
      <c r="G42" s="1670">
        <f t="shared" si="3"/>
        <v>0</v>
      </c>
      <c r="H42" s="1670">
        <f t="shared" si="3"/>
        <v>0</v>
      </c>
      <c r="I42" s="1670">
        <f t="shared" si="3"/>
        <v>0</v>
      </c>
      <c r="J42" s="1670">
        <f t="shared" si="3"/>
        <v>0</v>
      </c>
      <c r="K42" s="1670">
        <f t="shared" si="3"/>
        <v>886308</v>
      </c>
      <c r="L42" s="1670">
        <f t="shared" si="3"/>
        <v>950170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159634</v>
      </c>
      <c r="D44" s="481">
        <v>50660</v>
      </c>
      <c r="E44" s="481">
        <v>106915</v>
      </c>
      <c r="F44" s="481">
        <v>9024</v>
      </c>
      <c r="G44" s="481"/>
      <c r="H44" s="481"/>
      <c r="I44" s="467"/>
      <c r="J44" s="467"/>
      <c r="K44" s="1672">
        <f>SUM(C44:J44)</f>
        <v>326233</v>
      </c>
      <c r="L44" s="481">
        <v>373415</v>
      </c>
    </row>
    <row r="45" spans="1:14" x14ac:dyDescent="0.2">
      <c r="A45" s="1504" t="s">
        <v>815</v>
      </c>
      <c r="B45" s="614">
        <v>2220</v>
      </c>
      <c r="C45" s="466">
        <v>443831</v>
      </c>
      <c r="D45" s="466">
        <v>55388</v>
      </c>
      <c r="E45" s="466">
        <v>82886</v>
      </c>
      <c r="F45" s="466">
        <v>56404</v>
      </c>
      <c r="G45" s="466">
        <v>46040</v>
      </c>
      <c r="H45" s="466"/>
      <c r="I45" s="467"/>
      <c r="J45" s="467"/>
      <c r="K45" s="1672">
        <f>SUM(C45:J45)</f>
        <v>684549</v>
      </c>
      <c r="L45" s="466">
        <v>865080</v>
      </c>
    </row>
    <row r="46" spans="1:14" x14ac:dyDescent="0.2">
      <c r="A46" s="1504" t="s">
        <v>816</v>
      </c>
      <c r="B46" s="614">
        <v>2230</v>
      </c>
      <c r="C46" s="466"/>
      <c r="D46" s="466"/>
      <c r="E46" s="466">
        <v>2565</v>
      </c>
      <c r="F46" s="466">
        <v>3699</v>
      </c>
      <c r="G46" s="466"/>
      <c r="H46" s="466"/>
      <c r="I46" s="467"/>
      <c r="J46" s="467"/>
      <c r="K46" s="1672">
        <f>SUM(C46:J46)</f>
        <v>6264</v>
      </c>
      <c r="L46" s="466">
        <v>26000</v>
      </c>
    </row>
    <row r="47" spans="1:14" ht="12.75" customHeight="1" thickBot="1" x14ac:dyDescent="0.25">
      <c r="A47" s="1668" t="s">
        <v>561</v>
      </c>
      <c r="B47" s="1669" t="s">
        <v>32</v>
      </c>
      <c r="C47" s="1670">
        <f>SUM(C44:C46)</f>
        <v>603465</v>
      </c>
      <c r="D47" s="1670">
        <f t="shared" ref="D47:K47" si="4">SUM(D44:D46)</f>
        <v>106048</v>
      </c>
      <c r="E47" s="1670">
        <f t="shared" si="4"/>
        <v>192366</v>
      </c>
      <c r="F47" s="1670">
        <f t="shared" si="4"/>
        <v>69127</v>
      </c>
      <c r="G47" s="1670">
        <f t="shared" si="4"/>
        <v>46040</v>
      </c>
      <c r="H47" s="1670">
        <f t="shared" si="4"/>
        <v>0</v>
      </c>
      <c r="I47" s="1670">
        <f t="shared" si="4"/>
        <v>0</v>
      </c>
      <c r="J47" s="1670">
        <f t="shared" si="4"/>
        <v>0</v>
      </c>
      <c r="K47" s="1670">
        <f t="shared" si="4"/>
        <v>1017046</v>
      </c>
      <c r="L47" s="1670">
        <f>SUM(L44:L46)</f>
        <v>1264495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9696</v>
      </c>
      <c r="D49" s="481">
        <v>28431</v>
      </c>
      <c r="E49" s="481">
        <v>66822</v>
      </c>
      <c r="F49" s="481">
        <v>13556</v>
      </c>
      <c r="G49" s="481"/>
      <c r="H49" s="481">
        <v>13264</v>
      </c>
      <c r="I49" s="467"/>
      <c r="J49" s="467"/>
      <c r="K49" s="1672">
        <f>SUM(C49:J49)</f>
        <v>131769</v>
      </c>
      <c r="L49" s="481">
        <v>142000</v>
      </c>
    </row>
    <row r="50" spans="1:14" x14ac:dyDescent="0.2">
      <c r="A50" s="1504" t="s">
        <v>818</v>
      </c>
      <c r="B50" s="614">
        <v>2320</v>
      </c>
      <c r="C50" s="466">
        <v>162363</v>
      </c>
      <c r="D50" s="466">
        <v>33745</v>
      </c>
      <c r="E50" s="466">
        <v>4319</v>
      </c>
      <c r="F50" s="466">
        <v>4616</v>
      </c>
      <c r="G50" s="466"/>
      <c r="H50" s="466">
        <v>574</v>
      </c>
      <c r="I50" s="467"/>
      <c r="J50" s="467"/>
      <c r="K50" s="1672">
        <f>SUM(C50:J50)</f>
        <v>205617</v>
      </c>
      <c r="L50" s="466">
        <v>212400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172059</v>
      </c>
      <c r="D53" s="1670">
        <f t="shared" ref="D53:L53" si="5">SUM(D49:D52)</f>
        <v>62176</v>
      </c>
      <c r="E53" s="1670">
        <f t="shared" si="5"/>
        <v>71141</v>
      </c>
      <c r="F53" s="1670">
        <f t="shared" si="5"/>
        <v>18172</v>
      </c>
      <c r="G53" s="1670">
        <f t="shared" si="5"/>
        <v>0</v>
      </c>
      <c r="H53" s="1670">
        <f t="shared" si="5"/>
        <v>13838</v>
      </c>
      <c r="I53" s="1670">
        <f t="shared" si="5"/>
        <v>0</v>
      </c>
      <c r="J53" s="1670">
        <f t="shared" si="5"/>
        <v>0</v>
      </c>
      <c r="K53" s="1670">
        <f t="shared" si="5"/>
        <v>337386</v>
      </c>
      <c r="L53" s="1670">
        <f t="shared" si="5"/>
        <v>354400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718658</v>
      </c>
      <c r="D55" s="481">
        <v>158649</v>
      </c>
      <c r="E55" s="481">
        <v>601</v>
      </c>
      <c r="F55" s="481">
        <v>780</v>
      </c>
      <c r="G55" s="481">
        <v>190</v>
      </c>
      <c r="H55" s="481"/>
      <c r="I55" s="467"/>
      <c r="J55" s="467"/>
      <c r="K55" s="1672">
        <f>SUM(C55:J55)</f>
        <v>878878</v>
      </c>
      <c r="L55" s="481">
        <v>954400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718658</v>
      </c>
      <c r="D57" s="1674">
        <f t="shared" ref="D57:K57" si="6">SUM(D55:D56)</f>
        <v>158649</v>
      </c>
      <c r="E57" s="1674">
        <f t="shared" si="6"/>
        <v>601</v>
      </c>
      <c r="F57" s="1674">
        <f t="shared" si="6"/>
        <v>780</v>
      </c>
      <c r="G57" s="1674">
        <f t="shared" si="6"/>
        <v>190</v>
      </c>
      <c r="H57" s="1674">
        <f t="shared" si="6"/>
        <v>0</v>
      </c>
      <c r="I57" s="1674">
        <f t="shared" si="6"/>
        <v>0</v>
      </c>
      <c r="J57" s="1674">
        <f t="shared" si="6"/>
        <v>0</v>
      </c>
      <c r="K57" s="1674">
        <f t="shared" si="6"/>
        <v>878878</v>
      </c>
      <c r="L57" s="1670">
        <f>SUM(L55:L56)</f>
        <v>954400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36175</v>
      </c>
      <c r="D59" s="481"/>
      <c r="E59" s="481"/>
      <c r="F59" s="481">
        <v>731</v>
      </c>
      <c r="G59" s="481"/>
      <c r="H59" s="481">
        <v>335</v>
      </c>
      <c r="I59" s="467"/>
      <c r="J59" s="467"/>
      <c r="K59" s="1672">
        <f t="shared" ref="K59:K64" si="7">SUM(C59:J59)</f>
        <v>37241</v>
      </c>
      <c r="L59" s="481">
        <v>74600</v>
      </c>
      <c r="M59" s="609"/>
      <c r="N59" s="609"/>
    </row>
    <row r="60" spans="1:14" s="343" customFormat="1" x14ac:dyDescent="0.2">
      <c r="A60" s="1504" t="s">
        <v>463</v>
      </c>
      <c r="B60" s="614">
        <v>2520</v>
      </c>
      <c r="C60" s="466">
        <v>169844</v>
      </c>
      <c r="D60" s="466">
        <v>26835</v>
      </c>
      <c r="E60" s="466">
        <v>4977</v>
      </c>
      <c r="F60" s="466">
        <v>368</v>
      </c>
      <c r="G60" s="466"/>
      <c r="H60" s="466">
        <v>340</v>
      </c>
      <c r="I60" s="467"/>
      <c r="J60" s="467"/>
      <c r="K60" s="1672">
        <f t="shared" si="7"/>
        <v>202364</v>
      </c>
      <c r="L60" s="466">
        <v>225400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v>81365</v>
      </c>
      <c r="F62" s="466">
        <v>31551</v>
      </c>
      <c r="G62" s="466"/>
      <c r="H62" s="466"/>
      <c r="I62" s="467"/>
      <c r="J62" s="467"/>
      <c r="K62" s="1672">
        <f t="shared" si="7"/>
        <v>112916</v>
      </c>
      <c r="L62" s="466">
        <v>110000</v>
      </c>
      <c r="M62" s="609"/>
      <c r="N62" s="609"/>
    </row>
    <row r="63" spans="1:14" s="609" customFormat="1" x14ac:dyDescent="0.2">
      <c r="A63" s="1504" t="s">
        <v>100</v>
      </c>
      <c r="B63" s="614">
        <v>2560</v>
      </c>
      <c r="C63" s="466">
        <v>35778</v>
      </c>
      <c r="D63" s="466">
        <v>3124</v>
      </c>
      <c r="E63" s="466">
        <v>604581</v>
      </c>
      <c r="F63" s="466">
        <v>6308</v>
      </c>
      <c r="G63" s="466">
        <v>7216</v>
      </c>
      <c r="H63" s="466"/>
      <c r="I63" s="467"/>
      <c r="J63" s="467"/>
      <c r="K63" s="1672">
        <f t="shared" si="7"/>
        <v>657007</v>
      </c>
      <c r="L63" s="466">
        <v>752720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241797</v>
      </c>
      <c r="D65" s="1670">
        <f t="shared" ref="D65:L65" si="8">SUM(D59:D64)</f>
        <v>29959</v>
      </c>
      <c r="E65" s="1670">
        <f t="shared" si="8"/>
        <v>690923</v>
      </c>
      <c r="F65" s="1670">
        <f t="shared" si="8"/>
        <v>38958</v>
      </c>
      <c r="G65" s="1670">
        <f t="shared" si="8"/>
        <v>7216</v>
      </c>
      <c r="H65" s="1670">
        <f t="shared" si="8"/>
        <v>675</v>
      </c>
      <c r="I65" s="1670">
        <f t="shared" si="8"/>
        <v>0</v>
      </c>
      <c r="J65" s="1670">
        <f t="shared" si="8"/>
        <v>0</v>
      </c>
      <c r="K65" s="1670">
        <f t="shared" si="8"/>
        <v>1009528</v>
      </c>
      <c r="L65" s="1670">
        <f t="shared" si="8"/>
        <v>1162720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v>24600</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24600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2536753</v>
      </c>
      <c r="D74" s="1677">
        <f t="shared" ref="D74:K74" si="10">SUM(D42,D47,D53,D57,D65,D72,D73)</f>
        <v>430064</v>
      </c>
      <c r="E74" s="1677">
        <f t="shared" si="10"/>
        <v>964628</v>
      </c>
      <c r="F74" s="1677">
        <f t="shared" si="10"/>
        <v>129742</v>
      </c>
      <c r="G74" s="1677">
        <f t="shared" si="10"/>
        <v>53446</v>
      </c>
      <c r="H74" s="1677">
        <f t="shared" si="10"/>
        <v>14513</v>
      </c>
      <c r="I74" s="1677">
        <f t="shared" si="10"/>
        <v>0</v>
      </c>
      <c r="J74" s="1677">
        <f t="shared" si="10"/>
        <v>0</v>
      </c>
      <c r="K74" s="1677">
        <f t="shared" si="10"/>
        <v>4129146</v>
      </c>
      <c r="L74" s="1677">
        <f>SUM(L42,L47,L53,L57,L65,L72,L73)</f>
        <v>4710785</v>
      </c>
    </row>
    <row r="75" spans="1:14" s="259" customFormat="1" ht="15.75" customHeight="1" thickTop="1" thickBot="1" x14ac:dyDescent="0.25">
      <c r="A75" s="1610" t="s">
        <v>47</v>
      </c>
      <c r="B75" s="1611" t="s">
        <v>575</v>
      </c>
      <c r="C75" s="573">
        <v>10493</v>
      </c>
      <c r="D75" s="573">
        <v>974</v>
      </c>
      <c r="E75" s="573">
        <v>1955</v>
      </c>
      <c r="F75" s="573">
        <v>6912</v>
      </c>
      <c r="G75" s="573"/>
      <c r="H75" s="573"/>
      <c r="I75" s="531"/>
      <c r="J75" s="531"/>
      <c r="K75" s="1670">
        <f>SUM(C75:J75)</f>
        <v>20334</v>
      </c>
      <c r="L75" s="576">
        <v>22330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71225</v>
      </c>
      <c r="F79" s="616"/>
      <c r="G79" s="616"/>
      <c r="H79" s="466">
        <v>37746</v>
      </c>
      <c r="I79" s="477"/>
      <c r="J79" s="477"/>
      <c r="K79" s="1671">
        <f t="shared" si="11"/>
        <v>108971</v>
      </c>
      <c r="L79" s="466">
        <v>178000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2500</v>
      </c>
      <c r="I81" s="477"/>
      <c r="J81" s="477"/>
      <c r="K81" s="1671">
        <f t="shared" si="11"/>
        <v>2500</v>
      </c>
      <c r="L81" s="466">
        <v>2500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58993</v>
      </c>
      <c r="F83" s="616"/>
      <c r="G83" s="616"/>
      <c r="H83" s="466"/>
      <c r="I83" s="477"/>
      <c r="J83" s="477"/>
      <c r="K83" s="1671">
        <f t="shared" si="11"/>
        <v>58993</v>
      </c>
      <c r="L83" s="466">
        <v>60000</v>
      </c>
    </row>
    <row r="84" spans="1:12" ht="13.5" thickBot="1" x14ac:dyDescent="0.25">
      <c r="A84" s="1668" t="s">
        <v>1485</v>
      </c>
      <c r="B84" s="1678">
        <v>4100</v>
      </c>
      <c r="C84" s="616"/>
      <c r="D84" s="616"/>
      <c r="E84" s="1670">
        <f>SUM(E78:E83)</f>
        <v>130218</v>
      </c>
      <c r="F84" s="616"/>
      <c r="G84" s="616"/>
      <c r="H84" s="1670">
        <f>SUM(H78:H83)</f>
        <v>40246</v>
      </c>
      <c r="I84" s="477"/>
      <c r="J84" s="477"/>
      <c r="K84" s="1670">
        <f>SUM(K78:K83)</f>
        <v>170464</v>
      </c>
      <c r="L84" s="1670">
        <f>SUM(L78:L83)</f>
        <v>240500</v>
      </c>
    </row>
    <row r="85" spans="1:12" ht="12.75" customHeight="1" thickTop="1" thickBot="1" x14ac:dyDescent="0.25">
      <c r="A85" s="1511" t="s">
        <v>255</v>
      </c>
      <c r="B85" s="635">
        <v>4210</v>
      </c>
      <c r="C85" s="616"/>
      <c r="D85" s="616"/>
      <c r="E85" s="636"/>
      <c r="F85" s="616"/>
      <c r="G85" s="616"/>
      <c r="H85" s="535">
        <v>4840</v>
      </c>
      <c r="I85" s="477"/>
      <c r="J85" s="477"/>
      <c r="K85" s="1677">
        <f>H85</f>
        <v>4840</v>
      </c>
      <c r="L85" s="530">
        <v>30000</v>
      </c>
    </row>
    <row r="86" spans="1:12" ht="12.75" customHeight="1" thickTop="1" thickBot="1" x14ac:dyDescent="0.25">
      <c r="A86" s="1512" t="s">
        <v>699</v>
      </c>
      <c r="B86" s="637">
        <v>4220</v>
      </c>
      <c r="C86" s="616"/>
      <c r="D86" s="616"/>
      <c r="E86" s="638"/>
      <c r="F86" s="616"/>
      <c r="G86" s="616"/>
      <c r="H86" s="467">
        <v>706644</v>
      </c>
      <c r="I86" s="477"/>
      <c r="J86" s="477"/>
      <c r="K86" s="1677">
        <f t="shared" ref="K86:K98" si="12">H86</f>
        <v>706644</v>
      </c>
      <c r="L86" s="530">
        <v>575000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v>20000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711484</v>
      </c>
      <c r="I92" s="477"/>
      <c r="J92" s="477"/>
      <c r="K92" s="1677">
        <f t="shared" si="12"/>
        <v>711484</v>
      </c>
      <c r="L92" s="1670">
        <f>SUM(L85:L91)</f>
        <v>625000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130218</v>
      </c>
      <c r="F102" s="616"/>
      <c r="G102" s="616"/>
      <c r="H102" s="1677">
        <f>SUM(H84,H92,H100,H101)</f>
        <v>751730</v>
      </c>
      <c r="I102" s="477"/>
      <c r="J102" s="477"/>
      <c r="K102" s="1677">
        <f>SUM(K84,K92,K100,K101)</f>
        <v>881948</v>
      </c>
      <c r="L102" s="1677">
        <f>SUM(L84,L92,L100,L101)</f>
        <v>865500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12710823</v>
      </c>
      <c r="D114" s="1670">
        <f t="shared" ref="D114:K114" si="13">SUM(D33,D74,D75,D102,D112,D113)</f>
        <v>2140489</v>
      </c>
      <c r="E114" s="1670">
        <f t="shared" si="13"/>
        <v>1660134</v>
      </c>
      <c r="F114" s="1670">
        <f t="shared" si="13"/>
        <v>606651</v>
      </c>
      <c r="G114" s="1670">
        <f t="shared" si="13"/>
        <v>231891</v>
      </c>
      <c r="H114" s="1670">
        <f>SUM(H33,H74,H75,H102,H112,H113)</f>
        <v>917711</v>
      </c>
      <c r="I114" s="1670">
        <f t="shared" si="13"/>
        <v>0</v>
      </c>
      <c r="J114" s="1670">
        <f t="shared" si="13"/>
        <v>2720</v>
      </c>
      <c r="K114" s="1670">
        <f t="shared" si="13"/>
        <v>18270419</v>
      </c>
      <c r="L114" s="1670">
        <f>SUM(L33,L74,L75,L102,L112,L113)</f>
        <v>20007805</v>
      </c>
    </row>
    <row r="115" spans="1:14" ht="13.5" thickTop="1" x14ac:dyDescent="0.2">
      <c r="A115" s="2188" t="s">
        <v>996</v>
      </c>
      <c r="B115" s="2189"/>
      <c r="C115" s="618"/>
      <c r="D115" s="618"/>
      <c r="E115" s="618"/>
      <c r="F115" s="618"/>
      <c r="G115" s="618"/>
      <c r="H115" s="618"/>
      <c r="I115" s="618"/>
      <c r="J115" s="618"/>
      <c r="K115" s="1684">
        <f>'Revenues 9-14'!C268-'Expenditures 15-22'!K114</f>
        <v>-992342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869049</v>
      </c>
      <c r="D124" s="466">
        <v>103319</v>
      </c>
      <c r="E124" s="466">
        <v>271300</v>
      </c>
      <c r="F124" s="466">
        <v>507639</v>
      </c>
      <c r="G124" s="466">
        <v>84411</v>
      </c>
      <c r="H124" s="466"/>
      <c r="I124" s="467"/>
      <c r="J124" s="467">
        <v>11390</v>
      </c>
      <c r="K124" s="1670">
        <f>SUM(C124:J124)</f>
        <v>1847108</v>
      </c>
      <c r="L124" s="466">
        <v>2212570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869049</v>
      </c>
      <c r="D127" s="1670">
        <f t="shared" ref="D127:L127" si="14">SUM(D122:D126)</f>
        <v>103319</v>
      </c>
      <c r="E127" s="1670">
        <f t="shared" si="14"/>
        <v>271300</v>
      </c>
      <c r="F127" s="1670">
        <f t="shared" si="14"/>
        <v>507639</v>
      </c>
      <c r="G127" s="1670">
        <f t="shared" si="14"/>
        <v>84411</v>
      </c>
      <c r="H127" s="1670">
        <f t="shared" si="14"/>
        <v>0</v>
      </c>
      <c r="I127" s="1670">
        <f t="shared" si="14"/>
        <v>0</v>
      </c>
      <c r="J127" s="1670">
        <f t="shared" si="14"/>
        <v>11390</v>
      </c>
      <c r="K127" s="1670">
        <f t="shared" si="14"/>
        <v>1847108</v>
      </c>
      <c r="L127" s="1670">
        <f t="shared" si="14"/>
        <v>2212570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869049</v>
      </c>
      <c r="D129" s="1677">
        <f t="shared" ref="D129:L129" si="15">SUM(D120,D127,D128)</f>
        <v>103319</v>
      </c>
      <c r="E129" s="1677">
        <f t="shared" si="15"/>
        <v>271300</v>
      </c>
      <c r="F129" s="1677">
        <f t="shared" si="15"/>
        <v>507639</v>
      </c>
      <c r="G129" s="1677">
        <f t="shared" si="15"/>
        <v>84411</v>
      </c>
      <c r="H129" s="1677">
        <f t="shared" si="15"/>
        <v>0</v>
      </c>
      <c r="I129" s="1677">
        <f t="shared" si="15"/>
        <v>0</v>
      </c>
      <c r="J129" s="1677">
        <f t="shared" si="15"/>
        <v>11390</v>
      </c>
      <c r="K129" s="1677">
        <f t="shared" si="15"/>
        <v>1847108</v>
      </c>
      <c r="L129" s="1677">
        <f t="shared" si="15"/>
        <v>2212570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869049</v>
      </c>
      <c r="D151" s="1670">
        <f t="shared" ref="D151:K151" si="16">SUM(D129,D130,D139,D149,D150)</f>
        <v>103319</v>
      </c>
      <c r="E151" s="1670">
        <f t="shared" si="16"/>
        <v>271300</v>
      </c>
      <c r="F151" s="1670">
        <f t="shared" si="16"/>
        <v>507639</v>
      </c>
      <c r="G151" s="1670">
        <f t="shared" si="16"/>
        <v>84411</v>
      </c>
      <c r="H151" s="1670">
        <f t="shared" si="16"/>
        <v>0</v>
      </c>
      <c r="I151" s="1670">
        <f t="shared" si="16"/>
        <v>0</v>
      </c>
      <c r="J151" s="1670">
        <f t="shared" si="16"/>
        <v>11390</v>
      </c>
      <c r="K151" s="1670">
        <f t="shared" si="16"/>
        <v>1847108</v>
      </c>
      <c r="L151" s="1670">
        <f>SUM(L129,L130,L139,L149,L150)</f>
        <v>2212570</v>
      </c>
    </row>
    <row r="152" spans="1:14" ht="12.75" customHeight="1" thickTop="1" x14ac:dyDescent="0.2">
      <c r="A152" s="2181" t="s">
        <v>1178</v>
      </c>
      <c r="B152" s="2182"/>
      <c r="C152" s="618"/>
      <c r="D152" s="618"/>
      <c r="E152" s="618"/>
      <c r="F152" s="618"/>
      <c r="G152" s="618"/>
      <c r="H152" s="618"/>
      <c r="I152" s="618"/>
      <c r="J152" s="616"/>
      <c r="K152" s="1684">
        <f>'Revenues 9-14'!D268-'Expenditures 15-22'!K151</f>
        <v>-393426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218447</v>
      </c>
      <c r="I169" s="616"/>
      <c r="J169" s="616"/>
      <c r="K169" s="1671">
        <f>SUM(C169:H169)</f>
        <v>218447</v>
      </c>
      <c r="L169" s="656">
        <v>1050000</v>
      </c>
    </row>
    <row r="170" spans="1:14" ht="33.75" customHeight="1" x14ac:dyDescent="0.2">
      <c r="A170" s="669" t="s">
        <v>1670</v>
      </c>
      <c r="B170" s="671" t="s">
        <v>31</v>
      </c>
      <c r="C170" s="616"/>
      <c r="D170" s="616"/>
      <c r="E170" s="616"/>
      <c r="F170" s="616"/>
      <c r="G170" s="616"/>
      <c r="H170" s="569">
        <v>894525</v>
      </c>
      <c r="I170" s="616"/>
      <c r="J170" s="616"/>
      <c r="K170" s="1671">
        <f>SUM(C170:J170)</f>
        <v>894525</v>
      </c>
      <c r="L170" s="569">
        <v>73000</v>
      </c>
    </row>
    <row r="171" spans="1:14" ht="15.75" customHeight="1" x14ac:dyDescent="0.2">
      <c r="A171" s="621" t="s">
        <v>766</v>
      </c>
      <c r="B171" s="672" t="s">
        <v>84</v>
      </c>
      <c r="C171" s="616"/>
      <c r="D171" s="616"/>
      <c r="E171" s="466"/>
      <c r="F171" s="616"/>
      <c r="G171" s="616"/>
      <c r="H171" s="569">
        <v>1000</v>
      </c>
      <c r="I171" s="477"/>
      <c r="J171" s="616"/>
      <c r="K171" s="1671">
        <f>SUM(C171:J171)</f>
        <v>1000</v>
      </c>
      <c r="L171" s="569">
        <v>2000</v>
      </c>
    </row>
    <row r="172" spans="1:14" ht="12.75" customHeight="1" thickBot="1" x14ac:dyDescent="0.25">
      <c r="A172" s="1668" t="s">
        <v>638</v>
      </c>
      <c r="B172" s="1669" t="s">
        <v>492</v>
      </c>
      <c r="C172" s="616"/>
      <c r="D172" s="616"/>
      <c r="E172" s="1677">
        <f>SUM(E168,E169,E170,E171)</f>
        <v>0</v>
      </c>
      <c r="F172" s="616"/>
      <c r="G172" s="616"/>
      <c r="H172" s="1677">
        <f>SUM(H168,H169,H170,H171)</f>
        <v>1113972</v>
      </c>
      <c r="I172" s="638"/>
      <c r="J172" s="616"/>
      <c r="K172" s="1677">
        <f>SUM(K168,K169,K170,K171)</f>
        <v>1113972</v>
      </c>
      <c r="L172" s="1677">
        <f>SUM(L168,L169,L170,L171)</f>
        <v>1125000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1113972</v>
      </c>
      <c r="I174" s="638"/>
      <c r="J174" s="616"/>
      <c r="K174" s="1677">
        <f>SUM(K160,K172,K173)</f>
        <v>1113972</v>
      </c>
      <c r="L174" s="1677">
        <f>SUM(L160,L172,L173)</f>
        <v>1125000</v>
      </c>
    </row>
    <row r="175" spans="1:14" ht="13.5" thickTop="1" x14ac:dyDescent="0.2">
      <c r="A175" s="2188" t="s">
        <v>996</v>
      </c>
      <c r="B175" s="2189"/>
      <c r="C175" s="616"/>
      <c r="D175" s="616"/>
      <c r="E175" s="616"/>
      <c r="F175" s="616"/>
      <c r="G175" s="616"/>
      <c r="H175" s="618"/>
      <c r="I175" s="616"/>
      <c r="J175" s="616"/>
      <c r="K175" s="1684">
        <f>'Revenues 9-14'!E268-'Expenditures 15-22'!K174</f>
        <v>-412982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739252</v>
      </c>
      <c r="D182" s="466">
        <v>66023</v>
      </c>
      <c r="E182" s="466">
        <v>85289</v>
      </c>
      <c r="F182" s="466">
        <v>157267</v>
      </c>
      <c r="G182" s="466">
        <v>156466</v>
      </c>
      <c r="H182" s="466"/>
      <c r="I182" s="467"/>
      <c r="J182" s="467"/>
      <c r="K182" s="1671">
        <f>SUM(C182:J182)</f>
        <v>1204297</v>
      </c>
      <c r="L182" s="466">
        <v>1337500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739252</v>
      </c>
      <c r="D184" s="1677">
        <f t="shared" ref="D184:J184" si="17">SUM(D180,D182,D183)</f>
        <v>66023</v>
      </c>
      <c r="E184" s="1677">
        <f t="shared" si="17"/>
        <v>85289</v>
      </c>
      <c r="F184" s="1677">
        <f t="shared" si="17"/>
        <v>157267</v>
      </c>
      <c r="G184" s="1677">
        <f t="shared" si="17"/>
        <v>156466</v>
      </c>
      <c r="H184" s="1677">
        <f t="shared" si="17"/>
        <v>0</v>
      </c>
      <c r="I184" s="1677">
        <f t="shared" si="17"/>
        <v>0</v>
      </c>
      <c r="J184" s="1677">
        <f t="shared" si="17"/>
        <v>0</v>
      </c>
      <c r="K184" s="1677">
        <f>SUM(K180,K182,K183)</f>
        <v>1204297</v>
      </c>
      <c r="L184" s="1677">
        <f>SUM(L180, L182:L183)</f>
        <v>1337500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739252</v>
      </c>
      <c r="D210" s="1670">
        <f>SUM(D184,D185)</f>
        <v>66023</v>
      </c>
      <c r="E210" s="1670">
        <f>SUM(E184,E185,E196)</f>
        <v>85289</v>
      </c>
      <c r="F210" s="1670">
        <f>SUM(F184,F185)</f>
        <v>157267</v>
      </c>
      <c r="G210" s="1670">
        <f>SUM(G184,G185)</f>
        <v>156466</v>
      </c>
      <c r="H210" s="1670">
        <f>SUM(H184,H185,H196,H208,H209)</f>
        <v>0</v>
      </c>
      <c r="I210" s="1670">
        <f>SUM(I184,I185)</f>
        <v>0</v>
      </c>
      <c r="J210" s="1670">
        <f>SUM(J184,J185)</f>
        <v>0</v>
      </c>
      <c r="K210" s="1671">
        <f>SUM(K184,K185,K196,K208,K209)</f>
        <v>1204297</v>
      </c>
      <c r="L210" s="1670">
        <f>SUM(L184,L185,L196,L208,L209)</f>
        <v>1337500</v>
      </c>
    </row>
    <row r="211" spans="1:14" ht="13.5" thickTop="1" x14ac:dyDescent="0.2">
      <c r="A211" s="2188" t="s">
        <v>996</v>
      </c>
      <c r="B211" s="2189"/>
      <c r="C211" s="618"/>
      <c r="D211" s="618"/>
      <c r="E211" s="618"/>
      <c r="F211" s="618"/>
      <c r="G211" s="618"/>
      <c r="H211" s="618"/>
      <c r="I211" s="616"/>
      <c r="J211" s="616"/>
      <c r="K211" s="1684">
        <f>'Revenues 9-14'!F268-'Expenditures 15-22'!K210</f>
        <v>-142085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91166</v>
      </c>
      <c r="E215" s="616"/>
      <c r="F215" s="616"/>
      <c r="G215" s="616"/>
      <c r="H215" s="616"/>
      <c r="I215" s="616"/>
      <c r="J215" s="616"/>
      <c r="K215" s="1671">
        <f>D215</f>
        <v>91166</v>
      </c>
      <c r="L215" s="466">
        <v>63700</v>
      </c>
    </row>
    <row r="216" spans="1:14" x14ac:dyDescent="0.2">
      <c r="A216" s="1504" t="s">
        <v>163</v>
      </c>
      <c r="B216" s="614" t="s">
        <v>967</v>
      </c>
      <c r="C216" s="616"/>
      <c r="D216" s="467">
        <v>9424</v>
      </c>
      <c r="E216" s="616"/>
      <c r="F216" s="616"/>
      <c r="G216" s="616"/>
      <c r="H216" s="616"/>
      <c r="I216" s="616"/>
      <c r="J216" s="616"/>
      <c r="K216" s="1671">
        <f t="shared" ref="K216:K228" si="19">D216</f>
        <v>9424</v>
      </c>
      <c r="L216" s="466">
        <v>23550</v>
      </c>
    </row>
    <row r="217" spans="1:14" x14ac:dyDescent="0.2">
      <c r="A217" s="1504" t="s">
        <v>164</v>
      </c>
      <c r="B217" s="614">
        <v>1200</v>
      </c>
      <c r="C217" s="616"/>
      <c r="D217" s="466">
        <v>224131</v>
      </c>
      <c r="E217" s="616"/>
      <c r="F217" s="616"/>
      <c r="G217" s="616"/>
      <c r="H217" s="616"/>
      <c r="I217" s="616"/>
      <c r="J217" s="616"/>
      <c r="K217" s="1671">
        <f t="shared" si="19"/>
        <v>224131</v>
      </c>
      <c r="L217" s="466">
        <v>256330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41846</v>
      </c>
      <c r="E219" s="616"/>
      <c r="F219" s="616"/>
      <c r="G219" s="616"/>
      <c r="H219" s="616"/>
      <c r="I219" s="616"/>
      <c r="J219" s="616"/>
      <c r="K219" s="1671">
        <f t="shared" si="19"/>
        <v>41846</v>
      </c>
      <c r="L219" s="466">
        <v>56200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3986</v>
      </c>
      <c r="E222" s="616"/>
      <c r="F222" s="616"/>
      <c r="G222" s="616"/>
      <c r="H222" s="616"/>
      <c r="I222" s="616"/>
      <c r="J222" s="616"/>
      <c r="K222" s="1671">
        <f t="shared" si="19"/>
        <v>3986</v>
      </c>
      <c r="L222" s="466">
        <v>5300</v>
      </c>
    </row>
    <row r="223" spans="1:14" x14ac:dyDescent="0.2">
      <c r="A223" s="1504" t="s">
        <v>963</v>
      </c>
      <c r="B223" s="614">
        <v>1500</v>
      </c>
      <c r="C223" s="616"/>
      <c r="D223" s="466">
        <v>13874</v>
      </c>
      <c r="E223" s="616"/>
      <c r="F223" s="616"/>
      <c r="G223" s="616"/>
      <c r="H223" s="616"/>
      <c r="I223" s="616"/>
      <c r="J223" s="616"/>
      <c r="K223" s="1671">
        <f t="shared" si="19"/>
        <v>13874</v>
      </c>
      <c r="L223" s="466">
        <v>16100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727</v>
      </c>
      <c r="E226" s="616"/>
      <c r="F226" s="616"/>
      <c r="G226" s="616"/>
      <c r="H226" s="616"/>
      <c r="I226" s="616"/>
      <c r="J226" s="616"/>
      <c r="K226" s="1671">
        <f t="shared" si="19"/>
        <v>727</v>
      </c>
      <c r="L226" s="466">
        <v>800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385154</v>
      </c>
      <c r="E229" s="616"/>
      <c r="F229" s="616"/>
      <c r="G229" s="616"/>
      <c r="H229" s="616"/>
      <c r="I229" s="616"/>
      <c r="J229" s="616"/>
      <c r="K229" s="1670">
        <f>SUM(K215:K228)</f>
        <v>385154</v>
      </c>
      <c r="L229" s="1670">
        <f>SUM(L215:L228)</f>
        <v>421980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1335</v>
      </c>
      <c r="E232" s="616"/>
      <c r="F232" s="616"/>
      <c r="G232" s="616"/>
      <c r="H232" s="616"/>
      <c r="I232" s="616"/>
      <c r="J232" s="616"/>
      <c r="K232" s="1671">
        <f t="shared" ref="K232:K237" si="20">D232</f>
        <v>1335</v>
      </c>
      <c r="L232" s="466">
        <v>1600</v>
      </c>
    </row>
    <row r="233" spans="1:12" x14ac:dyDescent="0.2">
      <c r="A233" s="1504" t="s">
        <v>1090</v>
      </c>
      <c r="B233" s="614">
        <v>2120</v>
      </c>
      <c r="C233" s="616"/>
      <c r="D233" s="466">
        <v>15718</v>
      </c>
      <c r="E233" s="616"/>
      <c r="F233" s="616"/>
      <c r="G233" s="616"/>
      <c r="H233" s="616"/>
      <c r="I233" s="616"/>
      <c r="J233" s="616"/>
      <c r="K233" s="1671">
        <f t="shared" si="20"/>
        <v>15718</v>
      </c>
      <c r="L233" s="466">
        <v>17100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v>8216</v>
      </c>
      <c r="E235" s="616"/>
      <c r="F235" s="616"/>
      <c r="G235" s="616"/>
      <c r="H235" s="616"/>
      <c r="I235" s="616"/>
      <c r="J235" s="616"/>
      <c r="K235" s="1671">
        <f t="shared" si="20"/>
        <v>8216</v>
      </c>
      <c r="L235" s="466">
        <v>9900</v>
      </c>
    </row>
    <row r="236" spans="1:12" x14ac:dyDescent="0.2">
      <c r="A236" s="1504" t="s">
        <v>200</v>
      </c>
      <c r="B236" s="614">
        <v>2150</v>
      </c>
      <c r="C236" s="616"/>
      <c r="D236" s="466">
        <v>3161</v>
      </c>
      <c r="E236" s="616"/>
      <c r="F236" s="616"/>
      <c r="G236" s="616"/>
      <c r="H236" s="616"/>
      <c r="I236" s="616"/>
      <c r="J236" s="616"/>
      <c r="K236" s="1671">
        <f t="shared" si="20"/>
        <v>3161</v>
      </c>
      <c r="L236" s="466">
        <v>3900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28430</v>
      </c>
      <c r="E238" s="616"/>
      <c r="F238" s="616"/>
      <c r="G238" s="616"/>
      <c r="H238" s="616"/>
      <c r="I238" s="616"/>
      <c r="J238" s="616"/>
      <c r="K238" s="1670">
        <f>SUM(K232:K237)</f>
        <v>28430</v>
      </c>
      <c r="L238" s="1670">
        <f>SUM(L232:L237)</f>
        <v>32500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3413</v>
      </c>
      <c r="E240" s="616"/>
      <c r="F240" s="616"/>
      <c r="G240" s="616"/>
      <c r="H240" s="616"/>
      <c r="I240" s="616"/>
      <c r="J240" s="616"/>
      <c r="K240" s="1672">
        <f>D240</f>
        <v>3413</v>
      </c>
      <c r="L240" s="481">
        <v>5030</v>
      </c>
    </row>
    <row r="241" spans="1:12" x14ac:dyDescent="0.2">
      <c r="A241" s="1504" t="s">
        <v>815</v>
      </c>
      <c r="B241" s="614">
        <v>2220</v>
      </c>
      <c r="C241" s="616"/>
      <c r="D241" s="466">
        <v>55455</v>
      </c>
      <c r="E241" s="616"/>
      <c r="F241" s="616"/>
      <c r="G241" s="616"/>
      <c r="H241" s="616"/>
      <c r="I241" s="616"/>
      <c r="J241" s="616"/>
      <c r="K241" s="1672">
        <f>D241</f>
        <v>55455</v>
      </c>
      <c r="L241" s="466">
        <v>66100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58868</v>
      </c>
      <c r="E243" s="616"/>
      <c r="F243" s="616"/>
      <c r="G243" s="616"/>
      <c r="H243" s="616"/>
      <c r="I243" s="616"/>
      <c r="J243" s="616"/>
      <c r="K243" s="1670">
        <f>SUM(K240:K242)</f>
        <v>58868</v>
      </c>
      <c r="L243" s="1670">
        <f>SUM(L240:L242)</f>
        <v>71130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832</v>
      </c>
      <c r="E245" s="616"/>
      <c r="F245" s="616"/>
      <c r="G245" s="616"/>
      <c r="H245" s="616"/>
      <c r="I245" s="616"/>
      <c r="J245" s="616"/>
      <c r="K245" s="1672">
        <f>D245</f>
        <v>832</v>
      </c>
      <c r="L245" s="481">
        <v>1150</v>
      </c>
    </row>
    <row r="246" spans="1:12" x14ac:dyDescent="0.2">
      <c r="A246" s="1504" t="s">
        <v>818</v>
      </c>
      <c r="B246" s="614">
        <v>2320</v>
      </c>
      <c r="C246" s="616"/>
      <c r="D246" s="466">
        <v>8917</v>
      </c>
      <c r="E246" s="616"/>
      <c r="F246" s="616"/>
      <c r="G246" s="616"/>
      <c r="H246" s="616"/>
      <c r="I246" s="616"/>
      <c r="J246" s="616"/>
      <c r="K246" s="1672">
        <f t="shared" ref="K246:K256" si="21">D246</f>
        <v>8917</v>
      </c>
      <c r="L246" s="466">
        <v>10500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2298</v>
      </c>
      <c r="E252" s="616"/>
      <c r="F252" s="616"/>
      <c r="G252" s="616"/>
      <c r="H252" s="616"/>
      <c r="I252" s="616"/>
      <c r="J252" s="616"/>
      <c r="K252" s="1672">
        <f t="shared" si="21"/>
        <v>2298</v>
      </c>
      <c r="L252" s="466">
        <v>3500</v>
      </c>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7329</v>
      </c>
      <c r="E254" s="616"/>
      <c r="F254" s="616"/>
      <c r="G254" s="616"/>
      <c r="H254" s="616"/>
      <c r="I254" s="616"/>
      <c r="J254" s="616"/>
      <c r="K254" s="1672">
        <f t="shared" si="21"/>
        <v>7329</v>
      </c>
      <c r="L254" s="466">
        <v>11900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19376</v>
      </c>
      <c r="E257" s="616"/>
      <c r="F257" s="616"/>
      <c r="G257" s="616"/>
      <c r="H257" s="616"/>
      <c r="I257" s="616"/>
      <c r="J257" s="616"/>
      <c r="K257" s="1670">
        <f>SUM(K245:K256)</f>
        <v>19376</v>
      </c>
      <c r="L257" s="1670">
        <f>SUM(L245:L256)</f>
        <v>27050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48244</v>
      </c>
      <c r="E259" s="616"/>
      <c r="F259" s="616"/>
      <c r="G259" s="616"/>
      <c r="H259" s="616"/>
      <c r="I259" s="616"/>
      <c r="J259" s="616"/>
      <c r="K259" s="1672">
        <f>D259</f>
        <v>48244</v>
      </c>
      <c r="L259" s="481">
        <v>64900</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48244</v>
      </c>
      <c r="E261" s="616"/>
      <c r="F261" s="616"/>
      <c r="G261" s="616"/>
      <c r="H261" s="616"/>
      <c r="I261" s="616"/>
      <c r="J261" s="616"/>
      <c r="K261" s="1670">
        <f>SUM(K259:K260)</f>
        <v>48244</v>
      </c>
      <c r="L261" s="1670">
        <f>SUM(L259:L260)</f>
        <v>64900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5027</v>
      </c>
      <c r="E263" s="616"/>
      <c r="F263" s="616"/>
      <c r="G263" s="616"/>
      <c r="H263" s="616"/>
      <c r="I263" s="616"/>
      <c r="J263" s="616"/>
      <c r="K263" s="1672">
        <f>D263</f>
        <v>5027</v>
      </c>
      <c r="L263" s="481">
        <v>9000</v>
      </c>
    </row>
    <row r="264" spans="1:14" x14ac:dyDescent="0.2">
      <c r="A264" s="1504" t="s">
        <v>463</v>
      </c>
      <c r="B264" s="685">
        <v>2520</v>
      </c>
      <c r="C264" s="616"/>
      <c r="D264" s="466">
        <v>16023</v>
      </c>
      <c r="E264" s="616"/>
      <c r="F264" s="616"/>
      <c r="G264" s="616"/>
      <c r="H264" s="616"/>
      <c r="I264" s="616"/>
      <c r="J264" s="616"/>
      <c r="K264" s="1672">
        <f t="shared" ref="K264:K269" si="22">D264</f>
        <v>16023</v>
      </c>
      <c r="L264" s="466">
        <v>18000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139212</v>
      </c>
      <c r="E266" s="616"/>
      <c r="F266" s="616"/>
      <c r="G266" s="616"/>
      <c r="H266" s="616"/>
      <c r="I266" s="616"/>
      <c r="J266" s="616"/>
      <c r="K266" s="1672">
        <f t="shared" si="22"/>
        <v>139212</v>
      </c>
      <c r="L266" s="466">
        <v>207200</v>
      </c>
    </row>
    <row r="267" spans="1:14" x14ac:dyDescent="0.2">
      <c r="A267" s="1504" t="s">
        <v>953</v>
      </c>
      <c r="B267" s="614">
        <v>2550</v>
      </c>
      <c r="C267" s="616"/>
      <c r="D267" s="466">
        <v>119218</v>
      </c>
      <c r="E267" s="616"/>
      <c r="F267" s="616"/>
      <c r="G267" s="616"/>
      <c r="H267" s="616"/>
      <c r="I267" s="616"/>
      <c r="J267" s="616"/>
      <c r="K267" s="1672">
        <f t="shared" si="22"/>
        <v>119218</v>
      </c>
      <c r="L267" s="466">
        <v>133000</v>
      </c>
    </row>
    <row r="268" spans="1:14" x14ac:dyDescent="0.2">
      <c r="A268" s="1504" t="s">
        <v>100</v>
      </c>
      <c r="B268" s="614">
        <v>2560</v>
      </c>
      <c r="C268" s="616"/>
      <c r="D268" s="466">
        <v>6188</v>
      </c>
      <c r="E268" s="616"/>
      <c r="F268" s="616"/>
      <c r="G268" s="616"/>
      <c r="H268" s="616"/>
      <c r="I268" s="616"/>
      <c r="J268" s="616"/>
      <c r="K268" s="1672">
        <f t="shared" si="22"/>
        <v>6188</v>
      </c>
      <c r="L268" s="466">
        <v>9790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285668</v>
      </c>
      <c r="E270" s="616"/>
      <c r="F270" s="616"/>
      <c r="G270" s="616"/>
      <c r="H270" s="616"/>
      <c r="I270" s="616"/>
      <c r="J270" s="616"/>
      <c r="K270" s="1670">
        <f>SUM(K263:K269)</f>
        <v>285668</v>
      </c>
      <c r="L270" s="1670">
        <f>SUM(L263:L269)</f>
        <v>376990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v>100</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100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440586</v>
      </c>
      <c r="E279" s="616"/>
      <c r="F279" s="616"/>
      <c r="G279" s="616"/>
      <c r="H279" s="616"/>
      <c r="I279" s="616"/>
      <c r="J279" s="616"/>
      <c r="K279" s="1677">
        <f>SUM(K238,K243,K257,K261,K270,K277,K278)</f>
        <v>440586</v>
      </c>
      <c r="L279" s="1677">
        <f>SUM(L238,L243,L257,L261,L270,L277,L278)</f>
        <v>572670</v>
      </c>
    </row>
    <row r="280" spans="1:12" ht="15.75" customHeight="1" thickTop="1" thickBot="1" x14ac:dyDescent="0.25">
      <c r="A280" s="1624" t="s">
        <v>875</v>
      </c>
      <c r="B280" s="1613">
        <v>3000</v>
      </c>
      <c r="C280" s="616"/>
      <c r="D280" s="576">
        <v>270</v>
      </c>
      <c r="E280" s="616"/>
      <c r="F280" s="616"/>
      <c r="G280" s="616"/>
      <c r="H280" s="616"/>
      <c r="I280" s="616"/>
      <c r="J280" s="616"/>
      <c r="K280" s="1679">
        <f>D280</f>
        <v>270</v>
      </c>
      <c r="L280" s="576">
        <v>430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826010</v>
      </c>
      <c r="E295" s="616"/>
      <c r="F295" s="616"/>
      <c r="G295" s="616"/>
      <c r="H295" s="1670">
        <f>H293</f>
        <v>0</v>
      </c>
      <c r="I295" s="616"/>
      <c r="J295" s="616"/>
      <c r="K295" s="1670">
        <f>SUM(K229,K279,K280,K285,K293,K294)</f>
        <v>826010</v>
      </c>
      <c r="L295" s="1670">
        <f>SUM(L229,L279,L280,L285,L293,L294)</f>
        <v>995080</v>
      </c>
    </row>
    <row r="296" spans="1:14" ht="13.5" thickTop="1" x14ac:dyDescent="0.2">
      <c r="A296" s="2188" t="s">
        <v>996</v>
      </c>
      <c r="B296" s="2189"/>
      <c r="C296" s="616"/>
      <c r="D296" s="618"/>
      <c r="E296" s="616"/>
      <c r="F296" s="616"/>
      <c r="G296" s="616"/>
      <c r="H296" s="687"/>
      <c r="I296" s="616"/>
      <c r="J296" s="616"/>
      <c r="K296" s="1684">
        <f>'Revenues 9-14'!G268-'Expenditures 15-22'!K295</f>
        <v>-296997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451332</v>
      </c>
      <c r="F301" s="466">
        <v>28464</v>
      </c>
      <c r="G301" s="466">
        <v>4050</v>
      </c>
      <c r="H301" s="466"/>
      <c r="I301" s="467"/>
      <c r="J301" s="467"/>
      <c r="K301" s="1671">
        <f>SUM(C301:J301)</f>
        <v>483846</v>
      </c>
      <c r="L301" s="467">
        <v>1175000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451332</v>
      </c>
      <c r="F303" s="1677">
        <f t="shared" si="23"/>
        <v>28464</v>
      </c>
      <c r="G303" s="1677">
        <f t="shared" si="23"/>
        <v>4050</v>
      </c>
      <c r="H303" s="1677">
        <f t="shared" si="23"/>
        <v>0</v>
      </c>
      <c r="I303" s="1677">
        <f t="shared" si="23"/>
        <v>0</v>
      </c>
      <c r="J303" s="1677">
        <f t="shared" si="23"/>
        <v>0</v>
      </c>
      <c r="K303" s="1677">
        <f t="shared" si="23"/>
        <v>483846</v>
      </c>
      <c r="L303" s="1677">
        <f t="shared" si="23"/>
        <v>1175000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451332</v>
      </c>
      <c r="F312" s="1670">
        <f>SUM(F303)</f>
        <v>28464</v>
      </c>
      <c r="G312" s="1670">
        <f>SUM(G303)</f>
        <v>4050</v>
      </c>
      <c r="H312" s="1670">
        <f>SUM(H303,H310)</f>
        <v>0</v>
      </c>
      <c r="I312" s="1670">
        <f>SUM(I303)</f>
        <v>0</v>
      </c>
      <c r="J312" s="1670">
        <f>SUM(J303)</f>
        <v>0</v>
      </c>
      <c r="K312" s="1670">
        <f>SUM(K303,K310,K311)</f>
        <v>483846</v>
      </c>
      <c r="L312" s="1670">
        <f>SUM(L303,L310,L311)</f>
        <v>1175000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309128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256831</v>
      </c>
      <c r="F320" s="467"/>
      <c r="G320" s="467"/>
      <c r="H320" s="467"/>
      <c r="I320" s="467"/>
      <c r="J320" s="467"/>
      <c r="K320" s="1671">
        <f t="shared" ref="K320:K327" si="24">SUM(C320:J320)</f>
        <v>256831</v>
      </c>
      <c r="L320" s="467">
        <v>300000</v>
      </c>
      <c r="M320" s="665"/>
      <c r="N320" s="665"/>
    </row>
    <row r="321" spans="1:14" s="674" customFormat="1" x14ac:dyDescent="0.2">
      <c r="A321" s="1519" t="s">
        <v>300</v>
      </c>
      <c r="B321" s="697" t="s">
        <v>283</v>
      </c>
      <c r="C321" s="467"/>
      <c r="D321" s="467"/>
      <c r="E321" s="467">
        <v>1202</v>
      </c>
      <c r="F321" s="467"/>
      <c r="G321" s="467"/>
      <c r="H321" s="467"/>
      <c r="I321" s="467"/>
      <c r="J321" s="467"/>
      <c r="K321" s="1671">
        <f t="shared" si="24"/>
        <v>1202</v>
      </c>
      <c r="L321" s="467">
        <v>20000</v>
      </c>
      <c r="M321" s="665"/>
      <c r="N321" s="665"/>
    </row>
    <row r="322" spans="1:14" s="674" customFormat="1" x14ac:dyDescent="0.2">
      <c r="A322" s="1519" t="s">
        <v>238</v>
      </c>
      <c r="B322" s="697" t="s">
        <v>284</v>
      </c>
      <c r="C322" s="467"/>
      <c r="D322" s="467"/>
      <c r="E322" s="467">
        <v>169664</v>
      </c>
      <c r="F322" s="467"/>
      <c r="G322" s="467"/>
      <c r="H322" s="467"/>
      <c r="I322" s="467"/>
      <c r="J322" s="467"/>
      <c r="K322" s="1671">
        <f t="shared" si="24"/>
        <v>169664</v>
      </c>
      <c r="L322" s="467">
        <v>150000</v>
      </c>
      <c r="M322" s="665"/>
      <c r="N322" s="665"/>
    </row>
    <row r="323" spans="1:14" s="674" customFormat="1" x14ac:dyDescent="0.2">
      <c r="A323" s="1519" t="s">
        <v>702</v>
      </c>
      <c r="B323" s="697" t="s">
        <v>285</v>
      </c>
      <c r="C323" s="467">
        <v>62572</v>
      </c>
      <c r="D323" s="467">
        <v>11675</v>
      </c>
      <c r="E323" s="467"/>
      <c r="F323" s="467"/>
      <c r="G323" s="467"/>
      <c r="H323" s="467"/>
      <c r="I323" s="467"/>
      <c r="J323" s="467">
        <v>2848</v>
      </c>
      <c r="K323" s="1671">
        <f t="shared" si="24"/>
        <v>77095</v>
      </c>
      <c r="L323" s="467">
        <v>87100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159201</v>
      </c>
      <c r="D325" s="467">
        <v>33193</v>
      </c>
      <c r="E325" s="467">
        <v>199418</v>
      </c>
      <c r="F325" s="467">
        <v>18153</v>
      </c>
      <c r="G325" s="467"/>
      <c r="H325" s="467"/>
      <c r="I325" s="467"/>
      <c r="J325" s="467"/>
      <c r="K325" s="1671">
        <f t="shared" si="24"/>
        <v>409965</v>
      </c>
      <c r="L325" s="467">
        <v>502900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96685</v>
      </c>
      <c r="F327" s="467"/>
      <c r="G327" s="467"/>
      <c r="H327" s="467"/>
      <c r="I327" s="467"/>
      <c r="J327" s="467"/>
      <c r="K327" s="1671">
        <f t="shared" si="24"/>
        <v>96685</v>
      </c>
      <c r="L327" s="467">
        <v>125000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221773</v>
      </c>
      <c r="D330" s="1670">
        <f t="shared" ref="D330:J330" si="25">SUM(D319:D329)</f>
        <v>44868</v>
      </c>
      <c r="E330" s="1670">
        <f t="shared" si="25"/>
        <v>723800</v>
      </c>
      <c r="F330" s="1670">
        <f t="shared" si="25"/>
        <v>18153</v>
      </c>
      <c r="G330" s="1670">
        <f t="shared" si="25"/>
        <v>0</v>
      </c>
      <c r="H330" s="1670">
        <f t="shared" si="25"/>
        <v>0</v>
      </c>
      <c r="I330" s="1670">
        <f t="shared" si="25"/>
        <v>0</v>
      </c>
      <c r="J330" s="1670">
        <f t="shared" si="25"/>
        <v>2848</v>
      </c>
      <c r="K330" s="1670">
        <f>SUM(K319:K329)</f>
        <v>1011442</v>
      </c>
      <c r="L330" s="1670">
        <f>SUM(L319:L329)</f>
        <v>1185000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221773</v>
      </c>
      <c r="D342" s="1670">
        <f>SUM(D330)</f>
        <v>44868</v>
      </c>
      <c r="E342" s="1670">
        <f>SUM(E330)</f>
        <v>723800</v>
      </c>
      <c r="F342" s="1670">
        <f>SUM(F330)</f>
        <v>18153</v>
      </c>
      <c r="G342" s="1670">
        <f>SUM(G330)</f>
        <v>0</v>
      </c>
      <c r="H342" s="1670">
        <f>SUM(H330,H334,H340)</f>
        <v>0</v>
      </c>
      <c r="I342" s="1670">
        <f>SUM(I330)</f>
        <v>0</v>
      </c>
      <c r="J342" s="1670">
        <f>SUM(J330)</f>
        <v>2848</v>
      </c>
      <c r="K342" s="1670">
        <f>SUM(K330,K334,K340)</f>
        <v>1011442</v>
      </c>
      <c r="L342" s="1677">
        <f>SUM(L330,L340,L341)</f>
        <v>1185000</v>
      </c>
    </row>
    <row r="343" spans="1:14" ht="12.75" customHeight="1" thickTop="1" x14ac:dyDescent="0.2">
      <c r="A343" s="2174" t="s">
        <v>996</v>
      </c>
      <c r="B343" s="2175"/>
      <c r="C343" s="616"/>
      <c r="D343" s="616"/>
      <c r="E343" s="616"/>
      <c r="F343" s="616"/>
      <c r="G343" s="616"/>
      <c r="H343" s="616"/>
      <c r="I343" s="616"/>
      <c r="J343" s="616"/>
      <c r="K343" s="1684">
        <f>'Revenues 9-14'!J268-'Expenditures 15-22'!K342</f>
        <v>-438390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v>12549</v>
      </c>
      <c r="D349" s="466">
        <v>1741</v>
      </c>
      <c r="E349" s="466">
        <v>1797304</v>
      </c>
      <c r="F349" s="466">
        <v>7630</v>
      </c>
      <c r="G349" s="466">
        <v>2730</v>
      </c>
      <c r="H349" s="466"/>
      <c r="I349" s="467"/>
      <c r="J349" s="467"/>
      <c r="K349" s="1671">
        <f>SUM(C349:J349)</f>
        <v>1821954</v>
      </c>
      <c r="L349" s="466">
        <v>2902300</v>
      </c>
    </row>
    <row r="350" spans="1:14" ht="12.75" customHeight="1" thickBot="1" x14ac:dyDescent="0.25">
      <c r="A350" s="1668" t="s">
        <v>719</v>
      </c>
      <c r="B350" s="1669" t="s">
        <v>35</v>
      </c>
      <c r="C350" s="1670">
        <f>SUM(C348:C349)</f>
        <v>12549</v>
      </c>
      <c r="D350" s="1670">
        <f t="shared" ref="D350:L350" si="26">SUM(D348:D349)</f>
        <v>1741</v>
      </c>
      <c r="E350" s="1670">
        <f t="shared" si="26"/>
        <v>1797304</v>
      </c>
      <c r="F350" s="1670">
        <f t="shared" si="26"/>
        <v>7630</v>
      </c>
      <c r="G350" s="1670">
        <f t="shared" si="26"/>
        <v>2730</v>
      </c>
      <c r="H350" s="1670">
        <f t="shared" si="26"/>
        <v>0</v>
      </c>
      <c r="I350" s="1670">
        <f t="shared" si="26"/>
        <v>0</v>
      </c>
      <c r="J350" s="1670">
        <f t="shared" si="26"/>
        <v>0</v>
      </c>
      <c r="K350" s="1670">
        <f t="shared" si="26"/>
        <v>1821954</v>
      </c>
      <c r="L350" s="1670">
        <f t="shared" si="26"/>
        <v>2902300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12549</v>
      </c>
      <c r="D352" s="1670">
        <f t="shared" ref="D352:L352" si="27">SUM(D350:D351)</f>
        <v>1741</v>
      </c>
      <c r="E352" s="1670">
        <f t="shared" si="27"/>
        <v>1797304</v>
      </c>
      <c r="F352" s="1670">
        <f t="shared" si="27"/>
        <v>7630</v>
      </c>
      <c r="G352" s="1670">
        <f t="shared" si="27"/>
        <v>2730</v>
      </c>
      <c r="H352" s="1670">
        <f t="shared" si="27"/>
        <v>0</v>
      </c>
      <c r="I352" s="1670">
        <f t="shared" si="27"/>
        <v>0</v>
      </c>
      <c r="J352" s="1670">
        <f t="shared" si="27"/>
        <v>0</v>
      </c>
      <c r="K352" s="1670">
        <f t="shared" si="27"/>
        <v>1821954</v>
      </c>
      <c r="L352" s="1670">
        <f t="shared" si="27"/>
        <v>2902300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12549</v>
      </c>
      <c r="D367" s="1670">
        <f t="shared" si="28"/>
        <v>1741</v>
      </c>
      <c r="E367" s="1670">
        <f t="shared" si="28"/>
        <v>1797304</v>
      </c>
      <c r="F367" s="1670">
        <f t="shared" si="28"/>
        <v>7630</v>
      </c>
      <c r="G367" s="1670">
        <f t="shared" si="28"/>
        <v>2730</v>
      </c>
      <c r="H367" s="1670">
        <f t="shared" si="28"/>
        <v>0</v>
      </c>
      <c r="I367" s="1670">
        <f t="shared" si="28"/>
        <v>0</v>
      </c>
      <c r="J367" s="1670">
        <f t="shared" si="28"/>
        <v>0</v>
      </c>
      <c r="K367" s="1670">
        <f t="shared" si="28"/>
        <v>1821954</v>
      </c>
      <c r="L367" s="1670">
        <f t="shared" si="28"/>
        <v>2902300</v>
      </c>
    </row>
    <row r="368" spans="1:14" ht="13.5" thickTop="1" x14ac:dyDescent="0.2">
      <c r="A368" s="2188" t="s">
        <v>996</v>
      </c>
      <c r="B368" s="2189"/>
      <c r="C368" s="654"/>
      <c r="D368" s="654"/>
      <c r="E368" s="626"/>
      <c r="F368" s="626"/>
      <c r="G368" s="626"/>
      <c r="H368" s="626"/>
      <c r="I368" s="626"/>
      <c r="J368" s="623"/>
      <c r="K368" s="1671">
        <f>'Revenues 9-14'!K268-'Expenditures 15-22'!K367</f>
        <v>-1733522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sharepoint/v3"/>
    <ds:schemaRef ds:uri="http://purl.org/dc/dcmitype/"/>
    <ds:schemaRef ds:uri="d21dc803-237d-4c68-8692-8d731fd29118"/>
    <ds:schemaRef ds:uri="http://schemas.microsoft.com/office/2006/documentManagement/types"/>
    <ds:schemaRef ds:uri="http://purl.org/dc/elements/1.1/"/>
    <ds:schemaRef ds:uri="4d435f69-8686-490b-bd6d-b153bf22ab50"/>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(2)</vt:lpstr>
      <vt:lpstr> SEFA (3)</vt:lpstr>
      <vt:lpstr>SEFA NOTES</vt:lpstr>
      <vt:lpstr>SF&amp;QC Sec-1</vt:lpstr>
      <vt:lpstr>SF&amp;QC Sec-2</vt:lpstr>
      <vt:lpstr>SF&amp;QC Sec-3</vt:lpstr>
      <vt:lpstr>SSPAF</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2019-09-23T14:54:18Z</cp:lastPrinted>
  <dcterms:created xsi:type="dcterms:W3CDTF">2003-10-29T19:06:34Z</dcterms:created>
  <dcterms:modified xsi:type="dcterms:W3CDTF">2019-11-04T21:45:28Z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86466f54-f8b9-4c3e-b0d6-6215e2e3e4f5</vt:lpwstr>
  </property>
</Properties>
</file>