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1945A371-34C7-4946-8462-3B61A5B64631}"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2019-001" sheetId="175" r:id="rId31"/>
    <sheet name="SF&amp;QC Sec-3" sheetId="176" r:id="rId32"/>
    <sheet name="SSPAF" sheetId="177" r:id="rId33"/>
    <sheet name="CAP 2019-001" sheetId="186" r:id="rId34"/>
  </sheets>
  <definedNames>
    <definedName name="CAP">#REF!</definedName>
    <definedName name="pass" localSheetId="33">#REF!</definedName>
    <definedName name="pass">#REF!</definedName>
    <definedName name="pass1" localSheetId="33">#REF!</definedName>
    <definedName name="pass1">#REF!</definedName>
    <definedName name="pass2" localSheetId="33">#REF!</definedName>
    <definedName name="pass2">#REF!</definedName>
    <definedName name="pass3">#REF!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#REF!</definedName>
    <definedName name="SCHADDRS" localSheetId="27">#REF!</definedName>
    <definedName name="SCHADDRS" localSheetId="30">#REF!</definedName>
    <definedName name="SCHADDRS" localSheetId="17">#REF!</definedName>
    <definedName name="SCHADDRS" localSheetId="33">#REF!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30">#REF!</definedName>
    <definedName name="SCHCTY" localSheetId="17">#REF!</definedName>
    <definedName name="SCHCTY" localSheetId="33">#REF!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30">#REF!</definedName>
    <definedName name="SCHNMBR" localSheetId="17">#REF!</definedName>
    <definedName name="SCHNMBR" localSheetId="33">#REF!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30">#REF!</definedName>
    <definedName name="SCHNME" localSheetId="17">#REF!</definedName>
    <definedName name="SCHNME" localSheetId="33">#REF!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1">#REF!</definedName>
    <definedName name="SCHNME" localSheetId="25">#REF!</definedName>
    <definedName name="SCHNME" localSheetId="24">#REF!</definedName>
    <definedName name="SCHNME" localSheetId="32">#REF!</definedName>
    <definedName name="SCHNME">#REF!</definedName>
    <definedName name="SCHNME1">#REF!</definedName>
    <definedName name="SUPT" localSheetId="27">#REF!</definedName>
    <definedName name="SUPT" localSheetId="30">#REF!</definedName>
    <definedName name="SUPT" localSheetId="17">#REF!</definedName>
    <definedName name="SUPT" localSheetId="33">#REF!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1">#REF!</definedName>
    <definedName name="SUPT" localSheetId="25">#REF!</definedName>
    <definedName name="SUPT" localSheetId="24">#REF!</definedName>
    <definedName name="SUPT" localSheetId="32">#REF!</definedName>
    <definedName name="SUPT">#REF!</definedName>
    <definedName name="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2" i="186" l="1"/>
  <c r="B1" i="186"/>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D7765" i="106" s="1"/>
  <c r="B7764" i="106"/>
  <c r="D7764" i="106" s="1"/>
  <c r="J85" i="28"/>
  <c r="B7758" i="106" s="1"/>
  <c r="D7758" i="106" s="1"/>
  <c r="J88" i="28"/>
  <c r="K6" i="29"/>
  <c r="B7763" i="106" s="1"/>
  <c r="D7763" i="106" s="1"/>
  <c r="B7762" i="106"/>
  <c r="K12" i="12"/>
  <c r="K23" i="12"/>
  <c r="J12" i="12"/>
  <c r="J21" i="12"/>
  <c r="J23" i="12" s="1"/>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K82" i="29"/>
  <c r="B2977" i="106" s="1"/>
  <c r="D2977" i="106" s="1"/>
  <c r="K83" i="29"/>
  <c r="B2978" i="106" s="1"/>
  <c r="D2978" i="106" s="1"/>
  <c r="K93" i="29"/>
  <c r="K94" i="29"/>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B7078" i="106" s="1"/>
  <c r="D7078" i="106"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K251" i="29"/>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J31" i="8" s="1"/>
  <c r="J49" i="8" s="1"/>
  <c r="B4172" i="106" s="1"/>
  <c r="D4172" i="106" s="1"/>
  <c r="I32" i="8"/>
  <c r="J32" i="8" s="1"/>
  <c r="I33" i="8"/>
  <c r="J33" i="8" s="1"/>
  <c r="I34" i="8"/>
  <c r="J34" i="8" s="1"/>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4" i="106"/>
  <c r="D7004" i="106" s="1"/>
  <c r="B7006" i="106"/>
  <c r="D7006" i="106" s="1"/>
  <c r="B7008" i="106"/>
  <c r="D7008" i="106" s="1"/>
  <c r="B7009" i="106"/>
  <c r="D7009"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4" i="106"/>
  <c r="D7074" i="106" s="1"/>
  <c r="B7075" i="106"/>
  <c r="D7075" i="106" s="1"/>
  <c r="B7077" i="106"/>
  <c r="D7077" i="106" s="1"/>
  <c r="B7079" i="106"/>
  <c r="D7079" i="106" s="1"/>
  <c r="B7080" i="106"/>
  <c r="D7080" i="106" s="1"/>
  <c r="B7081" i="106"/>
  <c r="D7081" i="106" s="1"/>
  <c r="B7083" i="106"/>
  <c r="D7083" i="106" s="1"/>
  <c r="B7085" i="106"/>
  <c r="D7085" i="106" s="1"/>
  <c r="B7086" i="106"/>
  <c r="D7086" i="106" s="1"/>
  <c r="B7087" i="106"/>
  <c r="D7087" i="106" s="1"/>
  <c r="B7088" i="106"/>
  <c r="D7088"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6" i="108"/>
  <c r="F26" i="108"/>
  <c r="E27" i="108"/>
  <c r="G27" i="108"/>
  <c r="F31" i="108"/>
  <c r="G28" i="108"/>
  <c r="E30" i="108"/>
  <c r="G30" i="108"/>
  <c r="D31" i="108"/>
  <c r="E31" i="108"/>
  <c r="G31"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F67" i="34"/>
  <c r="C68" i="34"/>
  <c r="D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28" i="118"/>
  <c r="H33" i="118"/>
  <c r="D22" i="37"/>
  <c r="J22" i="37"/>
  <c r="D24" i="37"/>
  <c r="B4270" i="106" s="1"/>
  <c r="D4270" i="106" s="1"/>
  <c r="L5" i="11"/>
  <c r="B2056" i="106" s="1"/>
  <c r="D2056" i="106" s="1"/>
  <c r="D68" i="36" l="1"/>
  <c r="F69" i="34"/>
  <c r="F64" i="34"/>
  <c r="J210" i="29"/>
  <c r="B7072" i="106" s="1"/>
  <c r="D7072" i="106" s="1"/>
  <c r="I210" i="29"/>
  <c r="B7071" i="106" s="1"/>
  <c r="D7071" i="106" s="1"/>
  <c r="H76" i="4"/>
  <c r="B3298" i="106" s="1"/>
  <c r="D3298" i="106" s="1"/>
  <c r="D54" i="36"/>
  <c r="L15" i="11"/>
  <c r="B3459" i="106" s="1"/>
  <c r="D3459" i="106" s="1"/>
  <c r="F50" i="34"/>
  <c r="F46" i="34"/>
  <c r="F36" i="108"/>
  <c r="F49" i="34"/>
  <c r="D69" i="36"/>
  <c r="L367" i="29"/>
  <c r="H365" i="29"/>
  <c r="B7242" i="106" s="1"/>
  <c r="D7242" i="106" s="1"/>
  <c r="J352" i="29"/>
  <c r="J367" i="29" s="1"/>
  <c r="B7245" i="106" s="1"/>
  <c r="D7245" i="106" s="1"/>
  <c r="C352" i="29"/>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B3622" i="106" s="1"/>
  <c r="D3622" i="106" s="1"/>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J24" i="12"/>
  <c r="B7730" i="106"/>
  <c r="D7730" i="106" s="1"/>
  <c r="B7270" i="106"/>
  <c r="D7256" i="106" l="1"/>
  <c r="D7252" i="106"/>
  <c r="J16" i="4"/>
  <c r="B6226" i="106" s="1"/>
  <c r="D6226" i="106" s="1"/>
  <c r="D7251" i="106"/>
  <c r="D7254" i="106"/>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3678" i="106" s="1"/>
  <c r="D3678" i="106" s="1"/>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F8" i="4"/>
  <c r="F10" i="4" s="1"/>
  <c r="B4125" i="106" s="1"/>
  <c r="D4125" i="106" s="1"/>
  <c r="K17" i="4"/>
  <c r="B3575" i="106" s="1"/>
  <c r="D3575" i="106" s="1"/>
  <c r="J19" i="4"/>
  <c r="B6229" i="106" s="1"/>
  <c r="D6229" i="106" s="1"/>
  <c r="J20" i="4"/>
  <c r="B6230" i="106" s="1"/>
  <c r="D6230" i="106" s="1"/>
  <c r="J10" i="4"/>
  <c r="B6225" i="106" s="1"/>
  <c r="D6225" i="106" s="1"/>
  <c r="B6223" i="106"/>
  <c r="D6223"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K20" i="4"/>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D10" i="146" l="1"/>
  <c r="F8" i="146"/>
  <c r="F175" i="34"/>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<sst xmlns="http://schemas.openxmlformats.org/spreadsheetml/2006/main" count="5121" uniqueCount="2132">
  <si>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</si>
  <si>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</si>
  <si>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</si>
  <si>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</si>
  <si>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</si>
  <si>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</si>
  <si>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</si>
  <si>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</si>
  <si>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</si>
  <si>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</si>
  <si>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</si>
  <si>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</si>
  <si>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</si>
  <si>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</si>
  <si>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</si>
  <si>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</si>
  <si>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</si>
  <si>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</si>
  <si>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</si>
  <si>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</si>
  <si>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</si>
  <si>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</si>
  <si>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</si>
  <si>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</si>
  <si>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</si>
  <si>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</si>
  <si>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</si>
  <si>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</si>
  <si>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</si>
  <si>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</si>
  <si>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</si>
  <si>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</si>
  <si>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</si>
  <si>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</si>
  <si>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</si>
  <si>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</si>
  <si>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</si>
  <si>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</si>
  <si>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</si>
  <si>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</si>
  <si>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</si>
  <si>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</si>
  <si>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</si>
  <si>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</si>
  <si>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</si>
  <si>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</si>
  <si>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</si>
  <si>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</si>
  <si>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</si>
  <si>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</si>
  <si>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</si>
  <si>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</si>
  <si>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</si>
  <si>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</si>
  <si>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</si>
  <si>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</si>
  <si>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</si>
  <si>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</si>
  <si>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</si>
  <si>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</si>
  <si>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</si>
  <si>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</si>
  <si>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</si>
  <si>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</si>
  <si>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</si>
  <si>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</si>
  <si>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</si>
  <si>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</si>
  <si>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</si>
  <si>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</si>
  <si>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</si>
  <si>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</si>
  <si>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</si>
  <si>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</si>
  <si>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</si>
  <si>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</si>
  <si>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</si>
  <si>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</si>
  <si>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</si>
  <si>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</si>
  <si>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</si>
  <si>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</si>
  <si>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</si>
  <si>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</si>
  <si>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</si>
  <si>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</si>
  <si>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</si>
  <si>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</si>
  <si>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</si>
  <si>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</si>
  <si>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</si>
  <si>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</si>
  <si>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</si>
  <si>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</si>
  <si>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</si>
  <si>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</si>
  <si>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</si>
  <si>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</si>
  <si>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</si>
  <si>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</si>
  <si>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</si>
  <si>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</si>
  <si>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</si>
  <si>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</si>
  <si>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</si>
  <si>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</si>
  <si>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</si>
  <si>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</si>
  <si>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</si>
  <si>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</si>
  <si>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</si>
  <si>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</si>
  <si>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</si>
  <si>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</si>
  <si>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</si>
  <si>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</si>
  <si>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</si>
  <si>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</si>
  <si>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</si>
  <si>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</si>
  <si>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</si>
  <si>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</si>
  <si>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</si>
  <si>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</si>
  <si>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</si>
  <si>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</si>
  <si>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</si>
  <si>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</si>
  <si>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</si>
  <si>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</si>
  <si>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</si>
  <si>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</si>
  <si>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</si>
  <si>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</si>
  <si>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</si>
  <si>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</si>
  <si>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</si>
  <si>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</si>
  <si>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</si>
  <si>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</si>
  <si>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</si>
  <si>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</si>
  <si>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</si>
  <si>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</si>
  <si>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</si>
  <si>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</si>
  <si>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</si>
  <si>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</si>
  <si>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</si>
  <si>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</si>
  <si>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</si>
  <si>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</si>
  <si>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</si>
  <si>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</si>
  <si>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</si>
  <si>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</si>
  <si>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</si>
  <si>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</si>
  <si>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</si>
  <si>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</si>
  <si>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</si>
  <si>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</si>
  <si>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</si>
  <si>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</si>
  <si>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</si>
  <si>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</si>
  <si>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</si>
  <si>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</si>
  <si>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</si>
  <si>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</si>
  <si>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</si>
  <si>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</si>
  <si>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</si>
  <si>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</si>
  <si>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</si>
  <si>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</si>
  <si>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</si>
  <si>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</si>
  <si>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</si>
  <si>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</si>
  <si>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</si>
  <si>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</si>
  <si>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</si>
  <si>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</si>
  <si>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</si>
  <si>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</si>
  <si>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</si>
  <si>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</si>
  <si>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</si>
  <si>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</si>
  <si>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</si>
  <si>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</si>
  <si>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</si>
  <si>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</si>
  <si>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</si>
  <si>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</si>
  <si>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</si>
  <si>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</si>
  <si>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</si>
  <si>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</si>
  <si>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</si>
  <si>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</si>
  <si>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</si>
  <si>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</si>
  <si>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</si>
  <si>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</si>
  <si>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</si>
  <si>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</si>
  <si>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</si>
  <si>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</si>
  <si>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</si>
  <si>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</si>
  <si>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</si>
  <si>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</si>
  <si>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</si>
  <si>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</si>
  <si>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</si>
  <si>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</si>
  <si>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</si>
  <si>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</si>
  <si>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</si>
  <si>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</si>
  <si>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</si>
  <si>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</si>
  <si>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</si>
  <si>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</si>
  <si>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</si>
  <si>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</si>
  <si>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</si>
  <si>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</si>
  <si>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</si>
  <si>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</si>
  <si>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</si>
  <si>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</si>
  <si>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</si>
  <si>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</si>
  <si>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</si>
  <si>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</si>
  <si>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</si>
  <si>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</si>
  <si>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</si>
  <si>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</si>
  <si>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</si>
  <si>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</si>
  <si>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</si>
  <si>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</si>
  <si>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</si>
  <si>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</si>
  <si>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</si>
  <si>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</si>
  <si>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</si>
  <si>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</si>
  <si>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</si>
  <si>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</si>
  <si>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</si>
  <si>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</si>
  <si>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</si>
  <si>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</si>
  <si>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</si>
  <si>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</si>
  <si>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</si>
  <si>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</si>
  <si>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</si>
  <si>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</si>
  <si>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</si>
  <si>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</si>
  <si>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</si>
  <si>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</si>
  <si>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</si>
  <si>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</si>
  <si>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</si>
  <si>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</si>
  <si>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</si>
  <si>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</si>
  <si>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</si>
  <si>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</si>
  <si>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</si>
  <si>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</si>
  <si>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</si>
  <si>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</si>
  <si>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</si>
  <si>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</si>
  <si>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</si>
  <si>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</si>
  <si>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</si>
  <si>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</si>
  <si>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</si>
  <si>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</si>
  <si>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</si>
  <si>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</si>
  <si>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</si>
  <si>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</si>
  <si>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</si>
  <si>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</si>
  <si>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</si>
  <si>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</si>
  <si>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</si>
  <si>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</si>
  <si>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</si>
  <si>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</si>
  <si>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</si>
  <si>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</si>
  <si>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</si>
  <si>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</si>
  <si>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</si>
  <si>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</si>
  <si>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</si>
  <si>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</si>
  <si>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</si>
  <si>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</si>
  <si>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</si>
  <si>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</si>
  <si>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</si>
  <si>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</si>
  <si>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</si>
  <si>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</si>
  <si>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</si>
  <si>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</si>
  <si>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</si>
  <si>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</si>
  <si>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</si>
  <si>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</si>
  <si>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</si>
  <si>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</si>
  <si>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</si>
  <si>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</si>
  <si>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</si>
  <si>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</si>
  <si>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</si>
  <si>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</si>
  <si>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</si>
  <si>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</si>
  <si>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</si>
  <si>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</si>
  <si>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</si>
  <si>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</si>
  <si>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</si>
  <si>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</si>
  <si>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</si>
  <si>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</si>
  <si>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</si>
  <si>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</si>
  <si>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</si>
  <si>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</si>
  <si>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</si>
  <si>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</si>
  <si>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</si>
  <si>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</si>
  <si>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</si>
  <si>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</si>
  <si>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</si>
  <si>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</si>
  <si>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</si>
  <si>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</si>
  <si>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</si>
  <si>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</si>
  <si>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</si>
  <si>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</si>
  <si>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</si>
  <si>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</si>
  <si>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</si>
  <si>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</si>
  <si>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</si>
  <si>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</si>
  <si>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</si>
  <si>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</si>
  <si>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</si>
  <si>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</si>
  <si>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</si>
  <si>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</si>
  <si>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</si>
  <si>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</si>
  <si>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</si>
  <si>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</si>
  <si>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</si>
  <si>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</si>
  <si>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</si>
  <si>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</si>
  <si>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</si>
  <si>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</si>
  <si>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</si>
  <si>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</si>
  <si>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</si>
  <si>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</si>
  <si>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</si>
  <si>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</si>
  <si>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</si>
  <si>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</si>
  <si>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</si>
  <si>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</si>
  <si>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</si>
  <si>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</si>
  <si>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</si>
  <si>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</si>
  <si>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</si>
  <si>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</si>
  <si>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</si>
  <si>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</si>
  <si>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</si>
  <si>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</si>
  <si>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</si>
  <si>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</si>
  <si>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</si>
  <si>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</si>
  <si>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</si>
  <si>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</si>
  <si>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</si>
  <si>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</si>
  <si>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</si>
  <si>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</si>
  <si>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</si>
  <si>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</si>
  <si>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</si>
  <si>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</si>
  <si>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</si>
  <si>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</si>
  <si>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</si>
  <si>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</si>
  <si>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</si>
  <si>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</si>
  <si>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</si>
  <si>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</si>
  <si>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</si>
  <si>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</si>
  <si>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</si>
  <si>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</si>
  <si>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</si>
  <si>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</si>
  <si>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</si>
  <si>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</si>
  <si>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</si>
  <si>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</si>
  <si>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</si>
  <si>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</si>
  <si>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</si>
  <si>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</si>
  <si>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</si>
  <si>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</si>
  <si>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</si>
  <si>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</si>
  <si>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</si>
  <si>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</si>
  <si>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</si>
  <si>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</si>
  <si>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</si>
  <si>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</si>
  <si>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</si>
  <si>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</si>
  <si>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</si>
  <si>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</si>
  <si>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</si>
  <si>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</si>
  <si>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</si>
  <si>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</si>
  <si>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</si>
  <si>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</si>
  <si>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</si>
  <si>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</si>
  <si>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</si>
  <si>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</si>
  <si>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</si>
  <si>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</si>
  <si>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</si>
  <si>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</si>
  <si>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</si>
  <si>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</si>
  <si>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</si>
  <si>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</si>
  <si>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</si>
  <si>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</si>
  <si>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</si>
  <si>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</si>
  <si>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</si>
  <si>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</si>
  <si>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</si>
  <si>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</si>
  <si>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</si>
  <si>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</si>
  <si>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</si>
  <si>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</si>
  <si>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</si>
  <si>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</si>
  <si>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</si>
  <si>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</si>
  <si>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</si>
  <si>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</si>
  <si>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</si>
  <si>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</si>
  <si>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</si>
  <si>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</si>
  <si>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</si>
  <si>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</si>
  <si>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</si>
  <si>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</si>
  <si>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</si>
  <si>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</si>
  <si>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</si>
  <si>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</si>
  <si>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</si>
  <si>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</si>
  <si>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</si>
  <si>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</si>
  <si>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</si>
  <si>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</si>
  <si>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</si>
  <si>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</si>
  <si>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</si>
  <si>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</si>
  <si>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</si>
  <si>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</si>
  <si>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</si>
  <si>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</si>
  <si>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</si>
  <si>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</si>
  <si>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</si>
  <si>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</si>
  <si>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</si>
  <si>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</si>
  <si>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</si>
  <si>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</si>
  <si>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</si>
  <si>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</si>
  <si>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</si>
  <si>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</si>
  <si>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</si>
  <si>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</si>
  <si>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</si>
  <si>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</si>
  <si>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</si>
  <si>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</si>
  <si>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</si>
  <si>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</si>
  <si>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</si>
  <si>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</si>
  <si>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</si>
  <si>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</si>
  <si>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</si>
  <si>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</si>
  <si>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</si>
  <si>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</si>
  <si>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</si>
  <si>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</si>
  <si>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</si>
  <si>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</si>
  <si>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</si>
  <si>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</si>
  <si>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</si>
  <si>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</si>
  <si>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</si>
  <si>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</si>
  <si>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</si>
  <si>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</si>
  <si>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</si>
  <si>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</si>
  <si>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</si>
  <si>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</si>
  <si>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</si>
  <si>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</si>
  <si>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</si>
  <si>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</si>
  <si>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</si>
  <si>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</si>
  <si>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</si>
  <si>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</si>
  <si>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</si>
  <si>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</si>
  <si>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</si>
  <si>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</si>
  <si>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</si>
  <si>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</si>
  <si>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</si>
  <si>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</si>
  <si>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</si>
  <si>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</si>
  <si>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</si>
  <si>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</si>
  <si>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</si>
  <si>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</si>
  <si>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</si>
  <si>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</si>
  <si>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</si>
  <si>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</si>
  <si>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</si>
  <si>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</si>
  <si>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</si>
  <si>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</si>
  <si>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</si>
  <si>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</si>
  <si>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</si>
  <si>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</si>
  <si>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</si>
  <si>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</si>
  <si>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</si>
  <si>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</si>
  <si>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</si>
  <si>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</si>
  <si>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</si>
  <si>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</si>
  <si>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</si>
  <si>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</si>
  <si>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</si>
  <si>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</si>
  <si>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</si>
  <si>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</si>
  <si>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</si>
  <si>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</si>
  <si>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</si>
  <si>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</si>
  <si>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</si>
  <si>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</si>
  <si>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</si>
  <si>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</si>
  <si>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</si>
  <si>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</si>
  <si>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</si>
  <si>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</si>
  <si>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</si>
  <si>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</si>
  <si>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</si>
  <si>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</si>
  <si>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</si>
  <si>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</si>
  <si>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</si>
  <si>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</si>
  <si>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</si>
  <si>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</si>
  <si>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</si>
  <si>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</si>
  <si>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</si>
  <si>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</si>
  <si>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</si>
  <si>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</si>
  <si>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</si>
  <si>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</si>
  <si>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</si>
  <si>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</si>
  <si>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</si>
  <si>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</si>
  <si>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</si>
  <si>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</si>
  <si>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</si>
  <si>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</si>
  <si>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</si>
  <si>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</si>
  <si>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</si>
  <si>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</si>
  <si>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</si>
  <si>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</si>
  <si>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</si>
  <si>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</si>
  <si>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</si>
  <si>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</si>
  <si>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</si>
  <si>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</si>
  <si>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</si>
  <si>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</si>
  <si>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</si>
  <si>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</si>
  <si>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</si>
  <si>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</si>
  <si>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</si>
  <si>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</si>
  <si>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</si>
  <si>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</si>
  <si>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</si>
  <si>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</si>
  <si>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</si>
  <si>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</si>
  <si>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</si>
  <si>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</si>
  <si>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</si>
  <si>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</si>
  <si>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</si>
  <si>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</si>
  <si>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</si>
  <si>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</si>
  <si>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</si>
  <si>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</si>
  <si>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</si>
  <si>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</si>
  <si>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</si>
  <si>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</si>
  <si>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</si>
  <si>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</si>
  <si>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</si>
  <si>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</si>
  <si>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</si>
  <si>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</si>
  <si>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</si>
  <si>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</si>
  <si>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</si>
  <si>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</si>
  <si>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</si>
  <si>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</si>
  <si>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</si>
  <si>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</si>
  <si>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</si>
  <si>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</si>
  <si>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</si>
  <si>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</si>
  <si>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</si>
  <si>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</si>
  <si>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</si>
  <si>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</si>
  <si>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</si>
  <si>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</si>
  <si>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</si>
  <si>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</si>
  <si>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</si>
  <si>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</si>
  <si>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</si>
  <si>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</si>
  <si>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</si>
  <si>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</si>
  <si>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</si>
  <si>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</si>
  <si>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</si>
  <si>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</si>
  <si>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</si>
  <si>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</si>
  <si>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</si>
  <si>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</si>
  <si>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</si>
  <si>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</si>
  <si>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</si>
  <si>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</si>
  <si>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</si>
  <si>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</si>
  <si>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</si>
  <si>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</si>
  <si>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</si>
  <si>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</si>
  <si>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</si>
  <si>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</si>
  <si>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</si>
  <si>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</si>
  <si>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</si>
  <si>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</si>
  <si>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</si>
  <si>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</si>
  <si>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</si>
  <si>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</si>
  <si>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</si>
  <si>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</si>
  <si>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</si>
  <si>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</si>
  <si>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</si>
  <si>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</si>
  <si>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</si>
  <si>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</si>
  <si>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</si>
  <si>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</si>
  <si>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</si>
  <si>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</si>
  <si>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</si>
  <si>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</si>
  <si>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</si>
  <si>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</si>
  <si>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</si>
  <si>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</si>
  <si>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</si>
  <si>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</si>
  <si>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</si>
  <si>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</si>
  <si>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</si>
  <si>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</si>
  <si>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</si>
  <si>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</si>
  <si>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</si>
  <si>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</si>
  <si>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</si>
  <si>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</si>
  <si>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</si>
  <si>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</si>
  <si>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</si>
  <si>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</si>
  <si>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</si>
  <si>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</si>
  <si>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</si>
  <si>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</si>
  <si>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</si>
  <si>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</si>
  <si>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</si>
  <si>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</si>
  <si>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</si>
  <si>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</si>
  <si>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</si>
  <si>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</si>
  <si>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</si>
  <si>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</si>
  <si>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</si>
  <si>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</si>
  <si>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</si>
  <si>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</si>
  <si>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</si>
  <si>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</si>
  <si>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</si>
  <si>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</si>
  <si>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</si>
  <si>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</si>
  <si>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</si>
  <si>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</si>
  <si>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</si>
  <si>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</si>
  <si>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</si>
  <si>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</si>
  <si>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</si>
  <si>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</si>
  <si>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</si>
  <si>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</si>
  <si>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</si>
  <si>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</si>
  <si>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</si>
  <si>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</si>
  <si>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</si>
  <si>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</si>
  <si>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</si>
  <si>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</si>
  <si>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</si>
  <si>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</si>
  <si>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</si>
  <si>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</si>
  <si>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</si>
  <si>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</si>
  <si>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</si>
  <si>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</si>
  <si>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</si>
  <si>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</si>
  <si>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</si>
  <si>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</si>
  <si>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</si>
  <si>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</si>
  <si>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</si>
  <si>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</si>
  <si>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</si>
  <si>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</si>
  <si>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</si>
  <si>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</si>
  <si>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</si>
  <si>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</si>
  <si>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</si>
  <si>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</si>
  <si>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</si>
  <si>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</si>
  <si>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</si>
  <si>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</si>
  <si>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</si>
  <si>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</si>
  <si>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</si>
  <si>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</si>
  <si>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</si>
  <si>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</si>
  <si>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</si>
  <si>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</si>
  <si>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</si>
  <si>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</si>
  <si>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</si>
  <si>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</si>
  <si>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</si>
  <si>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</si>
  <si>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</si>
  <si>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</si>
  <si>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</si>
  <si>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</si>
  <si>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</si>
  <si>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</si>
  <si>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</si>
  <si>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</si>
  <si>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</si>
  <si>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</si>
  <si>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</si>
  <si>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</si>
  <si>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</si>
  <si>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</si>
  <si>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</si>
  <si>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</si>
  <si>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</si>
  <si>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</si>
  <si>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</si>
  <si>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</si>
  <si>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</si>
  <si>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</si>
  <si>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</si>
  <si>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</si>
  <si>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</si>
  <si>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</si>
  <si>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</si>
  <si>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</si>
  <si>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</si>
  <si>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</si>
  <si>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</si>
  <si>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</si>
  <si>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</si>
  <si>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</si>
  <si>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</si>
  <si>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</si>
  <si>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</si>
  <si>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</si>
  <si>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</si>
  <si>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</si>
  <si>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</si>
  <si>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</si>
  <si>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</si>
  <si>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</si>
  <si>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</si>
  <si>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</si>
  <si>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</si>
  <si>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</si>
  <si>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</si>
  <si>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</si>
  <si>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</si>
  <si>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</si>
  <si>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</si>
  <si>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</si>
  <si>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</si>
  <si>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</si>
  <si>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</si>
  <si>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</si>
  <si>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</si>
  <si>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</si>
  <si>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</si>
  <si>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</si>
  <si>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</si>
  <si>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</si>
  <si>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</si>
  <si>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</si>
  <si>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</si>
  <si>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</si>
  <si>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</si>
  <si>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</si>
  <si>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</si>
  <si>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</si>
  <si>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</si>
  <si>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</si>
  <si>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</si>
  <si>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</si>
  <si>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</si>
  <si>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</si>
  <si>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</si>
  <si>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</si>
  <si>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</si>
  <si>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</si>
  <si>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</si>
  <si>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</si>
  <si>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</si>
  <si>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</si>
  <si>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</si>
  <si>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</si>
  <si>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</si>
  <si>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</si>
  <si>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</si>
  <si>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</si>
  <si>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</si>
  <si>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</si>
  <si>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</si>
  <si>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</si>
  <si>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</si>
  <si>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</si>
  <si>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</si>
  <si>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</si>
  <si>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</si>
  <si>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</si>
  <si>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</si>
  <si>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</si>
  <si>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</si>
  <si>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</si>
  <si>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</si>
  <si>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</si>
  <si>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</si>
  <si>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</si>
  <si>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</si>
  <si>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</si>
  <si>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</si>
  <si>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</si>
  <si>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</si>
  <si>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</si>
  <si>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</si>
  <si>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</si>
  <si>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</si>
  <si>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</si>
  <si>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</si>
  <si>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</si>
  <si>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</si>
  <si>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</si>
  <si>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</si>
  <si>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</si>
  <si>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</si>
  <si>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</si>
  <si>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</si>
  <si>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</si>
  <si>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</si>
  <si>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</si>
  <si>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</si>
  <si>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</si>
  <si>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</si>
  <si>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</si>
  <si>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</si>
  <si>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</si>
  <si>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</si>
  <si>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</si>
  <si>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</si>
  <si>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</si>
  <si>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</si>
  <si>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</si>
  <si>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</si>
  <si>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</si>
  <si>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</si>
  <si>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</si>
  <si>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</si>
  <si>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</si>
  <si>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</si>
  <si>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</si>
  <si>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</si>
  <si>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</si>
  <si>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</si>
  <si>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</si>
  <si>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</si>
  <si>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</si>
  <si>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</si>
  <si>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</si>
  <si>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</si>
  <si>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</si>
  <si>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</si>
  <si>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</si>
  <si>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</si>
  <si>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</si>
  <si>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</si>
  <si>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</si>
  <si>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</si>
  <si>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</si>
  <si>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</si>
  <si>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</si>
  <si>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</si>
  <si>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</si>
  <si>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</si>
  <si>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</si>
  <si>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</si>
  <si>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</si>
  <si>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</si>
  <si>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</si>
  <si>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</si>
  <si>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</si>
  <si>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</si>
  <si>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</si>
  <si>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</si>
  <si>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</si>
  <si>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</si>
  <si>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</si>
  <si>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</si>
  <si>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</si>
  <si>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</si>
  <si>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</si>
  <si>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</si>
  <si>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</si>
  <si>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</si>
  <si>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</si>
  <si>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</si>
  <si>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</si>
  <si>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</si>
  <si>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</si>
  <si>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</si>
  <si>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</si>
  <si>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</si>
  <si>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</si>
  <si>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</si>
  <si>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</si>
  <si>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</si>
  <si>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</si>
  <si>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</si>
  <si>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</si>
  <si>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</si>
  <si>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</si>
  <si>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</si>
  <si>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</si>
  <si>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</si>
  <si>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</si>
  <si>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</si>
  <si>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</si>
  <si>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</si>
  <si>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</si>
  <si>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</si>
  <si>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</si>
  <si>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</si>
  <si>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</si>
  <si>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</si>
  <si>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</si>
  <si>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</si>
  <si>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</si>
  <si>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</si>
  <si>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</si>
  <si>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</si>
  <si>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</si>
  <si>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</si>
  <si>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</si>
  <si>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</si>
  <si>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</si>
  <si>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</si>
  <si>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</si>
  <si>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</si>
  <si>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</si>
  <si>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</si>
  <si>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</si>
  <si>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</si>
  <si>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</si>
  <si>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</si>
  <si>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</si>
  <si>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</si>
  <si>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</si>
  <si>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</si>
  <si>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</si>
  <si>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</si>
  <si>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</si>
  <si>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</si>
  <si>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</si>
  <si>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</si>
  <si>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</si>
  <si>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</si>
  <si>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</si>
  <si>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</si>
  <si>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</si>
  <si>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</si>
  <si>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</si>
  <si>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</si>
  <si>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</si>
  <si>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</si>
  <si>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</si>
  <si>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</si>
  <si>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</si>
  <si>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</si>
  <si>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</si>
  <si>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</si>
  <si>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</si>
  <si>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</si>
  <si>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</si>
  <si>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</si>
  <si>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</si>
  <si>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</si>
  <si>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</si>
  <si>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</si>
  <si>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</si>
  <si>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</si>
  <si>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</si>
  <si>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</si>
  <si>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</si>
  <si>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</si>
  <si>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</si>
  <si>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</si>
  <si>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</si>
  <si>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</si>
  <si>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</si>
  <si>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</si>
  <si>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</si>
  <si>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</si>
  <si>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</si>
  <si>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</si>
  <si>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</si>
  <si>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</si>
  <si>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</si>
  <si>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</si>
  <si>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</si>
  <si>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</si>
  <si>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</si>
  <si>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</si>
  <si>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</si>
  <si>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</si>
  <si>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</si>
  <si>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</si>
  <si>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</si>
  <si>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</si>
  <si>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</si>
  <si>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</si>
  <si>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</si>
  <si>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</si>
  <si>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</si>
  <si>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</si>
  <si>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</si>
  <si>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</si>
  <si>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</si>
  <si>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</si>
  <si>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</si>
  <si>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</si>
  <si>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</si>
  <si>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</si>
  <si>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</si>
  <si>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</si>
  <si>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</si>
  <si>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</si>
  <si>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</si>
  <si>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</si>
  <si>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</si>
  <si>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</si>
  <si>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</si>
  <si>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</si>
  <si>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</si>
  <si>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</si>
  <si>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</si>
  <si>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</si>
  <si>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</si>
  <si>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</si>
  <si>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</si>
  <si>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</si>
  <si>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</si>
  <si>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</si>
  <si>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</si>
  <si>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</si>
  <si>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</si>
  <si>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</si>
  <si>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</si>
  <si>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</si>
  <si>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</si>
  <si>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</si>
  <si>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</si>
  <si>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</si>
  <si>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</si>
  <si>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</si>
  <si>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</si>
  <si>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</si>
  <si>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</si>
  <si>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</si>
  <si>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</si>
  <si>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</si>
  <si>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</si>
  <si>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</si>
  <si>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</si>
  <si>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</si>
  <si>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</si>
  <si>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</si>
  <si>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</si>
  <si>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</si>
  <si>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</si>
  <si>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</si>
  <si>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</si>
  <si>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</si>
  <si>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</si>
  <si>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</si>
  <si>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</si>
  <si>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</si>
  <si>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</si>
  <si>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</si>
  <si>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</si>
  <si>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</si>
  <si>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</si>
  <si>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</si>
  <si>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</si>
  <si>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</si>
  <si>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</si>
  <si>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</si>
  <si>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</si>
  <si>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</si>
  <si>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</si>
  <si>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</si>
  <si>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</si>
  <si>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</si>
  <si>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</si>
  <si>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</si>
  <si>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</si>
  <si>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</si>
  <si>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</si>
  <si>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</si>
  <si>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</si>
  <si>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</si>
  <si>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</si>
  <si>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</si>
  <si>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</si>
  <si>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</si>
  <si>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</si>
  <si>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</si>
  <si>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</si>
  <si>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</si>
  <si>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</si>
  <si>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</si>
  <si>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</si>
  <si>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</si>
  <si>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</si>
  <si>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</si>
  <si>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</si>
  <si>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</si>
  <si>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</si>
  <si>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</si>
  <si>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</si>
  <si>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</si>
  <si>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</si>
  <si>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</si>
  <si>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</si>
  <si>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</si>
  <si>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</si>
  <si>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</si>
  <si>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</si>
  <si>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</si>
  <si>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</si>
  <si>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</si>
  <si>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</si>
  <si>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</si>
  <si>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</si>
  <si>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</si>
  <si>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</si>
  <si>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</si>
  <si>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</si>
  <si>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</si>
  <si>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</si>
  <si>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</si>
  <si>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</si>
  <si>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</si>
  <si>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</si>
  <si>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</si>
  <si>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</si>
  <si>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</si>
  <si>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</si>
  <si>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</si>
  <si>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</si>
  <si>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</si>
  <si>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</si>
  <si>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</si>
  <si>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</si>
  <si>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</si>
  <si>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</si>
  <si>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</si>
  <si>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</si>
  <si>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</si>
  <si>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</si>
  <si>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</si>
  <si>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</si>
  <si>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</si>
  <si>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</si>
  <si>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</si>
  <si>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</si>
  <si>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</si>
  <si>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</si>
  <si>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</si>
  <si>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</si>
  <si>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</si>
  <si>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</si>
  <si>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</si>
  <si>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</si>
  <si>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</si>
  <si>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</si>
  <si>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</si>
  <si>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</si>
  <si>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</si>
  <si>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</si>
  <si>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</si>
  <si>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</si>
  <si>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</si>
  <si>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</si>
  <si>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</si>
  <si>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</si>
  <si>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</si>
  <si>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</si>
  <si>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</si>
  <si>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</si>
  <si>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</si>
  <si>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</si>
  <si>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</si>
  <si>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</si>
  <si>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</si>
  <si>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</si>
  <si>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</si>
  <si>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</si>
  <si>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</si>
  <si>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</si>
  <si>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</si>
  <si>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</si>
  <si>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</si>
  <si>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</si>
  <si>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</si>
  <si>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</si>
  <si>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</si>
  <si>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</si>
  <si>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</si>
  <si>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</si>
  <si>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</si>
  <si>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</si>
  <si>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</si>
  <si>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</si>
  <si>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</si>
  <si>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</si>
  <si>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</si>
  <si>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</si>
  <si>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</si>
  <si>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</si>
  <si>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</si>
  <si>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</si>
  <si>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</si>
  <si>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</si>
  <si>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</si>
  <si>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</si>
  <si>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</si>
  <si>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</si>
  <si>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</si>
  <si>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</si>
  <si>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</si>
  <si>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</si>
  <si>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</si>
  <si>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</si>
  <si>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</si>
  <si>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</si>
  <si>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</si>
  <si>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</si>
  <si>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</si>
  <si>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</si>
  <si>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</si>
  <si>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</si>
  <si>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</si>
  <si>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</si>
  <si>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</si>
  <si>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</si>
  <si>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</si>
  <si>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</si>
  <si>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</si>
  <si>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</si>
  <si>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</si>
  <si>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</si>
  <si>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</si>
  <si>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</si>
  <si>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</si>
  <si>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</si>
  <si>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</si>
  <si>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</si>
  <si>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</si>
  <si>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</si>
  <si>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</si>
  <si>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</si>
  <si>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</si>
  <si>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</si>
  <si>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</si>
  <si>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</si>
  <si>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</si>
  <si>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</si>
  <si>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</si>
  <si>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</si>
  <si>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</si>
  <si>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</si>
  <si>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</si>
  <si>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</si>
  <si>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</si>
  <si>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</si>
  <si>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</si>
  <si>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</si>
  <si>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</si>
  <si>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</si>
  <si>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</si>
  <si>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</si>
  <si>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</si>
  <si>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</si>
  <si>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</si>
  <si>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</si>
  <si>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</si>
  <si>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</si>
  <si>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</si>
  <si>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</si>
  <si>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</si>
  <si>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</si>
  <si>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</si>
  <si>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</si>
  <si>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</si>
  <si>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</si>
  <si>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</si>
  <si>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</si>
  <si>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</si>
  <si>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</si>
  <si>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</si>
  <si>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</si>
  <si>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</si>
  <si>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</si>
  <si>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</si>
  <si>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</si>
  <si>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</si>
  <si>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</si>
  <si>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</si>
  <si>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</si>
  <si>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</si>
  <si>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</si>
  <si>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</si>
  <si>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</si>
  <si>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</si>
  <si>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</si>
  <si>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</si>
  <si>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</si>
  <si>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</si>
  <si>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</si>
  <si>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</si>
  <si>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</si>
  <si>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</si>
  <si>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</si>
  <si>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</si>
  <si>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</si>
  <si>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</si>
  <si>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</si>
  <si>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</si>
  <si>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</si>
  <si>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</si>
  <si>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</si>
  <si>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</si>
  <si>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</si>
  <si>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</si>
  <si>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</si>
  <si>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</si>
  <si>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</si>
  <si>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</si>
  <si>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</si>
  <si>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</si>
  <si>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</si>
  <si>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</si>
  <si>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</si>
  <si>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</si>
  <si>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</si>
  <si>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</si>
  <si>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</si>
  <si>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</si>
  <si>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</si>
  <si>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</si>
  <si>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</si>
  <si>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</si>
  <si>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</si>
  <si>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</si>
  <si>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</si>
  <si>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</si>
  <si>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</si>
  <si>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</si>
  <si>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</si>
  <si>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</si>
  <si>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</si>
  <si>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</si>
  <si>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</si>
  <si>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</si>
  <si>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</si>
  <si>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</si>
  <si>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</si>
  <si>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</si>
  <si>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</si>
  <si>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</si>
  <si>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</si>
  <si>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</si>
  <si>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</si>
  <si>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</si>
  <si>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</si>
  <si>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</si>
  <si>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</si>
  <si>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</si>
  <si>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</si>
  <si>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</si>
  <si>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</si>
  <si>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</si>
  <si>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</si>
  <si>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</si>
  <si>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</si>
  <si>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</si>
  <si>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</si>
  <si>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</si>
  <si>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</si>
  <si>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</si>
  <si>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</si>
  <si>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</si>
  <si>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</si>
  <si>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</si>
  <si>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</si>
  <si>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</si>
  <si>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</si>
  <si>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</si>
  <si>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</si>
  <si>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</si>
  <si>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</si>
  <si>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</si>
  <si>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</si>
  <si>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</si>
  <si>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</si>
  <si>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</si>
  <si>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</si>
  <si>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</si>
  <si>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</si>
  <si>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</si>
  <si>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</si>
  <si>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</si>
  <si>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</si>
  <si>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</si>
  <si>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</si>
  <si>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</si>
  <si>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</si>
  <si>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</si>
  <si>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</si>
  <si>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</si>
  <si>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</si>
  <si>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</si>
  <si>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</si>
  <si>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</si>
  <si>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</si>
  <si>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</si>
  <si>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</si>
  <si>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</si>
  <si>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</si>
  <si>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</si>
  <si>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</si>
  <si>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</si>
  <si>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</si>
  <si>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</si>
  <si>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</si>
  <si>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</si>
  <si>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</si>
  <si>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</si>
  <si>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</si>
  <si>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</si>
  <si>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</si>
  <si>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</si>
  <si>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</si>
  <si>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</si>
  <si>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</si>
  <si>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</si>
  <si>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</si>
  <si>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</si>
  <si>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</si>
  <si>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</si>
  <si>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</si>
  <si>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</si>
  <si>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</si>
  <si>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</si>
  <si>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</si>
  <si>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</si>
  <si>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</si>
  <si>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</si>
  <si>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</si>
  <si>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</si>
  <si>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</si>
  <si>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</si>
  <si>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</si>
  <si>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</si>
  <si>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</si>
  <si>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</si>
  <si>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</si>
  <si>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</si>
  <si>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</si>
  <si>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</si>
  <si>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</si>
  <si>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</si>
  <si>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</si>
  <si>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</si>
  <si>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</si>
  <si>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</si>
  <si>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</si>
  <si>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</si>
  <si>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</si>
  <si>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</si>
  <si>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</si>
  <si>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</si>
  <si>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</si>
  <si>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</si>
  <si>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</si>
  <si>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</si>
  <si>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</si>
  <si>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</si>
  <si>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</si>
  <si>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</si>
  <si>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</si>
  <si>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</si>
  <si>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</si>
  <si>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</si>
  <si>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</si>
  <si>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</si>
  <si>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</si>
  <si>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</si>
  <si>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</si>
  <si>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</si>
  <si>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</si>
  <si>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</si>
  <si>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</si>
  <si>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</si>
  <si>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</si>
  <si>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</si>
  <si>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</si>
  <si>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</si>
  <si>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</si>
  <si>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</si>
  <si>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</si>
  <si>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</si>
  <si>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</si>
  <si>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</si>
  <si>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</si>
  <si>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</si>
  <si>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</si>
  <si>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</si>
  <si>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</si>
  <si>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</si>
  <si>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</si>
  <si>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</si>
  <si>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</si>
  <si>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</si>
  <si>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</si>
  <si>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</si>
  <si>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</si>
  <si>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</si>
  <si>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</si>
  <si>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</si>
  <si>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</si>
  <si>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</si>
  <si>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</si>
  <si>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</si>
  <si>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</si>
  <si>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</si>
  <si>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</si>
  <si>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</si>
  <si>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</si>
  <si>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</si>
  <si>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</si>
  <si>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</si>
  <si>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</si>
  <si>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</si>
  <si>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</si>
  <si>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</si>
  <si>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</si>
  <si>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</si>
  <si>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</si>
  <si>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</si>
  <si>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</si>
  <si>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</si>
  <si>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</si>
  <si>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</si>
  <si>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</si>
  <si>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</si>
  <si>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</si>
  <si>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</si>
  <si>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</si>
  <si>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</si>
  <si>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</si>
  <si>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</si>
  <si>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</si>
  <si>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</si>
  <si>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</si>
  <si>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</si>
  <si>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</si>
  <si>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</si>
  <si>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</si>
  <si>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</si>
  <si>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</si>
  <si>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</si>
  <si>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</si>
  <si>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</si>
  <si>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</si>
  <si>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</si>
  <si>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</si>
  <si>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</si>
  <si>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</si>
  <si>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</si>
  <si>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</si>
  <si>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</si>
  <si>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</si>
  <si>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</si>
  <si>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</si>
  <si>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</si>
  <si>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</si>
  <si>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</si>
  <si>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</si>
  <si>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</si>
  <si>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</si>
  <si>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</si>
  <si>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</si>
  <si>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</si>
  <si>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</si>
  <si>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</si>
  <si>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</si>
  <si>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</si>
  <si>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</si>
  <si>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</si>
  <si>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</si>
  <si>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</si>
  <si>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</si>
  <si>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</si>
  <si>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</si>
  <si>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</si>
  <si>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</si>
  <si>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</si>
  <si>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</si>
  <si>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</si>
  <si>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</si>
  <si>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</si>
  <si>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</si>
  <si>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</si>
  <si>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</si>
  <si>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</si>
  <si>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</si>
  <si>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</si>
  <si>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</si>
  <si>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</si>
  <si>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</si>
  <si>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</si>
  <si>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</si>
  <si>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</si>
  <si>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</si>
  <si>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</si>
  <si>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</si>
  <si>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</si>
  <si>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</si>
  <si>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</si>
  <si>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</si>
  <si>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</si>
  <si>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</si>
  <si>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</si>
  <si>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</si>
  <si>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</si>
  <si>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</si>
  <si>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</si>
  <si>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</si>
  <si>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</si>
  <si>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</si>
  <si>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</si>
  <si>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</si>
  <si>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</si>
  <si>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</si>
  <si>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</si>
  <si>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</si>
  <si>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</si>
  <si>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</si>
  <si>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</si>
  <si>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</si>
  <si>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</si>
  <si>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</si>
  <si>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</si>
  <si>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</si>
  <si>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</si>
  <si>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</si>
  <si>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</si>
  <si>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</si>
  <si>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</si>
  <si>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</si>
  <si>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</si>
  <si>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</si>
  <si>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</si>
  <si>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</si>
  <si>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</si>
  <si>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</si>
  <si>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</si>
  <si>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</si>
  <si>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</si>
  <si>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</si>
  <si>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</si>
  <si>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</si>
  <si>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</si>
  <si>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</si>
  <si>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</si>
  <si>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</si>
  <si>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</si>
  <si>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</si>
  <si>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</si>
  <si>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</si>
  <si>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</si>
  <si>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</si>
  <si>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</si>
  <si>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</si>
  <si>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</si>
  <si>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</si>
  <si>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</si>
  <si>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</si>
  <si>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</si>
  <si>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</si>
  <si>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</si>
  <si>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</si>
  <si>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</si>
  <si>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</si>
  <si>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</si>
  <si>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</si>
  <si>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</si>
  <si>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</si>
  <si>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</si>
  <si>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</si>
  <si>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</si>
  <si>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</si>
  <si>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</si>
  <si>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</si>
  <si>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</si>
  <si>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</si>
  <si>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</si>
  <si>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</si>
  <si>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</si>
  <si>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</si>
  <si>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</si>
  <si>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</si>
  <si>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</si>
  <si>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</si>
  <si>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</si>
  <si>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</si>
  <si>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</si>
  <si>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</si>
  <si>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</si>
  <si>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</si>
  <si>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</si>
  <si>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</si>
  <si>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</si>
  <si>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</si>
  <si>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</si>
  <si>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</si>
  <si>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</si>
  <si>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</si>
  <si>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</si>
  <si>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</si>
  <si>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</si>
  <si>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</si>
  <si>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</si>
  <si>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</si>
  <si>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</si>
  <si>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</si>
  <si>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</si>
  <si>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</si>
  <si>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</si>
  <si>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</si>
  <si>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</si>
  <si>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</si>
  <si>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</si>
  <si>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</si>
  <si>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</si>
  <si>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</si>
  <si>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</si>
  <si>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</si>
  <si>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</si>
  <si>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</si>
  <si>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</si>
  <si>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</si>
  <si>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</si>
  <si>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</si>
  <si>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</si>
  <si>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</si>
  <si>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</si>
  <si>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</si>
  <si>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</si>
  <si>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</si>
  <si>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</si>
  <si>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</si>
  <si>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</si>
  <si>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</si>
  <si>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</si>
  <si>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</si>
  <si>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</si>
  <si>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</si>
  <si>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</si>
  <si>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</si>
  <si>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</si>
  <si>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</si>
  <si>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</si>
  <si>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</si>
  <si>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</si>
  <si>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</si>
  <si>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</si>
  <si>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</si>
  <si>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</si>
  <si>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</si>
  <si>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</si>
  <si>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</si>
  <si>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</si>
  <si>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</si>
  <si>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</si>
  <si>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</si>
  <si>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</si>
  <si>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</si>
  <si>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</si>
  <si>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</si>
  <si>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</si>
  <si>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</si>
  <si>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</si>
  <si>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</si>
  <si>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</si>
  <si>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</si>
  <si>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</si>
  <si>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</si>
  <si>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</si>
  <si>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</si>
  <si>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</si>
  <si>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</si>
  <si>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</si>
  <si>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</si>
  <si>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</si>
  <si>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</si>
  <si>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</si>
  <si>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</si>
  <si>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</si>
  <si>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</si>
  <si>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</si>
  <si>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</si>
  <si>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</si>
  <si>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</si>
  <si>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</si>
  <si>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</si>
  <si>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</si>
  <si>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</si>
  <si>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</si>
  <si>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</si>
  <si>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</si>
  <si>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</si>
  <si>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</si>
  <si>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</si>
  <si>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</si>
  <si>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</si>
  <si>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</si>
  <si>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</si>
  <si>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</si>
  <si>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</si>
  <si>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</si>
  <si>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</si>
  <si>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</si>
  <si>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</si>
  <si>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</si>
  <si>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</si>
  <si>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</si>
  <si>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</si>
  <si>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</si>
  <si>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</si>
  <si>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</si>
  <si>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</si>
  <si>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</si>
  <si>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</si>
  <si>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</si>
  <si>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</si>
  <si>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</si>
  <si>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</si>
  <si>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</si>
  <si>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</si>
  <si>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</si>
  <si>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</si>
  <si>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</si>
  <si>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</si>
  <si>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</si>
  <si>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</si>
  <si>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</si>
  <si>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</si>
  <si>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</si>
  <si>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</si>
  <si>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</si>
  <si>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</si>
  <si>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</si>
  <si>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</si>
  <si>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</si>
  <si>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</si>
  <si>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</si>
  <si>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</si>
  <si>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</si>
  <si>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</si>
  <si>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</si>
  <si>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</si>
  <si>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</si>
  <si>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</si>
  <si>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</si>
  <si>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</si>
  <si>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</si>
  <si>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</si>
  <si>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</si>
  <si>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</si>
  <si>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</si>
  <si>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</si>
  <si>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</si>
  <si>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</si>
  <si>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</si>
  <si>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</si>
  <si>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</si>
  <si>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</si>
  <si>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</si>
  <si>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</si>
  <si>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</si>
  <si>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</si>
  <si>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</si>
  <si>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</si>
  <si>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</si>
  <si>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</si>
  <si>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</si>
  <si>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</si>
  <si>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</si>
  <si>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</si>
  <si>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</si>
  <si>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</si>
  <si>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</si>
  <si>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</si>
  <si>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</si>
  <si>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</si>
  <si>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</si>
  <si>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</si>
  <si>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</si>
  <si>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</si>
  <si>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</si>
  <si>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Fulton</t>
  </si>
  <si>
    <t>652 East Main Street</t>
  </si>
  <si>
    <t>Cuba</t>
  </si>
  <si>
    <t>asimmons@cusd3.net</t>
  </si>
  <si>
    <t>Jason Hohulin, CPA</t>
  </si>
  <si>
    <t>jhohulin@gorenzcpa.com</t>
  </si>
  <si>
    <t>Angela Simmons</t>
  </si>
  <si>
    <t>309-785-5021</t>
  </si>
  <si>
    <t>309-785-5432</t>
  </si>
  <si>
    <t>2012 Refunding Bonds</t>
  </si>
  <si>
    <t>2010 Refunding Bonds</t>
  </si>
  <si>
    <t>2014 Debt Certificates</t>
  </si>
  <si>
    <t>Debt Certificates</t>
  </si>
  <si>
    <t>Western Area School Health Benefit Plan</t>
  </si>
  <si>
    <t>Western Area Purchasing Co-op</t>
  </si>
  <si>
    <t>Worker's Compensation Self-Insurance Trust</t>
  </si>
  <si>
    <t>Rammel Kamp &amp; Associates</t>
  </si>
  <si>
    <t>WCISEC</t>
  </si>
  <si>
    <t>Western Area Career Systems</t>
  </si>
  <si>
    <t>North Fulton Athletic Co-op</t>
  </si>
  <si>
    <t>No Findings for the fiscal year ended June 30, 2018.</t>
  </si>
  <si>
    <t>Midwest Bus Sales</t>
  </si>
  <si>
    <t>40-2550-300</t>
  </si>
  <si>
    <t>Transportation-Pulpil Transoortation-Purchase Services</t>
  </si>
  <si>
    <r>
      <t>CORRECTIVE ACTION PLAN FOR CURRENT YEAR AUDIT FINDINGS</t>
    </r>
    <r>
      <rPr>
        <b/>
        <vertAlign val="superscript"/>
        <sz val="9"/>
        <rFont val="Arial"/>
        <family val="2"/>
      </rPr>
      <t>21</t>
    </r>
  </si>
  <si>
    <t>Corrective Action Plan</t>
  </si>
  <si>
    <t>Finding No.:</t>
  </si>
  <si>
    <t>Condition:</t>
  </si>
  <si>
    <t>Plan:</t>
  </si>
  <si>
    <t>Anticipated Date of Completion:</t>
  </si>
  <si>
    <t>July, 2020</t>
  </si>
  <si>
    <t>Name of Contact Person:</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</si>
  <si>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</si>
  <si>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</si>
  <si>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Angela Simmons, Superintendent</t>
  </si>
  <si>
    <t>In accordance with the Illinois Truth in Taxation Act (35 ILCS 200/Article 18, Division 2), any district proposing to increase its aggregate levy more than 105% of its prior year’s extension, exclusive of election costs, must disclose by publication and hold a public hearing, as prescribed by law.</t>
  </si>
  <si>
    <t>The District's lack of published notice and public hearing regarding the 2019 levy request violates provisions of the Illinois Truth in Taxation Act. The violation did not affect the amount of the District's actual 2019 extension.</t>
  </si>
  <si>
    <t>The District's 2018 levy request exceeded 105% of the prior year extension, exclusive of the debt service fund extension and election costs.</t>
  </si>
  <si>
    <t xml:space="preserve">Prior year adjusted extension - $2,295,065  *  1.05     2,409,818
2018 Levy Request                                                             2,427,175
Excess over 105%                                                                       17,357 </t>
  </si>
  <si>
    <t>The District did not publish the required notice.</t>
  </si>
  <si>
    <t>The District should calculate a 5% increase on the prior year levy extension to determine if the current year request requires a Trust in Taxation publication.</t>
  </si>
  <si>
    <t>The District will take the auditor's recommendation under consideration.</t>
  </si>
  <si>
    <t>The District's 2018 levy request exceeded 5% of the prior year extension, exclusive of the debt service fund extension and election costs, but the District did not publish a notice as prescribed by law.</t>
  </si>
  <si>
    <t>The District will calculate a 5% increase on the prior year levy extension to determine if the current year request requires a Trust in Taxation publication.</t>
  </si>
  <si>
    <t>The District will comply with the Truth in Taxation Act</t>
  </si>
  <si>
    <t>Part C, Number 20 - See finding 2019-001</t>
  </si>
  <si>
    <t>2011 Working Cash Bonds</t>
  </si>
  <si>
    <t>Page 13, Line 203 - Title I School Improvement</t>
  </si>
  <si>
    <t>Page 12, Line 180 - REAP Reimbursements</t>
  </si>
  <si>
    <t>Page 11, Line 107  - Reimbursements</t>
  </si>
  <si>
    <t>Page 10, Line 72 - Kindergarten Milk Revenue</t>
  </si>
  <si>
    <t>Page 18, Line 171 - Bank Fees</t>
  </si>
  <si>
    <t>Midwest Bus Sales, Inc.</t>
  </si>
  <si>
    <t>Page 13, Line 215  - Title IV  - Student Support and Academic Enrichment</t>
  </si>
  <si>
    <t>Page 10, Line 81 - Sale of Scrap and Dirt</t>
  </si>
  <si>
    <t>Page 12, Line 168 - Library Grant ($750), PSAT Grant ($476)</t>
  </si>
  <si>
    <t>Page 17, Line 136 - Return of Unexpended Grant Revenue</t>
  </si>
  <si>
    <t>see PDF version</t>
  </si>
  <si>
    <t>CUSD 3 Fulton County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</si>
</sst>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1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horizontal="left" vertical="top" wrapText="1"/>
      <protection locked="0"/>
    </xf>
    <xf numFmtId="49" fontId="12" fillId="0" borderId="0" xfId="3" applyNumberFormat="1" applyFont="1" applyAlignment="1">
      <alignment horizontal="center" vertical="center"/>
    </xf>
    <xf numFmtId="0" fontId="9" fillId="0" borderId="0" xfId="3"/>
    <xf numFmtId="166" fontId="12" fillId="0" borderId="0" xfId="3" applyNumberFormat="1" applyFont="1" applyAlignment="1">
      <alignment horizontal="center" vertical="center"/>
    </xf>
    <xf numFmtId="0" fontId="12" fillId="0" borderId="0" xfId="3" applyFont="1" applyAlignment="1">
      <alignment horizontal="center" vertical="center"/>
    </xf>
    <xf numFmtId="171" fontId="12" fillId="0" borderId="0" xfId="3" applyNumberFormat="1" applyFont="1" applyAlignment="1">
      <alignment horizontal="center" vertical="center"/>
    </xf>
    <xf numFmtId="0" fontId="138" fillId="0" borderId="0" xfId="3" applyFont="1" applyAlignment="1">
      <alignment horizontal="left"/>
    </xf>
    <xf numFmtId="0" fontId="33" fillId="0" borderId="0" xfId="3" applyFont="1" applyAlignment="1">
      <alignment horizontal="left"/>
    </xf>
    <xf numFmtId="0" fontId="33" fillId="0" borderId="0" xfId="3" applyFont="1"/>
    <xf numFmtId="0" fontId="12" fillId="0" borderId="0" xfId="3" applyFont="1" applyAlignment="1">
      <alignment horizontal="left"/>
    </xf>
    <xf numFmtId="0" fontId="10" fillId="0" borderId="0" xfId="3" applyFont="1"/>
    <xf numFmtId="0" fontId="12" fillId="0" borderId="0" xfId="3" applyFont="1" applyAlignment="1">
      <alignment horizontal="center"/>
    </xf>
    <xf numFmtId="178" fontId="12" fillId="0" borderId="9" xfId="3" applyNumberFormat="1" applyFont="1" applyBorder="1" applyAlignment="1" applyProtection="1">
      <alignment horizontal="center"/>
      <protection locked="0"/>
    </xf>
    <xf numFmtId="0" fontId="139" fillId="0" borderId="0" xfId="3" applyFont="1" applyAlignment="1">
      <alignment horizontal="left"/>
    </xf>
    <xf numFmtId="14" fontId="9" fillId="0" borderId="0" xfId="3" applyNumberFormat="1" applyAlignment="1" applyProtection="1">
      <alignment horizontal="left" indent="2"/>
      <protection locked="0"/>
    </xf>
    <xf numFmtId="0" fontId="9" fillId="0" borderId="0" xfId="3" applyProtection="1">
      <protection locked="0"/>
    </xf>
    <xf numFmtId="0" fontId="11" fillId="0" borderId="0" xfId="3" applyFont="1"/>
    <xf numFmtId="0" fontId="9" fillId="0" borderId="0" xfId="3" applyAlignment="1">
      <alignment horizontal="left"/>
    </xf>
    <xf numFmtId="0" fontId="9" fillId="0" borderId="78" xfId="3" applyBorder="1"/>
    <xf numFmtId="0" fontId="140" fillId="0" borderId="0" xfId="3" applyFont="1" applyAlignment="1">
      <alignment horizontal="left"/>
    </xf>
    <xf numFmtId="0" fontId="10" fillId="0" borderId="0" xfId="3" applyFont="1" applyAlignment="1">
      <alignment horizontal="left"/>
    </xf>
    <xf numFmtId="0" fontId="35" fillId="0" borderId="0" xfId="3" applyFont="1"/>
    <xf numFmtId="0" fontId="140" fillId="0" borderId="0" xfId="3" applyFont="1"/>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xf numFmtId="0" fontId="9" fillId="0" borderId="0" xfId="3" applyAlignment="1" applyProtection="1">
      <alignment horizontal="left" vertical="top" wrapText="1"/>
      <protection locked="0"/>
    </xf>
    <xf numFmtId="0" fontId="12" fillId="0" borderId="0" xfId="3" applyFont="1" applyAlignment="1">
      <alignment horizontal="center" vertical="center" wrapText="1"/>
    </xf>
    <xf numFmtId="165" fontId="12" fillId="0" borderId="0" xfId="3" applyNumberFormat="1" applyFont="1" applyAlignment="1">
      <alignment horizontal="center" vertical="center" wrapText="1"/>
    </xf>
    <xf numFmtId="0" fontId="19" fillId="0" borderId="0" xfId="3" applyFont="1" applyAlignment="1">
      <alignment horizontal="center" vertical="center" wrapText="1"/>
    </xf>
    <xf numFmtId="171" fontId="19" fillId="0" borderId="0" xfId="3" applyNumberFormat="1" applyFont="1" applyAlignment="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995796</xdr:colOff>
          <xdr:row>1</xdr:row>
          <xdr:rowOff>8659</xdr:rowOff>
        </xdr:from>
        <xdr:to>
          <xdr:col>1</xdr:col>
          <xdr:colOff>1906732</xdr:colOff>
          <xdr:row>5</xdr:row>
          <xdr:rowOff>46759</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oneCellAnchor>
    <xdr:from>
      <xdr:col>4</xdr:col>
      <xdr:colOff>0</xdr:colOff>
      <xdr:row>40</xdr:row>
      <xdr:rowOff>0</xdr:rowOff>
    </xdr:from>
    <xdr:ext cx="85725" cy="201757"/>
    <xdr:sp macro="" textlink="">
      <xdr:nvSpPr>
        <xdr:cNvPr id="2" name="Text 1">
          <a:extLst>
            <a:ext uri="{FF2B5EF4-FFF2-40B4-BE49-F238E27FC236}">
              <a16:creationId xmlns:a16="http://schemas.microsoft.com/office/drawing/2014/main" id="{2DE681CD-BD4A-4991-8A22-483926AD78D2}"/>
            </a:ext>
          </a:extLst>
        </xdr:cNvPr>
        <xdr:cNvSpPr txBox="1">
          <a:spLocks noChangeArrowheads="1"/>
        </xdr:cNvSpPr>
      </xdr:nvSpPr>
      <xdr:spPr bwMode="auto">
        <a:xfrm>
          <a:off x="1647825" y="8534400"/>
          <a:ext cx="85725"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525474FE-9096-4FEF-93E4-AF470CB878CA}"/>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34" t="s">
        <v>405</v>
      </c>
      <c r="J1" s="2035"/>
      <c r="K1" s="2035"/>
      <c r="L1" s="2035"/>
      <c r="M1" s="2035"/>
      <c r="N1" s="2035"/>
      <c r="O1" s="2035"/>
      <c r="P1" s="2035"/>
      <c r="Q1" s="2035"/>
      <c r="R1" s="2035"/>
      <c r="S1" s="2035"/>
    </row>
    <row r="2" spans="1:28" ht="12" customHeight="1" x14ac:dyDescent="0.2">
      <c r="A2" s="47" t="s">
        <v>1993</v>
      </c>
      <c r="D2" s="48"/>
      <c r="I2" s="2036" t="s">
        <v>979</v>
      </c>
      <c r="J2" s="2035"/>
      <c r="K2" s="2035"/>
      <c r="L2" s="2035"/>
      <c r="M2" s="2035"/>
      <c r="N2" s="2035"/>
      <c r="O2" s="2035"/>
      <c r="P2" s="2035"/>
      <c r="Q2" s="2035"/>
      <c r="R2" s="2035"/>
      <c r="S2" s="2035"/>
    </row>
    <row r="3" spans="1:28" ht="12" customHeight="1" x14ac:dyDescent="0.2">
      <c r="A3" s="155" t="s">
        <v>1945</v>
      </c>
      <c r="B3" s="156"/>
      <c r="C3" s="156"/>
      <c r="D3" s="157"/>
      <c r="I3" s="2036" t="s">
        <v>52</v>
      </c>
      <c r="J3" s="2035"/>
      <c r="K3" s="2035"/>
      <c r="L3" s="2035"/>
      <c r="M3" s="2035"/>
      <c r="N3" s="2035"/>
      <c r="O3" s="2035"/>
      <c r="P3" s="2035"/>
      <c r="Q3" s="2035"/>
      <c r="R3" s="2035"/>
      <c r="S3" s="2035"/>
    </row>
    <row r="4" spans="1:28" ht="12" customHeight="1" x14ac:dyDescent="0.2">
      <c r="A4" s="37"/>
      <c r="I4" s="2036" t="s">
        <v>524</v>
      </c>
      <c r="J4" s="2035"/>
      <c r="K4" s="2035"/>
      <c r="L4" s="2035"/>
      <c r="M4" s="2035"/>
      <c r="N4" s="2035"/>
      <c r="O4" s="2035"/>
      <c r="P4" s="2035"/>
      <c r="Q4" s="2035"/>
      <c r="R4" s="2035"/>
      <c r="S4" s="2035"/>
    </row>
    <row r="5" spans="1:28" ht="14.1" customHeight="1" x14ac:dyDescent="0.2">
      <c r="B5" s="104" t="s">
        <v>2070</v>
      </c>
      <c r="C5" s="26" t="s">
        <v>910</v>
      </c>
      <c r="D5" s="84"/>
      <c r="E5" s="84"/>
      <c r="H5" s="38"/>
      <c r="I5" s="2043" t="s">
        <v>680</v>
      </c>
      <c r="J5" s="1988"/>
      <c r="K5" s="1988"/>
      <c r="L5" s="1988"/>
      <c r="M5" s="1988"/>
      <c r="N5" s="1988"/>
      <c r="O5" s="1988"/>
      <c r="P5" s="1988"/>
      <c r="Q5" s="1988"/>
      <c r="R5" s="1988"/>
      <c r="S5" s="1988"/>
    </row>
    <row r="6" spans="1:28" ht="14.1" customHeight="1" x14ac:dyDescent="0.2">
      <c r="B6" s="104"/>
      <c r="C6" s="26" t="s">
        <v>911</v>
      </c>
      <c r="D6" s="84"/>
      <c r="E6" s="84"/>
      <c r="I6" s="2042" t="s">
        <v>883</v>
      </c>
      <c r="J6" s="1988"/>
      <c r="K6" s="1988"/>
      <c r="L6" s="1988"/>
      <c r="M6" s="1988"/>
      <c r="N6" s="1988"/>
      <c r="O6" s="1988"/>
      <c r="P6" s="1988"/>
      <c r="Q6" s="1988"/>
      <c r="R6" s="1988"/>
      <c r="S6" s="1988"/>
    </row>
    <row r="7" spans="1:28" ht="12.2" customHeight="1" x14ac:dyDescent="0.2">
      <c r="I7" s="2037">
        <v>43646</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674</v>
      </c>
      <c r="J9" s="2040"/>
      <c r="K9" s="2040"/>
      <c r="L9" s="2040"/>
      <c r="M9" s="2040"/>
      <c r="N9" s="2040"/>
      <c r="O9" s="2040"/>
      <c r="P9" s="2040"/>
      <c r="Q9" s="2040"/>
      <c r="R9" s="2040"/>
      <c r="S9" s="2041"/>
      <c r="T9" s="1984" t="s">
        <v>533</v>
      </c>
      <c r="U9" s="1985"/>
      <c r="V9" s="1985"/>
      <c r="W9" s="1985"/>
      <c r="X9" s="1985"/>
      <c r="Y9" s="1985"/>
      <c r="Z9" s="1985"/>
      <c r="AA9" s="1986"/>
    </row>
    <row r="10" spans="1:28" ht="13.5" customHeight="1" x14ac:dyDescent="0.2">
      <c r="A10" s="1993" t="s">
        <v>675</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955</v>
      </c>
      <c r="B11" s="1997"/>
      <c r="C11" s="1997"/>
      <c r="D11" s="1997"/>
      <c r="E11" s="1997"/>
      <c r="F11" s="1997"/>
      <c r="G11" s="1997"/>
      <c r="H11" s="1998"/>
      <c r="I11" s="27"/>
      <c r="J11" s="74"/>
      <c r="K11" s="27"/>
      <c r="O11" s="148" t="s">
        <v>2070</v>
      </c>
      <c r="P11" s="100" t="s">
        <v>201</v>
      </c>
      <c r="Q11" s="30"/>
      <c r="R11" s="28"/>
      <c r="S11" s="27"/>
      <c r="T11" s="1990"/>
      <c r="U11" s="1991"/>
      <c r="V11" s="1991"/>
      <c r="W11" s="1991"/>
      <c r="X11" s="1991"/>
      <c r="Y11" s="1991"/>
      <c r="Z11" s="1991"/>
      <c r="AA11" s="1992"/>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04">
        <v>26029003026</v>
      </c>
      <c r="B13" s="2005"/>
      <c r="C13" s="2005"/>
      <c r="D13" s="2005"/>
      <c r="E13" s="2005"/>
      <c r="F13" s="2005"/>
      <c r="G13" s="2005"/>
      <c r="H13" s="2006"/>
      <c r="I13" s="31"/>
      <c r="J13" s="30"/>
      <c r="K13" s="28"/>
      <c r="L13" s="30"/>
      <c r="M13" s="30"/>
      <c r="N13" s="30"/>
      <c r="O13" s="30"/>
      <c r="P13" s="30"/>
      <c r="Q13" s="30"/>
      <c r="R13" s="30"/>
      <c r="S13" s="30"/>
      <c r="T13" s="2009" t="s">
        <v>2072</v>
      </c>
      <c r="U13" s="2010"/>
      <c r="V13" s="2010"/>
      <c r="W13" s="2010"/>
      <c r="X13" s="2010"/>
      <c r="Y13" s="2011"/>
      <c r="Z13" s="2011"/>
      <c r="AA13" s="2012"/>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02" t="s">
        <v>2073</v>
      </c>
      <c r="B15" s="2007"/>
      <c r="C15" s="2007"/>
      <c r="D15" s="2007"/>
      <c r="E15" s="2007"/>
      <c r="F15" s="2007"/>
      <c r="G15" s="2007"/>
      <c r="H15" s="2008"/>
      <c r="T15" s="1970" t="s">
        <v>2077</v>
      </c>
      <c r="U15" s="1971"/>
      <c r="V15" s="1971"/>
      <c r="W15" s="1971"/>
      <c r="X15" s="1971"/>
      <c r="Y15" s="2013"/>
      <c r="Z15" s="2013"/>
      <c r="AA15" s="2014"/>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62" t="s">
        <v>2131</v>
      </c>
      <c r="B17" s="2032"/>
      <c r="C17" s="2032"/>
      <c r="D17" s="2032"/>
      <c r="E17" s="2032"/>
      <c r="F17" s="2032"/>
      <c r="G17" s="2032"/>
      <c r="H17" s="2033"/>
      <c r="T17" s="2019" t="s">
        <v>2064</v>
      </c>
      <c r="U17" s="2020"/>
      <c r="V17" s="2020"/>
      <c r="W17" s="2020"/>
      <c r="X17" s="2020"/>
      <c r="Y17" s="2020"/>
      <c r="Z17" s="2020"/>
      <c r="AA17" s="2021"/>
    </row>
    <row r="18" spans="1:27" ht="13.5" customHeight="1" x14ac:dyDescent="0.2">
      <c r="A18" s="85" t="s">
        <v>530</v>
      </c>
      <c r="B18" s="76"/>
      <c r="C18" s="72"/>
      <c r="D18" s="76"/>
      <c r="E18" s="76"/>
      <c r="F18" s="76"/>
      <c r="G18" s="76"/>
      <c r="H18" s="56"/>
      <c r="I18" s="2029" t="s">
        <v>676</v>
      </c>
      <c r="J18" s="2030"/>
      <c r="K18" s="2030"/>
      <c r="L18" s="2030"/>
      <c r="M18" s="2030"/>
      <c r="N18" s="2030"/>
      <c r="O18" s="2030"/>
      <c r="P18" s="2030"/>
      <c r="Q18" s="2030"/>
      <c r="R18" s="2030"/>
      <c r="S18" s="2031"/>
      <c r="T18" s="85" t="s">
        <v>711</v>
      </c>
      <c r="U18" s="51"/>
      <c r="V18" s="72"/>
      <c r="W18" s="50"/>
      <c r="X18" s="85" t="s">
        <v>266</v>
      </c>
      <c r="Y18" s="81"/>
      <c r="Z18" s="159" t="s">
        <v>677</v>
      </c>
      <c r="AA18" s="46"/>
    </row>
    <row r="19" spans="1:27" ht="13.5" customHeight="1" x14ac:dyDescent="0.2">
      <c r="A19" s="2002" t="s">
        <v>2074</v>
      </c>
      <c r="B19" s="2003"/>
      <c r="C19" s="2003"/>
      <c r="D19" s="2003"/>
      <c r="E19" s="2003"/>
      <c r="F19" s="2003"/>
      <c r="G19" s="2003"/>
      <c r="H19" s="2001"/>
      <c r="I19" s="30"/>
      <c r="J19" s="99"/>
      <c r="K19" s="40"/>
      <c r="L19" s="38"/>
      <c r="M19" s="112" t="s">
        <v>315</v>
      </c>
      <c r="P19" s="27"/>
      <c r="Q19" s="27"/>
      <c r="R19" s="27"/>
      <c r="S19" s="31"/>
      <c r="T19" s="2002" t="s">
        <v>2065</v>
      </c>
      <c r="U19" s="2000"/>
      <c r="V19" s="2000"/>
      <c r="W19" s="2001"/>
      <c r="X19" s="2017" t="s">
        <v>2066</v>
      </c>
      <c r="Y19" s="2018"/>
      <c r="Z19" s="2015">
        <v>61614</v>
      </c>
      <c r="AA19" s="2016"/>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99" t="s">
        <v>2075</v>
      </c>
      <c r="B21" s="2000"/>
      <c r="C21" s="2000"/>
      <c r="D21" s="2000"/>
      <c r="E21" s="2000"/>
      <c r="F21" s="2000"/>
      <c r="G21" s="2000"/>
      <c r="H21" s="2001"/>
      <c r="I21" s="2025" t="s">
        <v>678</v>
      </c>
      <c r="J21" s="1988"/>
      <c r="K21" s="1988"/>
      <c r="L21" s="1988"/>
      <c r="M21" s="1988"/>
      <c r="N21" s="1988"/>
      <c r="O21" s="1988"/>
      <c r="P21" s="1988"/>
      <c r="Q21" s="1988"/>
      <c r="R21" s="1988"/>
      <c r="S21" s="1989"/>
      <c r="T21" s="1967" t="s">
        <v>2067</v>
      </c>
      <c r="U21" s="1968"/>
      <c r="V21" s="1968"/>
      <c r="W21" s="1968"/>
      <c r="X21" s="1981" t="s">
        <v>2068</v>
      </c>
      <c r="Y21" s="1982"/>
      <c r="Z21" s="1982"/>
      <c r="AA21" s="1983"/>
    </row>
    <row r="22" spans="1:27" ht="13.5" customHeight="1" x14ac:dyDescent="0.2">
      <c r="A22" s="87" t="s">
        <v>531</v>
      </c>
      <c r="B22" s="59"/>
      <c r="C22" s="59"/>
      <c r="D22" s="59"/>
      <c r="E22" s="59"/>
      <c r="F22" s="59"/>
      <c r="G22" s="59"/>
      <c r="H22" s="60"/>
      <c r="I22" s="2026" t="s">
        <v>1429</v>
      </c>
      <c r="J22" s="2027"/>
      <c r="K22" s="2027"/>
      <c r="L22" s="2027"/>
      <c r="M22" s="2027"/>
      <c r="N22" s="2027"/>
      <c r="O22" s="2027"/>
      <c r="P22" s="2027"/>
      <c r="Q22" s="2027"/>
      <c r="R22" s="2027"/>
      <c r="S22" s="2028"/>
      <c r="T22" s="85" t="s">
        <v>1516</v>
      </c>
      <c r="U22" s="51"/>
      <c r="V22" s="72"/>
      <c r="W22" s="51"/>
      <c r="X22" s="160" t="s">
        <v>1318</v>
      </c>
      <c r="Z22" s="45"/>
      <c r="AA22" s="46"/>
    </row>
    <row r="23" spans="1:27" ht="13.5" customHeight="1" x14ac:dyDescent="0.2">
      <c r="A23" s="2022" t="s">
        <v>2076</v>
      </c>
      <c r="B23" s="2023"/>
      <c r="C23" s="2023"/>
      <c r="D23" s="2023"/>
      <c r="E23" s="2023"/>
      <c r="F23" s="2023"/>
      <c r="G23" s="2023"/>
      <c r="H23" s="2024"/>
      <c r="T23" s="1962" t="s">
        <v>2069</v>
      </c>
      <c r="U23" s="1963"/>
      <c r="V23" s="1963"/>
      <c r="W23" s="1963"/>
      <c r="X23" s="1978">
        <v>44501</v>
      </c>
      <c r="Y23" s="1979"/>
      <c r="Z23" s="1979"/>
      <c r="AA23" s="1980"/>
    </row>
    <row r="24" spans="1:27" ht="14.1" customHeight="1" x14ac:dyDescent="0.2">
      <c r="A24" s="88" t="s">
        <v>677</v>
      </c>
      <c r="B24" s="49"/>
      <c r="C24" s="49"/>
      <c r="D24" s="49"/>
      <c r="E24" s="49"/>
      <c r="F24" s="49"/>
      <c r="G24" s="49"/>
      <c r="H24" s="61"/>
      <c r="J24" s="2064" t="str">
        <f>IF(B5="x",IF(AUDITCHECK!D29="AFR form Incomplete.","",IF(AUDITCHECK!D29="Deficit reduction plan is required.","School District must complete a deficit reduction plan in the 2019-2020 Budget",)),"")</f>
        <v>School District must complete a deficit reduction plan in the 2019-2020 Budget</v>
      </c>
      <c r="K24" s="2064"/>
      <c r="L24" s="2064"/>
      <c r="M24" s="2064"/>
      <c r="N24" s="2064"/>
      <c r="O24" s="2064"/>
      <c r="P24" s="2064"/>
      <c r="Q24" s="2064"/>
      <c r="R24" s="2064"/>
      <c r="S24" s="2065"/>
      <c r="T24" s="105" t="s">
        <v>531</v>
      </c>
      <c r="U24" s="106"/>
      <c r="V24" s="106"/>
      <c r="W24" s="106"/>
      <c r="X24" s="107"/>
      <c r="Y24" s="107"/>
      <c r="Z24" s="107"/>
      <c r="AA24" s="108"/>
    </row>
    <row r="25" spans="1:27" ht="14.1" customHeight="1" x14ac:dyDescent="0.2">
      <c r="A25" s="1999">
        <v>61427</v>
      </c>
      <c r="B25" s="2000"/>
      <c r="C25" s="2000"/>
      <c r="D25" s="2000"/>
      <c r="E25" s="2000"/>
      <c r="F25" s="2000"/>
      <c r="G25" s="2000"/>
      <c r="H25" s="2001"/>
      <c r="I25" s="113"/>
      <c r="J25" s="2066"/>
      <c r="K25" s="2066"/>
      <c r="L25" s="2066"/>
      <c r="M25" s="2066"/>
      <c r="N25" s="2066"/>
      <c r="O25" s="2066"/>
      <c r="P25" s="2066"/>
      <c r="Q25" s="2066"/>
      <c r="R25" s="2066"/>
      <c r="S25" s="2067"/>
      <c r="T25" s="1959" t="s">
        <v>2078</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57" t="s">
        <v>1511</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2070</v>
      </c>
      <c r="M29" s="40" t="s">
        <v>99</v>
      </c>
      <c r="N29" s="32" t="s">
        <v>1523</v>
      </c>
      <c r="O29" s="32"/>
      <c r="P29" s="32"/>
      <c r="Q29" s="32"/>
      <c r="R29" s="32"/>
      <c r="S29" s="123"/>
      <c r="T29" s="6"/>
      <c r="U29" s="6"/>
      <c r="V29" s="6"/>
      <c r="W29" s="6"/>
      <c r="X29" s="6"/>
      <c r="Y29" s="6"/>
      <c r="Z29" s="6"/>
      <c r="AA29" s="132"/>
    </row>
    <row r="30" spans="1:27" ht="13.5" customHeight="1" x14ac:dyDescent="0.2">
      <c r="A30" s="153"/>
      <c r="B30" s="136" t="s">
        <v>2070</v>
      </c>
      <c r="C30" s="124" t="s">
        <v>1164</v>
      </c>
      <c r="D30" s="28"/>
      <c r="E30" s="28"/>
      <c r="F30" s="140"/>
      <c r="G30" s="114"/>
      <c r="H30" s="114"/>
      <c r="I30" s="54"/>
      <c r="J30" s="102"/>
      <c r="K30" s="28" t="s">
        <v>576</v>
      </c>
      <c r="L30" s="148" t="s">
        <v>2070</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2070</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62" t="s">
        <v>2079</v>
      </c>
      <c r="B38" s="2032"/>
      <c r="C38" s="2032"/>
      <c r="D38" s="2032"/>
      <c r="E38" s="2032"/>
      <c r="F38" s="2000"/>
      <c r="G38" s="2000"/>
      <c r="H38" s="2001"/>
      <c r="I38" s="2051"/>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5" t="s">
        <v>531</v>
      </c>
      <c r="B39" s="2056"/>
      <c r="C39" s="72"/>
      <c r="D39" s="69"/>
      <c r="E39" s="69"/>
      <c r="F39" s="79"/>
      <c r="G39" s="69"/>
      <c r="H39" s="56"/>
      <c r="I39" s="2055" t="s">
        <v>531</v>
      </c>
      <c r="J39" s="2056"/>
      <c r="K39" s="2056"/>
      <c r="L39" s="2056"/>
      <c r="M39" s="2056"/>
      <c r="N39" s="67"/>
      <c r="O39" s="72"/>
      <c r="P39" s="72"/>
      <c r="Q39" s="78"/>
      <c r="R39" s="72"/>
      <c r="S39" s="56"/>
      <c r="T39" s="72" t="s">
        <v>531</v>
      </c>
      <c r="U39" s="51"/>
      <c r="V39" s="72"/>
      <c r="W39" s="50"/>
      <c r="X39" s="78"/>
      <c r="Y39" s="45"/>
      <c r="Z39" s="45"/>
      <c r="AA39" s="46"/>
    </row>
    <row r="40" spans="1:27" ht="13.5" customHeight="1" x14ac:dyDescent="0.2">
      <c r="A40" s="2058" t="s">
        <v>2076</v>
      </c>
      <c r="B40" s="2059"/>
      <c r="C40" s="2060"/>
      <c r="D40" s="2060"/>
      <c r="E40" s="2060"/>
      <c r="F40" s="2061"/>
      <c r="G40" s="2061"/>
      <c r="H40" s="2062"/>
      <c r="I40" s="1974"/>
      <c r="J40" s="1976"/>
      <c r="K40" s="1976"/>
      <c r="L40" s="1976"/>
      <c r="M40" s="1976"/>
      <c r="N40" s="1976"/>
      <c r="O40" s="1976"/>
      <c r="P40" s="1976"/>
      <c r="Q40" s="1976"/>
      <c r="R40" s="1976"/>
      <c r="S40" s="1977"/>
      <c r="T40" s="1974"/>
      <c r="U40" s="1975"/>
      <c r="V40" s="1976"/>
      <c r="W40" s="1976"/>
      <c r="X40" s="1976"/>
      <c r="Y40" s="1976"/>
      <c r="Z40" s="1976"/>
      <c r="AA40" s="1977"/>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48" t="s">
        <v>2080</v>
      </c>
      <c r="B42" s="2049"/>
      <c r="C42" s="2050"/>
      <c r="D42" s="2063" t="s">
        <v>2081</v>
      </c>
      <c r="E42" s="2049"/>
      <c r="F42" s="2049"/>
      <c r="G42" s="2049"/>
      <c r="H42" s="2050"/>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201" t="s">
        <v>1802</v>
      </c>
      <c r="B2" s="1525" t="s">
        <v>1951</v>
      </c>
      <c r="C2" s="711" t="s">
        <v>1952</v>
      </c>
      <c r="D2" s="711" t="s">
        <v>1953</v>
      </c>
      <c r="E2" s="711" t="s">
        <v>1954</v>
      </c>
      <c r="F2" s="711" t="s">
        <v>1955</v>
      </c>
    </row>
    <row r="3" spans="1:6" ht="12" customHeight="1" x14ac:dyDescent="0.2">
      <c r="A3" s="2202"/>
      <c r="B3" s="1522"/>
      <c r="C3" s="1523"/>
      <c r="D3" s="1524" t="s">
        <v>256</v>
      </c>
      <c r="E3" s="1523"/>
      <c r="F3" s="1524" t="s">
        <v>257</v>
      </c>
    </row>
    <row r="4" spans="1:6" ht="13.7" customHeight="1" x14ac:dyDescent="0.2">
      <c r="A4" s="712" t="s">
        <v>1155</v>
      </c>
      <c r="B4" s="1746">
        <f>'Revenues 9-14'!C5</f>
        <v>661840</v>
      </c>
      <c r="C4" s="1521">
        <v>21264</v>
      </c>
      <c r="D4" s="1749">
        <f>B4-C4</f>
        <v>640576</v>
      </c>
      <c r="E4" s="1521">
        <v>1535389</v>
      </c>
      <c r="F4" s="1749">
        <f>E4-C4</f>
        <v>1514125</v>
      </c>
    </row>
    <row r="5" spans="1:6" ht="13.7" customHeight="1" x14ac:dyDescent="0.2">
      <c r="A5" s="712" t="s">
        <v>870</v>
      </c>
      <c r="B5" s="1747">
        <f>'Revenues 9-14'!D5</f>
        <v>101824</v>
      </c>
      <c r="C5" s="582">
        <v>3272</v>
      </c>
      <c r="D5" s="1750">
        <f t="shared" ref="D5:D18" si="0">B5-C5</f>
        <v>98552</v>
      </c>
      <c r="E5" s="582">
        <v>236214</v>
      </c>
      <c r="F5" s="1750">
        <f>E5-C5</f>
        <v>232942</v>
      </c>
    </row>
    <row r="6" spans="1:6" ht="13.7" customHeight="1" x14ac:dyDescent="0.2">
      <c r="A6" s="712" t="s">
        <v>411</v>
      </c>
      <c r="B6" s="1747">
        <f>'Revenues 9-14'!E5</f>
        <v>158124</v>
      </c>
      <c r="C6" s="582">
        <v>5042</v>
      </c>
      <c r="D6" s="1750">
        <f t="shared" si="0"/>
        <v>153082</v>
      </c>
      <c r="E6" s="582">
        <v>364053</v>
      </c>
      <c r="F6" s="1750">
        <f t="shared" ref="F6:F18" si="1">E6-C6</f>
        <v>359011</v>
      </c>
    </row>
    <row r="7" spans="1:6" ht="13.7" customHeight="1" x14ac:dyDescent="0.2">
      <c r="A7" s="712" t="s">
        <v>155</v>
      </c>
      <c r="B7" s="1747">
        <f>'Revenues 9-14'!F5</f>
        <v>40729</v>
      </c>
      <c r="C7" s="582">
        <v>1309</v>
      </c>
      <c r="D7" s="1750">
        <f t="shared" si="0"/>
        <v>39420</v>
      </c>
      <c r="E7" s="582">
        <v>94485</v>
      </c>
      <c r="F7" s="1750">
        <f t="shared" si="1"/>
        <v>93176</v>
      </c>
    </row>
    <row r="8" spans="1:6" ht="13.7" customHeight="1" x14ac:dyDescent="0.2">
      <c r="A8" s="712" t="s">
        <v>1179</v>
      </c>
      <c r="B8" s="1747">
        <f>'Revenues 9-14'!G5</f>
        <v>49513</v>
      </c>
      <c r="C8" s="582">
        <v>1551</v>
      </c>
      <c r="D8" s="1750">
        <f t="shared" si="0"/>
        <v>47962</v>
      </c>
      <c r="E8" s="582">
        <v>112013</v>
      </c>
      <c r="F8" s="1750">
        <f t="shared" si="1"/>
        <v>110462</v>
      </c>
    </row>
    <row r="9" spans="1:6" ht="13.7" customHeight="1" x14ac:dyDescent="0.2">
      <c r="A9" s="712" t="s">
        <v>408</v>
      </c>
      <c r="B9" s="1747">
        <f>'Revenues 9-14'!H5</f>
        <v>0</v>
      </c>
      <c r="C9" s="582">
        <v>0</v>
      </c>
      <c r="D9" s="1750">
        <f t="shared" si="0"/>
        <v>0</v>
      </c>
      <c r="E9" s="582">
        <v>0</v>
      </c>
      <c r="F9" s="1750">
        <f t="shared" si="1"/>
        <v>0</v>
      </c>
    </row>
    <row r="10" spans="1:6" ht="13.7" customHeight="1" x14ac:dyDescent="0.2">
      <c r="A10" s="712" t="s">
        <v>407</v>
      </c>
      <c r="B10" s="1747">
        <f>'Revenues 9-14'!I5</f>
        <v>10182</v>
      </c>
      <c r="C10" s="582">
        <v>327</v>
      </c>
      <c r="D10" s="1750">
        <f t="shared" si="0"/>
        <v>9855</v>
      </c>
      <c r="E10" s="582">
        <v>23621</v>
      </c>
      <c r="F10" s="1750">
        <f t="shared" si="1"/>
        <v>23294</v>
      </c>
    </row>
    <row r="11" spans="1:6" x14ac:dyDescent="0.2">
      <c r="A11" s="712" t="s">
        <v>409</v>
      </c>
      <c r="B11" s="1747">
        <f>'Revenues 9-14'!J5</f>
        <v>78269</v>
      </c>
      <c r="C11" s="582">
        <v>3324</v>
      </c>
      <c r="D11" s="1750">
        <f t="shared" si="0"/>
        <v>74945</v>
      </c>
      <c r="E11" s="582">
        <v>240040</v>
      </c>
      <c r="F11" s="1750">
        <f t="shared" si="1"/>
        <v>236716</v>
      </c>
    </row>
    <row r="12" spans="1:6" ht="13.7" customHeight="1" x14ac:dyDescent="0.2">
      <c r="A12" s="712" t="s">
        <v>157</v>
      </c>
      <c r="B12" s="1747">
        <f>'Revenues 9-14'!K5</f>
        <v>10182</v>
      </c>
      <c r="C12" s="582">
        <v>327</v>
      </c>
      <c r="D12" s="1750">
        <f t="shared" si="0"/>
        <v>9855</v>
      </c>
      <c r="E12" s="582">
        <v>23621</v>
      </c>
      <c r="F12" s="1750">
        <f t="shared" si="1"/>
        <v>23294</v>
      </c>
    </row>
    <row r="13" spans="1:6" ht="13.7" customHeight="1" x14ac:dyDescent="0.2">
      <c r="A13" s="712" t="s">
        <v>936</v>
      </c>
      <c r="B13" s="1747">
        <f>SUM('Revenues 9-14'!C6:D6)</f>
        <v>10182</v>
      </c>
      <c r="C13" s="582">
        <v>327</v>
      </c>
      <c r="D13" s="1750">
        <f t="shared" si="0"/>
        <v>9855</v>
      </c>
      <c r="E13" s="582">
        <v>23621</v>
      </c>
      <c r="F13" s="1750">
        <f t="shared" si="1"/>
        <v>23294</v>
      </c>
    </row>
    <row r="14" spans="1:6" ht="13.7" customHeight="1" x14ac:dyDescent="0.2">
      <c r="A14" s="712" t="s">
        <v>410</v>
      </c>
      <c r="B14" s="1747">
        <f>SUM('Revenues 9-14'!C7:D7,'Revenues 9-14'!F7:H7)</f>
        <v>8146</v>
      </c>
      <c r="C14" s="582">
        <v>262</v>
      </c>
      <c r="D14" s="1750">
        <f t="shared" si="0"/>
        <v>7884</v>
      </c>
      <c r="E14" s="582">
        <v>18897</v>
      </c>
      <c r="F14" s="1750">
        <f t="shared" si="1"/>
        <v>18635</v>
      </c>
    </row>
    <row r="15" spans="1:6" ht="13.7" customHeight="1" x14ac:dyDescent="0.2">
      <c r="A15" s="712" t="s">
        <v>1158</v>
      </c>
      <c r="B15" s="1747">
        <f>SUM('Revenues 9-14'!D9:E9,'Revenues 9-14'!H9)</f>
        <v>0</v>
      </c>
      <c r="C15" s="582">
        <v>0</v>
      </c>
      <c r="D15" s="1750">
        <f t="shared" si="0"/>
        <v>0</v>
      </c>
      <c r="E15" s="582">
        <v>0</v>
      </c>
      <c r="F15" s="1750">
        <f t="shared" si="1"/>
        <v>0</v>
      </c>
    </row>
    <row r="16" spans="1:6" ht="13.7" customHeight="1" x14ac:dyDescent="0.2">
      <c r="A16" s="712" t="s">
        <v>1159</v>
      </c>
      <c r="B16" s="1747">
        <f>'Revenues 9-14'!G8</f>
        <v>45096</v>
      </c>
      <c r="C16" s="582">
        <v>1413</v>
      </c>
      <c r="D16" s="1750">
        <f t="shared" si="0"/>
        <v>43683</v>
      </c>
      <c r="E16" s="582">
        <v>102044</v>
      </c>
      <c r="F16" s="1750">
        <f t="shared" si="1"/>
        <v>100631</v>
      </c>
    </row>
    <row r="17" spans="1:6" ht="13.7" customHeight="1" x14ac:dyDescent="0.2">
      <c r="A17" s="712" t="s">
        <v>1160</v>
      </c>
      <c r="B17" s="1747">
        <f>'Revenues 9-14'!C10</f>
        <v>0</v>
      </c>
      <c r="C17" s="582">
        <v>0</v>
      </c>
      <c r="D17" s="1750">
        <f t="shared" si="0"/>
        <v>0</v>
      </c>
      <c r="E17" s="582">
        <v>0</v>
      </c>
      <c r="F17" s="1750">
        <f t="shared" si="1"/>
        <v>0</v>
      </c>
    </row>
    <row r="18" spans="1:6" ht="13.7" customHeight="1" x14ac:dyDescent="0.2">
      <c r="A18" s="712" t="s">
        <v>762</v>
      </c>
      <c r="B18" s="1747">
        <f>SUM('Revenues 9-14'!C11:K11)</f>
        <v>0</v>
      </c>
      <c r="C18" s="582">
        <v>0</v>
      </c>
      <c r="D18" s="1750">
        <f t="shared" si="0"/>
        <v>0</v>
      </c>
      <c r="E18" s="582">
        <v>0</v>
      </c>
      <c r="F18" s="1750">
        <f t="shared" si="1"/>
        <v>0</v>
      </c>
    </row>
    <row r="19" spans="1:6" ht="13.7" customHeight="1" thickBot="1" x14ac:dyDescent="0.25">
      <c r="A19" s="1751" t="s">
        <v>1161</v>
      </c>
      <c r="B19" s="1748">
        <f>SUM(B4:B18)</f>
        <v>1174087</v>
      </c>
      <c r="C19" s="1748">
        <f>SUM(C4:C18)</f>
        <v>38418</v>
      </c>
      <c r="D19" s="1748">
        <f>SUM(D4:D18)</f>
        <v>1135669</v>
      </c>
      <c r="E19" s="1748">
        <f>SUM(E4:E18)</f>
        <v>2773998</v>
      </c>
      <c r="F19" s="1748">
        <f>SUM(F4:F18)</f>
        <v>2735580</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629</v>
      </c>
      <c r="B1" s="2208"/>
      <c r="C1" s="718"/>
    </row>
    <row r="2" spans="1:7" ht="33.75" x14ac:dyDescent="0.2">
      <c r="A2" s="2216" t="s">
        <v>1802</v>
      </c>
      <c r="B2" s="2217"/>
      <c r="C2" s="1881" t="s">
        <v>1956</v>
      </c>
      <c r="D2" s="720" t="s">
        <v>1957</v>
      </c>
      <c r="E2" s="720" t="s">
        <v>1958</v>
      </c>
      <c r="F2" s="1881" t="s">
        <v>1959</v>
      </c>
    </row>
    <row r="3" spans="1:7" ht="15.75" customHeight="1" x14ac:dyDescent="0.2">
      <c r="A3" s="2220" t="s">
        <v>1114</v>
      </c>
      <c r="B3" s="2221"/>
      <c r="C3" s="2209"/>
      <c r="D3" s="2210"/>
      <c r="E3" s="2210"/>
      <c r="F3" s="2211"/>
    </row>
    <row r="4" spans="1:7" ht="12.75" customHeight="1" thickBot="1" x14ac:dyDescent="0.25">
      <c r="A4" s="2218" t="s">
        <v>630</v>
      </c>
      <c r="B4" s="2219"/>
      <c r="C4" s="578"/>
      <c r="D4" s="578"/>
      <c r="E4" s="578"/>
      <c r="F4" s="1752">
        <f>SUM(C4+D4)-E4</f>
        <v>0</v>
      </c>
    </row>
    <row r="5" spans="1:7" ht="15.75" customHeight="1" thickTop="1" x14ac:dyDescent="0.2">
      <c r="A5" s="2203" t="s">
        <v>1110</v>
      </c>
      <c r="B5" s="2204"/>
      <c r="C5" s="2212"/>
      <c r="D5" s="2213"/>
      <c r="E5" s="2213"/>
      <c r="F5" s="2214"/>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205" t="s">
        <v>631</v>
      </c>
      <c r="B15" s="2206"/>
      <c r="C15" s="1752">
        <f>SUM(C6:C14)</f>
        <v>0</v>
      </c>
      <c r="D15" s="1752">
        <f>SUM(D6:D14)</f>
        <v>0</v>
      </c>
      <c r="E15" s="1752">
        <f>SUM(E6:E14)</f>
        <v>0</v>
      </c>
      <c r="F15" s="1752">
        <f>SUM(F6:F14)</f>
        <v>0</v>
      </c>
      <c r="G15" s="549"/>
    </row>
    <row r="16" spans="1:7" s="202" customFormat="1" ht="15.75" customHeight="1" thickTop="1" x14ac:dyDescent="0.2">
      <c r="A16" s="2215" t="s">
        <v>1111</v>
      </c>
      <c r="B16" s="2204"/>
      <c r="C16" s="2212"/>
      <c r="D16" s="2213"/>
      <c r="E16" s="2213"/>
      <c r="F16" s="2214"/>
    </row>
    <row r="17" spans="1:11" ht="12.75" customHeight="1" thickBot="1" x14ac:dyDescent="0.25">
      <c r="A17" s="2228" t="s">
        <v>64</v>
      </c>
      <c r="B17" s="2229"/>
      <c r="C17" s="723"/>
      <c r="D17" s="582"/>
      <c r="E17" s="723"/>
      <c r="F17" s="1752">
        <f>SUM(C17+D17)-E17</f>
        <v>0</v>
      </c>
    </row>
    <row r="18" spans="1:11" ht="12.75" customHeight="1" thickTop="1" thickBot="1" x14ac:dyDescent="0.25">
      <c r="A18" s="2228" t="s">
        <v>6</v>
      </c>
      <c r="B18" s="2229"/>
      <c r="C18" s="723"/>
      <c r="D18" s="582"/>
      <c r="E18" s="723"/>
      <c r="F18" s="1752">
        <f>SUM(C18+D18)-E18</f>
        <v>0</v>
      </c>
    </row>
    <row r="19" spans="1:11" ht="12.75" customHeight="1" thickTop="1" thickBot="1" x14ac:dyDescent="0.25">
      <c r="A19" s="2228" t="s">
        <v>388</v>
      </c>
      <c r="B19" s="2229"/>
      <c r="C19" s="723"/>
      <c r="D19" s="582"/>
      <c r="E19" s="723"/>
      <c r="F19" s="1752">
        <f>SUM(C19+D19)-E19</f>
        <v>0</v>
      </c>
    </row>
    <row r="20" spans="1:11" ht="12.75" customHeight="1" thickTop="1" thickBot="1" x14ac:dyDescent="0.25">
      <c r="A20" s="2228" t="s">
        <v>448</v>
      </c>
      <c r="B20" s="2229"/>
      <c r="C20" s="723"/>
      <c r="D20" s="582"/>
      <c r="E20" s="723"/>
      <c r="F20" s="1752">
        <f>SUM(C20+D20)-E20</f>
        <v>0</v>
      </c>
    </row>
    <row r="21" spans="1:11" ht="14.25" thickTop="1" thickBot="1" x14ac:dyDescent="0.25">
      <c r="A21" s="2205" t="s">
        <v>632</v>
      </c>
      <c r="B21" s="2206"/>
      <c r="C21" s="1752">
        <f>SUM(C17:C20)</f>
        <v>0</v>
      </c>
      <c r="D21" s="1752">
        <f>SUM(D17:D20)</f>
        <v>0</v>
      </c>
      <c r="E21" s="1752">
        <f>SUM(E17:E20)</f>
        <v>0</v>
      </c>
      <c r="F21" s="1752">
        <f>SUM(F17:F20)</f>
        <v>0</v>
      </c>
      <c r="G21" s="549"/>
    </row>
    <row r="22" spans="1:11" ht="15.75" customHeight="1" thickTop="1" x14ac:dyDescent="0.2">
      <c r="A22" s="2230" t="s">
        <v>1112</v>
      </c>
      <c r="B22" s="2204"/>
      <c r="C22" s="2212"/>
      <c r="D22" s="2213"/>
      <c r="E22" s="2213"/>
      <c r="F22" s="2214"/>
    </row>
    <row r="23" spans="1:11" ht="13.5" thickBot="1" x14ac:dyDescent="0.25">
      <c r="A23" s="2218" t="s">
        <v>633</v>
      </c>
      <c r="B23" s="2219"/>
      <c r="C23" s="578"/>
      <c r="D23" s="578"/>
      <c r="E23" s="578"/>
      <c r="F23" s="1752">
        <f>SUM(C23+D23)-E23</f>
        <v>0</v>
      </c>
      <c r="G23" s="549"/>
    </row>
    <row r="24" spans="1:11" ht="15.75" customHeight="1" thickTop="1" x14ac:dyDescent="0.2">
      <c r="A24" s="2230" t="s">
        <v>1113</v>
      </c>
      <c r="B24" s="2204"/>
      <c r="C24" s="2212"/>
      <c r="D24" s="2213"/>
      <c r="E24" s="2213"/>
      <c r="F24" s="2214"/>
    </row>
    <row r="25" spans="1:11" ht="13.5" thickBot="1" x14ac:dyDescent="0.25">
      <c r="A25" s="2218" t="s">
        <v>634</v>
      </c>
      <c r="B25" s="2219"/>
      <c r="C25" s="578"/>
      <c r="D25" s="578"/>
      <c r="E25" s="578"/>
      <c r="F25" s="1752">
        <f>SUM(C25+D25)-E25</f>
        <v>0</v>
      </c>
      <c r="G25" s="549"/>
    </row>
    <row r="26" spans="1:11" ht="15.75" customHeight="1" thickTop="1" x14ac:dyDescent="0.2">
      <c r="A26" s="2203" t="s">
        <v>657</v>
      </c>
      <c r="B26" s="2204"/>
      <c r="C26" s="724"/>
      <c r="D26" s="724"/>
      <c r="E26" s="724"/>
      <c r="F26" s="725"/>
    </row>
    <row r="27" spans="1:11" ht="13.5" thickBot="1" x14ac:dyDescent="0.25">
      <c r="A27" s="2205" t="s">
        <v>1070</v>
      </c>
      <c r="B27" s="2206"/>
      <c r="C27" s="582"/>
      <c r="D27" s="582"/>
      <c r="E27" s="582"/>
      <c r="F27" s="1752">
        <f>SUM(C27+D27)-E27</f>
        <v>0</v>
      </c>
      <c r="G27" s="549"/>
    </row>
    <row r="28" spans="1:11" ht="7.5" customHeight="1" thickTop="1" x14ac:dyDescent="0.2">
      <c r="A28" s="590"/>
    </row>
    <row r="29" spans="1:11" ht="23.25" customHeight="1" x14ac:dyDescent="0.2">
      <c r="A29" s="2231" t="s">
        <v>582</v>
      </c>
      <c r="B29" s="2208"/>
      <c r="C29" s="726"/>
      <c r="D29" s="726"/>
      <c r="E29" s="726"/>
      <c r="F29" s="726"/>
      <c r="G29" s="726"/>
      <c r="H29" s="726"/>
      <c r="I29" s="726"/>
      <c r="J29" s="726"/>
    </row>
    <row r="30" spans="1:11" ht="33.75" x14ac:dyDescent="0.2">
      <c r="A30" s="1526" t="s">
        <v>1071</v>
      </c>
      <c r="B30" s="727" t="s">
        <v>1124</v>
      </c>
      <c r="C30" s="1882" t="s">
        <v>583</v>
      </c>
      <c r="D30" s="1882" t="s">
        <v>1673</v>
      </c>
      <c r="E30" s="1882" t="s">
        <v>1960</v>
      </c>
      <c r="F30" s="1882" t="s">
        <v>1961</v>
      </c>
      <c r="G30" s="1882" t="s">
        <v>1911</v>
      </c>
      <c r="H30" s="1882" t="s">
        <v>1962</v>
      </c>
      <c r="I30" s="1882" t="s">
        <v>1963</v>
      </c>
      <c r="J30" s="1883" t="s">
        <v>2</v>
      </c>
      <c r="K30" s="728"/>
    </row>
    <row r="31" spans="1:11" ht="12" customHeight="1" x14ac:dyDescent="0.2">
      <c r="A31" s="729" t="s">
        <v>2082</v>
      </c>
      <c r="B31" s="730">
        <v>41030</v>
      </c>
      <c r="C31" s="731">
        <v>185000</v>
      </c>
      <c r="D31" s="732">
        <v>3</v>
      </c>
      <c r="E31" s="731">
        <v>75000</v>
      </c>
      <c r="F31" s="731"/>
      <c r="G31" s="731"/>
      <c r="H31" s="731">
        <v>25000</v>
      </c>
      <c r="I31" s="1753">
        <f>((E31+F31)-H31)+G31</f>
        <v>50000</v>
      </c>
      <c r="J31" s="731">
        <f>I31-2243</f>
        <v>47757</v>
      </c>
      <c r="K31" s="733"/>
    </row>
    <row r="32" spans="1:11" ht="12" customHeight="1" x14ac:dyDescent="0.2">
      <c r="A32" s="729" t="s">
        <v>2083</v>
      </c>
      <c r="B32" s="730">
        <v>40513</v>
      </c>
      <c r="C32" s="731">
        <v>2175000</v>
      </c>
      <c r="D32" s="732">
        <v>3</v>
      </c>
      <c r="E32" s="731">
        <v>810000</v>
      </c>
      <c r="F32" s="731"/>
      <c r="G32" s="731"/>
      <c r="H32" s="731">
        <v>275000</v>
      </c>
      <c r="I32" s="1753">
        <f>((E32+F32)-H32)+G32</f>
        <v>535000</v>
      </c>
      <c r="J32" s="731">
        <f>I32-6255</f>
        <v>528745</v>
      </c>
      <c r="K32" s="733"/>
    </row>
    <row r="33" spans="1:11" ht="12" customHeight="1" x14ac:dyDescent="0.2">
      <c r="A33" s="729" t="s">
        <v>2119</v>
      </c>
      <c r="B33" s="730">
        <v>40725</v>
      </c>
      <c r="C33" s="731">
        <v>500000</v>
      </c>
      <c r="D33" s="732">
        <v>1</v>
      </c>
      <c r="E33" s="731">
        <v>165000</v>
      </c>
      <c r="F33" s="731"/>
      <c r="G33" s="731"/>
      <c r="H33" s="731">
        <v>55000</v>
      </c>
      <c r="I33" s="1753">
        <f t="shared" ref="I33:I48" si="1">((E33+F33)-H33)+G33</f>
        <v>110000</v>
      </c>
      <c r="J33" s="731">
        <f>I33-3955</f>
        <v>106045</v>
      </c>
      <c r="K33" s="733"/>
    </row>
    <row r="34" spans="1:11" ht="12" customHeight="1" x14ac:dyDescent="0.2">
      <c r="A34" s="729" t="s">
        <v>2084</v>
      </c>
      <c r="B34" s="730">
        <v>41921</v>
      </c>
      <c r="C34" s="731">
        <v>195000</v>
      </c>
      <c r="D34" s="732">
        <v>7</v>
      </c>
      <c r="E34" s="731">
        <v>130000</v>
      </c>
      <c r="F34" s="731"/>
      <c r="G34" s="731"/>
      <c r="H34" s="731">
        <v>25000</v>
      </c>
      <c r="I34" s="1753">
        <f t="shared" si="1"/>
        <v>105000</v>
      </c>
      <c r="J34" s="731">
        <f>I34</f>
        <v>105000</v>
      </c>
      <c r="K34" s="734"/>
    </row>
    <row r="35" spans="1:11" ht="12" customHeight="1" x14ac:dyDescent="0.2">
      <c r="A35" s="729"/>
      <c r="B35" s="730"/>
      <c r="C35" s="735"/>
      <c r="D35" s="732"/>
      <c r="E35" s="735"/>
      <c r="F35" s="735"/>
      <c r="G35" s="735"/>
      <c r="H35" s="735"/>
      <c r="I35" s="1753">
        <f t="shared" si="1"/>
        <v>0</v>
      </c>
      <c r="J35" s="735"/>
      <c r="K35" s="734"/>
    </row>
    <row r="36" spans="1:11" ht="12" customHeight="1" x14ac:dyDescent="0.2">
      <c r="A36" s="729"/>
      <c r="B36" s="730"/>
      <c r="C36" s="731"/>
      <c r="D36" s="732"/>
      <c r="E36" s="731"/>
      <c r="F36" s="731"/>
      <c r="G36" s="731"/>
      <c r="H36" s="731"/>
      <c r="I36" s="1753">
        <f t="shared" si="1"/>
        <v>0</v>
      </c>
      <c r="J36" s="731"/>
      <c r="K36" s="736"/>
    </row>
    <row r="37" spans="1:11" ht="12" customHeight="1" x14ac:dyDescent="0.2">
      <c r="A37" s="729"/>
      <c r="B37" s="730"/>
      <c r="C37" s="467"/>
      <c r="D37" s="737"/>
      <c r="E37" s="467"/>
      <c r="F37" s="467"/>
      <c r="G37" s="467"/>
      <c r="H37" s="467"/>
      <c r="I37" s="1753">
        <f t="shared" si="1"/>
        <v>0</v>
      </c>
      <c r="J37" s="467"/>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3055000</v>
      </c>
      <c r="D49" s="742"/>
      <c r="E49" s="1753">
        <f t="shared" ref="E49:J49" si="2">SUM(E31:E48)</f>
        <v>1180000</v>
      </c>
      <c r="F49" s="1753">
        <f t="shared" si="2"/>
        <v>0</v>
      </c>
      <c r="G49" s="1753">
        <f t="shared" si="2"/>
        <v>0</v>
      </c>
      <c r="H49" s="1753">
        <f t="shared" si="2"/>
        <v>380000</v>
      </c>
      <c r="I49" s="1753">
        <f t="shared" si="2"/>
        <v>800000</v>
      </c>
      <c r="J49" s="1753">
        <f t="shared" si="2"/>
        <v>787547</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222" t="s">
        <v>584</v>
      </c>
      <c r="C52" s="2223"/>
      <c r="D52" s="2223"/>
      <c r="E52" s="746" t="s">
        <v>845</v>
      </c>
      <c r="F52" s="2224" t="s">
        <v>2085</v>
      </c>
      <c r="G52" s="2225"/>
      <c r="H52" s="733"/>
      <c r="I52" s="733"/>
      <c r="J52" s="743"/>
    </row>
    <row r="53" spans="1:11" ht="11.25" customHeight="1" x14ac:dyDescent="0.2">
      <c r="A53" s="747" t="s">
        <v>913</v>
      </c>
      <c r="B53" s="748" t="s">
        <v>951</v>
      </c>
      <c r="C53" s="743"/>
      <c r="D53" s="734"/>
      <c r="E53" s="746" t="s">
        <v>497</v>
      </c>
      <c r="F53" s="2226"/>
      <c r="G53" s="2227"/>
      <c r="H53" s="733"/>
      <c r="I53" s="733"/>
      <c r="J53" s="743"/>
    </row>
    <row r="54" spans="1:11" ht="11.25" customHeight="1" x14ac:dyDescent="0.2">
      <c r="A54" s="749" t="s">
        <v>914</v>
      </c>
      <c r="B54" s="744" t="s">
        <v>952</v>
      </c>
      <c r="C54" s="743"/>
      <c r="D54" s="734"/>
      <c r="E54" s="746" t="s">
        <v>498</v>
      </c>
      <c r="F54" s="2226"/>
      <c r="G54" s="2227"/>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856</v>
      </c>
      <c r="B1" s="2257"/>
      <c r="C1" s="2257"/>
      <c r="D1" s="2257"/>
      <c r="E1" s="2257"/>
      <c r="F1" s="2257"/>
      <c r="G1" s="2258"/>
      <c r="H1" s="1527"/>
      <c r="I1" s="757"/>
      <c r="J1" s="433"/>
    </row>
    <row r="2" spans="1:11" ht="26.25" x14ac:dyDescent="0.2">
      <c r="A2" s="2235" t="s">
        <v>1677</v>
      </c>
      <c r="B2" s="2236"/>
      <c r="C2" s="2236"/>
      <c r="D2" s="2236"/>
      <c r="E2" s="2237"/>
      <c r="F2" s="758" t="s">
        <v>904</v>
      </c>
      <c r="G2" s="759" t="s">
        <v>1674</v>
      </c>
      <c r="H2" s="759" t="s">
        <v>410</v>
      </c>
      <c r="I2" s="759" t="s">
        <v>1158</v>
      </c>
      <c r="J2" s="759" t="s">
        <v>1812</v>
      </c>
      <c r="K2" s="759" t="s">
        <v>138</v>
      </c>
    </row>
    <row r="3" spans="1:11" x14ac:dyDescent="0.2">
      <c r="A3" s="2238" t="s">
        <v>1964</v>
      </c>
      <c r="B3" s="2239"/>
      <c r="C3" s="2239"/>
      <c r="D3" s="2239"/>
      <c r="E3" s="2240"/>
      <c r="F3" s="760"/>
      <c r="G3" s="761"/>
      <c r="H3" s="761"/>
      <c r="I3" s="761"/>
      <c r="J3" s="762">
        <v>207757</v>
      </c>
      <c r="K3" s="762"/>
    </row>
    <row r="4" spans="1:11" x14ac:dyDescent="0.2">
      <c r="A4" s="2241" t="s">
        <v>369</v>
      </c>
      <c r="B4" s="2242"/>
      <c r="C4" s="2242"/>
      <c r="D4" s="2242"/>
      <c r="E4" s="2223"/>
      <c r="F4" s="763"/>
      <c r="G4" s="764"/>
      <c r="H4" s="765"/>
      <c r="I4" s="764"/>
      <c r="J4" s="766"/>
      <c r="K4" s="766"/>
    </row>
    <row r="5" spans="1:11" x14ac:dyDescent="0.2">
      <c r="A5" s="2259" t="s">
        <v>1069</v>
      </c>
      <c r="B5" s="2232"/>
      <c r="C5" s="2232"/>
      <c r="D5" s="2232"/>
      <c r="E5" s="2260"/>
      <c r="F5" s="767" t="s">
        <v>848</v>
      </c>
      <c r="G5" s="768"/>
      <c r="H5" s="761">
        <v>8146</v>
      </c>
      <c r="I5" s="769"/>
      <c r="J5" s="770"/>
      <c r="K5" s="770"/>
    </row>
    <row r="6" spans="1:11" x14ac:dyDescent="0.2">
      <c r="A6" s="771" t="s">
        <v>720</v>
      </c>
      <c r="B6" s="772"/>
      <c r="C6" s="772"/>
      <c r="D6" s="772"/>
      <c r="E6" s="773"/>
      <c r="F6" s="774" t="s">
        <v>849</v>
      </c>
      <c r="G6" s="761"/>
      <c r="H6" s="761">
        <v>3</v>
      </c>
      <c r="I6" s="761"/>
      <c r="J6" s="762">
        <v>223</v>
      </c>
      <c r="K6" s="762"/>
    </row>
    <row r="7" spans="1:11" x14ac:dyDescent="0.2">
      <c r="A7" s="775" t="s">
        <v>246</v>
      </c>
      <c r="B7" s="776"/>
      <c r="C7" s="776"/>
      <c r="D7" s="776"/>
      <c r="E7" s="777"/>
      <c r="F7" s="767" t="s">
        <v>850</v>
      </c>
      <c r="G7" s="764"/>
      <c r="H7" s="764"/>
      <c r="I7" s="764"/>
      <c r="J7" s="778"/>
      <c r="K7" s="762"/>
    </row>
    <row r="8" spans="1:11" x14ac:dyDescent="0.2">
      <c r="A8" s="775" t="s">
        <v>345</v>
      </c>
      <c r="B8" s="776"/>
      <c r="C8" s="776"/>
      <c r="D8" s="776"/>
      <c r="E8" s="777"/>
      <c r="F8" s="767" t="s">
        <v>851</v>
      </c>
      <c r="G8" s="779"/>
      <c r="H8" s="779"/>
      <c r="I8" s="779"/>
      <c r="J8" s="762">
        <v>152063</v>
      </c>
      <c r="K8" s="766"/>
    </row>
    <row r="9" spans="1:11" x14ac:dyDescent="0.2">
      <c r="A9" s="775" t="s">
        <v>138</v>
      </c>
      <c r="B9" s="776"/>
      <c r="C9" s="776"/>
      <c r="D9" s="776"/>
      <c r="E9" s="777"/>
      <c r="F9" s="774" t="s">
        <v>853</v>
      </c>
      <c r="G9" s="779"/>
      <c r="H9" s="768"/>
      <c r="I9" s="768"/>
      <c r="J9" s="778"/>
      <c r="K9" s="762"/>
    </row>
    <row r="10" spans="1:11" x14ac:dyDescent="0.2">
      <c r="A10" s="2259" t="s">
        <v>1813</v>
      </c>
      <c r="B10" s="2232"/>
      <c r="C10" s="2232"/>
      <c r="D10" s="2232"/>
      <c r="E10" s="2261"/>
      <c r="F10" s="780" t="s">
        <v>862</v>
      </c>
      <c r="G10" s="779"/>
      <c r="H10" s="781"/>
      <c r="I10" s="761"/>
      <c r="J10" s="762"/>
      <c r="K10" s="762"/>
    </row>
    <row r="11" spans="1:11" x14ac:dyDescent="0.2">
      <c r="A11" s="2259" t="s">
        <v>160</v>
      </c>
      <c r="B11" s="2232"/>
      <c r="C11" s="2232"/>
      <c r="D11" s="2232"/>
      <c r="E11" s="2260"/>
      <c r="F11" s="767" t="s">
        <v>852</v>
      </c>
      <c r="G11" s="768"/>
      <c r="H11" s="761"/>
      <c r="I11" s="761"/>
      <c r="J11" s="762"/>
      <c r="K11" s="770"/>
    </row>
    <row r="12" spans="1:11" ht="13.5" thickBot="1" x14ac:dyDescent="0.25">
      <c r="A12" s="2249" t="s">
        <v>905</v>
      </c>
      <c r="B12" s="2250"/>
      <c r="C12" s="2250"/>
      <c r="D12" s="2250"/>
      <c r="E12" s="2251"/>
      <c r="F12" s="1754"/>
      <c r="G12" s="1755">
        <f>SUM(G5:G11)</f>
        <v>0</v>
      </c>
      <c r="H12" s="1755">
        <f>SUM(H5:H11)</f>
        <v>8149</v>
      </c>
      <c r="I12" s="1755">
        <f>SUM(I5:I11)</f>
        <v>0</v>
      </c>
      <c r="J12" s="1755">
        <f>SUM(J5:J11)</f>
        <v>152286</v>
      </c>
      <c r="K12" s="1755">
        <f>SUM(K5:K11)</f>
        <v>0</v>
      </c>
    </row>
    <row r="13" spans="1:11" ht="13.5" thickTop="1" x14ac:dyDescent="0.2">
      <c r="A13" s="2243" t="s">
        <v>370</v>
      </c>
      <c r="B13" s="2244"/>
      <c r="C13" s="2244"/>
      <c r="D13" s="2244"/>
      <c r="E13" s="2245"/>
      <c r="F13" s="782"/>
      <c r="G13" s="783"/>
      <c r="H13" s="784"/>
      <c r="I13" s="785"/>
      <c r="J13" s="785"/>
      <c r="K13" s="785"/>
    </row>
    <row r="14" spans="1:11" x14ac:dyDescent="0.2">
      <c r="A14" s="2265" t="s">
        <v>456</v>
      </c>
      <c r="B14" s="2265"/>
      <c r="C14" s="2265"/>
      <c r="D14" s="2265"/>
      <c r="E14" s="2266"/>
      <c r="F14" s="786" t="s">
        <v>854</v>
      </c>
      <c r="G14" s="779"/>
      <c r="H14" s="761">
        <v>8149</v>
      </c>
      <c r="I14" s="768"/>
      <c r="J14" s="770"/>
      <c r="K14" s="762"/>
    </row>
    <row r="15" spans="1:11" x14ac:dyDescent="0.2">
      <c r="A15" s="2232" t="s">
        <v>4</v>
      </c>
      <c r="B15" s="2232"/>
      <c r="C15" s="2232"/>
      <c r="D15" s="2232"/>
      <c r="E15" s="2260"/>
      <c r="F15" s="786" t="s">
        <v>855</v>
      </c>
      <c r="G15" s="768"/>
      <c r="H15" s="761"/>
      <c r="I15" s="761"/>
      <c r="J15" s="762">
        <v>143603</v>
      </c>
      <c r="K15" s="762"/>
    </row>
    <row r="16" spans="1:11" x14ac:dyDescent="0.2">
      <c r="A16" s="2232" t="s">
        <v>298</v>
      </c>
      <c r="B16" s="2232"/>
      <c r="C16" s="2232"/>
      <c r="D16" s="2232"/>
      <c r="E16" s="2260"/>
      <c r="F16" s="786" t="s">
        <v>923</v>
      </c>
      <c r="G16" s="769"/>
      <c r="H16" s="764"/>
      <c r="I16" s="764"/>
      <c r="J16" s="766"/>
      <c r="K16" s="766"/>
    </row>
    <row r="17" spans="1:11" x14ac:dyDescent="0.2">
      <c r="A17" s="2254" t="s">
        <v>935</v>
      </c>
      <c r="B17" s="2254"/>
      <c r="C17" s="2254"/>
      <c r="D17" s="2254"/>
      <c r="E17" s="2255"/>
      <c r="F17" s="787"/>
      <c r="G17" s="788"/>
      <c r="H17" s="789"/>
      <c r="I17" s="789"/>
      <c r="J17" s="790"/>
      <c r="K17" s="791"/>
    </row>
    <row r="18" spans="1:11" x14ac:dyDescent="0.2">
      <c r="A18" s="2246" t="s">
        <v>368</v>
      </c>
      <c r="B18" s="2247"/>
      <c r="C18" s="2247"/>
      <c r="D18" s="2247"/>
      <c r="E18" s="2248"/>
      <c r="F18" s="786" t="s">
        <v>932</v>
      </c>
      <c r="G18" s="779"/>
      <c r="H18" s="779"/>
      <c r="I18" s="779"/>
      <c r="J18" s="762"/>
      <c r="K18" s="792"/>
    </row>
    <row r="19" spans="1:11" ht="21.75" customHeight="1" x14ac:dyDescent="0.2">
      <c r="A19" s="2267" t="s">
        <v>1809</v>
      </c>
      <c r="B19" s="2267"/>
      <c r="C19" s="2267"/>
      <c r="D19" s="2267"/>
      <c r="E19" s="2268"/>
      <c r="F19" s="786" t="s">
        <v>933</v>
      </c>
      <c r="G19" s="779"/>
      <c r="H19" s="779"/>
      <c r="I19" s="779"/>
      <c r="J19" s="762"/>
      <c r="K19" s="792"/>
    </row>
    <row r="20" spans="1:11" x14ac:dyDescent="0.2">
      <c r="A20" s="2246" t="s">
        <v>1814</v>
      </c>
      <c r="B20" s="2247"/>
      <c r="C20" s="2247"/>
      <c r="D20" s="2247"/>
      <c r="E20" s="2248"/>
      <c r="F20" s="786" t="s">
        <v>934</v>
      </c>
      <c r="G20" s="779"/>
      <c r="H20" s="779"/>
      <c r="I20" s="779"/>
      <c r="J20" s="762"/>
      <c r="K20" s="792"/>
    </row>
    <row r="21" spans="1:11" ht="13.5" thickBot="1" x14ac:dyDescent="0.25">
      <c r="A21" s="2252" t="s">
        <v>638</v>
      </c>
      <c r="B21" s="2252"/>
      <c r="C21" s="2252"/>
      <c r="D21" s="2252"/>
      <c r="E21" s="2252"/>
      <c r="F21" s="1756"/>
      <c r="G21" s="789"/>
      <c r="H21" s="793"/>
      <c r="I21" s="793"/>
      <c r="J21" s="1757">
        <f>SUM(J18:J20)</f>
        <v>0</v>
      </c>
      <c r="K21" s="790"/>
    </row>
    <row r="22" spans="1:11" ht="13.5" thickTop="1" x14ac:dyDescent="0.2">
      <c r="A22" s="2232" t="s">
        <v>1815</v>
      </c>
      <c r="B22" s="2232"/>
      <c r="C22" s="2232"/>
      <c r="D22" s="2232"/>
      <c r="E22" s="2260"/>
      <c r="F22" s="786" t="s">
        <v>862</v>
      </c>
      <c r="G22" s="779"/>
      <c r="H22" s="761"/>
      <c r="I22" s="761"/>
      <c r="J22" s="794"/>
      <c r="K22" s="762"/>
    </row>
    <row r="23" spans="1:11" ht="13.5" thickBot="1" x14ac:dyDescent="0.25">
      <c r="A23" s="2253" t="s">
        <v>906</v>
      </c>
      <c r="B23" s="2252"/>
      <c r="C23" s="2252"/>
      <c r="D23" s="2252"/>
      <c r="E23" s="2252"/>
      <c r="F23" s="1758"/>
      <c r="G23" s="1755">
        <f>SUM(G14:G16,G21,G22)</f>
        <v>0</v>
      </c>
      <c r="H23" s="1755">
        <f>SUM(H14:H16,H21,H22)</f>
        <v>8149</v>
      </c>
      <c r="I23" s="1755">
        <f>SUM(I14:I16,I21,I22)</f>
        <v>0</v>
      </c>
      <c r="J23" s="1755">
        <f>SUM(J14:J16,J21,J22)</f>
        <v>143603</v>
      </c>
      <c r="K23" s="1755">
        <f>SUM(K14:K16,K21,K22)</f>
        <v>0</v>
      </c>
    </row>
    <row r="24" spans="1:11" ht="14.25" thickTop="1" thickBot="1" x14ac:dyDescent="0.25">
      <c r="A24" s="2253" t="s">
        <v>1965</v>
      </c>
      <c r="B24" s="2252"/>
      <c r="C24" s="2252"/>
      <c r="D24" s="2252"/>
      <c r="E24" s="2252"/>
      <c r="F24" s="1759"/>
      <c r="G24" s="1760">
        <f>SUM(G3,G12)-G23</f>
        <v>0</v>
      </c>
      <c r="H24" s="1760">
        <f>SUM(H3,H12)-H23</f>
        <v>0</v>
      </c>
      <c r="I24" s="1760">
        <f>SUM(I3,I12)-I23</f>
        <v>0</v>
      </c>
      <c r="J24" s="1760">
        <f>SUM(J3,J12)-J23</f>
        <v>216440</v>
      </c>
      <c r="K24" s="1760">
        <f>SUM(K3,K12)-K23</f>
        <v>0</v>
      </c>
    </row>
    <row r="25" spans="1:11" ht="13.5" thickTop="1" x14ac:dyDescent="0.2">
      <c r="A25" s="795" t="s">
        <v>420</v>
      </c>
      <c r="B25" s="796"/>
      <c r="C25" s="796"/>
      <c r="D25" s="796"/>
      <c r="E25" s="797"/>
      <c r="F25" s="798">
        <v>714</v>
      </c>
      <c r="G25" s="799"/>
      <c r="H25" s="799"/>
      <c r="I25" s="799"/>
      <c r="J25" s="794"/>
      <c r="K25" s="794"/>
    </row>
    <row r="26" spans="1:11" ht="13.5" thickBot="1" x14ac:dyDescent="0.25">
      <c r="A26" s="795" t="s">
        <v>342</v>
      </c>
      <c r="B26" s="796"/>
      <c r="C26" s="796"/>
      <c r="D26" s="796"/>
      <c r="E26" s="797"/>
      <c r="F26" s="798">
        <v>730</v>
      </c>
      <c r="G26" s="1755">
        <f>G24-G25</f>
        <v>0</v>
      </c>
      <c r="H26" s="1755">
        <f>H24-H25</f>
        <v>0</v>
      </c>
      <c r="I26" s="1755">
        <f>I24-I25</f>
        <v>0</v>
      </c>
      <c r="J26" s="1755">
        <f>J24-J25</f>
        <v>216440</v>
      </c>
      <c r="K26" s="1755">
        <f>K24-K25</f>
        <v>0</v>
      </c>
    </row>
    <row r="27" spans="1:11" ht="5.25" customHeight="1" thickTop="1" x14ac:dyDescent="0.2">
      <c r="I27" s="202"/>
      <c r="J27" s="202"/>
    </row>
    <row r="28" spans="1:11" ht="29.25" customHeight="1" x14ac:dyDescent="0.2">
      <c r="A28" s="1877" t="s">
        <v>1910</v>
      </c>
      <c r="B28" s="1878"/>
      <c r="C28" s="1878"/>
      <c r="D28" s="1878"/>
      <c r="E28" s="1879"/>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62"/>
      <c r="I31" s="2263"/>
      <c r="J31" s="2263"/>
      <c r="K31" s="2263"/>
    </row>
    <row r="32" spans="1:11" x14ac:dyDescent="0.2">
      <c r="A32" s="806"/>
      <c r="B32" s="237"/>
      <c r="C32" s="237"/>
      <c r="D32" s="237"/>
      <c r="E32" s="802"/>
      <c r="F32" s="808" t="s">
        <v>540</v>
      </c>
      <c r="G32" s="761"/>
      <c r="H32" s="2264"/>
      <c r="I32" s="2263"/>
      <c r="J32" s="2263"/>
      <c r="K32" s="2263"/>
    </row>
    <row r="33" spans="1:11" ht="1.5" customHeight="1" x14ac:dyDescent="0.2">
      <c r="A33" s="809" t="s">
        <v>1169</v>
      </c>
      <c r="B33" s="364"/>
      <c r="C33" s="364"/>
      <c r="D33" s="364"/>
      <c r="E33" s="364"/>
      <c r="F33" s="364"/>
      <c r="G33" s="810"/>
      <c r="H33" s="2264"/>
      <c r="I33" s="2263"/>
      <c r="J33" s="2263"/>
      <c r="K33" s="2263"/>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32" t="s">
        <v>541</v>
      </c>
      <c r="B41" s="2233"/>
      <c r="C41" s="2233"/>
      <c r="D41" s="2233"/>
      <c r="E41" s="2233"/>
      <c r="F41" s="2234"/>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1810</v>
      </c>
      <c r="B46" s="408" t="s">
        <v>1675</v>
      </c>
    </row>
    <row r="47" spans="1:11" s="820" customFormat="1" ht="12.75" customHeight="1" x14ac:dyDescent="0.2">
      <c r="A47" s="818"/>
      <c r="B47" s="819" t="s">
        <v>1676</v>
      </c>
      <c r="E47" s="819"/>
      <c r="K47" s="821"/>
    </row>
    <row r="48" spans="1:11" ht="12.75" customHeight="1" x14ac:dyDescent="0.2">
      <c r="A48" s="1529"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1909</v>
      </c>
      <c r="B1" s="2272"/>
      <c r="C1" s="2273"/>
      <c r="D1" s="823"/>
      <c r="E1" s="824"/>
      <c r="F1" s="824"/>
      <c r="G1" s="825"/>
      <c r="H1" s="826"/>
      <c r="I1" s="827"/>
      <c r="J1" s="2269"/>
      <c r="K1" s="2270"/>
      <c r="L1" s="2270"/>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6" t="s">
        <v>892</v>
      </c>
      <c r="B3" s="1627">
        <v>210</v>
      </c>
      <c r="C3" s="832">
        <v>0</v>
      </c>
      <c r="D3" s="832">
        <v>0</v>
      </c>
      <c r="E3" s="832">
        <v>0</v>
      </c>
      <c r="F3" s="1757">
        <f>(C3+D3)-E3</f>
        <v>0</v>
      </c>
      <c r="G3" s="833"/>
      <c r="H3" s="832">
        <v>0</v>
      </c>
      <c r="I3" s="832">
        <v>0</v>
      </c>
      <c r="J3" s="832">
        <v>0</v>
      </c>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140543</v>
      </c>
      <c r="D5" s="838">
        <v>0</v>
      </c>
      <c r="E5" s="838">
        <v>0</v>
      </c>
      <c r="F5" s="1757">
        <f>(C5+D5)-E5</f>
        <v>140543</v>
      </c>
      <c r="G5" s="834"/>
      <c r="H5" s="839"/>
      <c r="I5" s="839"/>
      <c r="J5" s="839"/>
      <c r="K5" s="790"/>
      <c r="L5" s="1766">
        <f>F5-K5</f>
        <v>140543</v>
      </c>
    </row>
    <row r="6" spans="1:14" ht="14.25" thickTop="1" thickBot="1" x14ac:dyDescent="0.25">
      <c r="A6" s="775" t="s">
        <v>1117</v>
      </c>
      <c r="B6" s="837">
        <v>222</v>
      </c>
      <c r="C6" s="762">
        <v>0</v>
      </c>
      <c r="D6" s="762">
        <v>0</v>
      </c>
      <c r="E6" s="762">
        <v>0</v>
      </c>
      <c r="F6" s="1757">
        <f>(C6+D6)-E6</f>
        <v>0</v>
      </c>
      <c r="G6" s="834">
        <v>50</v>
      </c>
      <c r="H6" s="762">
        <v>0</v>
      </c>
      <c r="I6" s="762">
        <v>0</v>
      </c>
      <c r="J6" s="762">
        <v>0</v>
      </c>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11386116</v>
      </c>
      <c r="D8" s="841">
        <v>11907</v>
      </c>
      <c r="E8" s="841">
        <v>0</v>
      </c>
      <c r="F8" s="1757">
        <f>(C8+D8)-E8</f>
        <v>11398023</v>
      </c>
      <c r="G8" s="840">
        <v>50</v>
      </c>
      <c r="H8" s="762">
        <v>4496903</v>
      </c>
      <c r="I8" s="762">
        <v>218736</v>
      </c>
      <c r="J8" s="762">
        <v>0</v>
      </c>
      <c r="K8" s="1766">
        <f>(H8+I8)-J8</f>
        <v>4715639</v>
      </c>
      <c r="L8" s="1766">
        <f>F8-K8</f>
        <v>6682384</v>
      </c>
    </row>
    <row r="9" spans="1:14" ht="14.25" thickTop="1" thickBot="1" x14ac:dyDescent="0.25">
      <c r="A9" s="775" t="s">
        <v>1119</v>
      </c>
      <c r="B9" s="837">
        <v>232</v>
      </c>
      <c r="C9" s="762">
        <v>0</v>
      </c>
      <c r="D9" s="762">
        <v>0</v>
      </c>
      <c r="E9" s="762">
        <v>0</v>
      </c>
      <c r="F9" s="1757">
        <f>(C9+D9)-E9</f>
        <v>0</v>
      </c>
      <c r="G9" s="840">
        <v>20</v>
      </c>
      <c r="H9" s="762">
        <v>0</v>
      </c>
      <c r="I9" s="762">
        <v>0</v>
      </c>
      <c r="J9" s="762">
        <v>0</v>
      </c>
      <c r="K9" s="1766">
        <f>(H9+I9)-J9</f>
        <v>0</v>
      </c>
      <c r="L9" s="1766">
        <f>F9-K9</f>
        <v>0</v>
      </c>
    </row>
    <row r="10" spans="1:14" ht="24" thickTop="1" thickBot="1" x14ac:dyDescent="0.25">
      <c r="A10" s="842" t="s">
        <v>1120</v>
      </c>
      <c r="B10" s="837">
        <v>240</v>
      </c>
      <c r="C10" s="843">
        <v>389805</v>
      </c>
      <c r="D10" s="843">
        <v>120406</v>
      </c>
      <c r="E10" s="843">
        <v>0</v>
      </c>
      <c r="F10" s="1761">
        <f>(C10+D10)-E10</f>
        <v>510211</v>
      </c>
      <c r="G10" s="840">
        <v>20</v>
      </c>
      <c r="H10" s="844">
        <v>148898</v>
      </c>
      <c r="I10" s="844">
        <v>25316</v>
      </c>
      <c r="J10" s="844">
        <v>0</v>
      </c>
      <c r="K10" s="1766">
        <f>(H10+I10)-J10</f>
        <v>174214</v>
      </c>
      <c r="L10" s="1766">
        <f>F10-K10</f>
        <v>335997</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578212</v>
      </c>
      <c r="D12" s="841">
        <v>50654</v>
      </c>
      <c r="E12" s="841">
        <v>4146</v>
      </c>
      <c r="F12" s="1757">
        <f>(C12+D12)-E12</f>
        <v>624720</v>
      </c>
      <c r="G12" s="840">
        <v>10</v>
      </c>
      <c r="H12" s="762">
        <v>310540</v>
      </c>
      <c r="I12" s="762">
        <v>62468</v>
      </c>
      <c r="J12" s="762">
        <v>4146</v>
      </c>
      <c r="K12" s="1766">
        <f>(H12+I12)-J12</f>
        <v>368862</v>
      </c>
      <c r="L12" s="1766">
        <f>F12-K12</f>
        <v>255858</v>
      </c>
    </row>
    <row r="13" spans="1:14" ht="14.25" thickTop="1" thickBot="1" x14ac:dyDescent="0.25">
      <c r="A13" s="845" t="s">
        <v>1122</v>
      </c>
      <c r="B13" s="837">
        <v>252</v>
      </c>
      <c r="C13" s="841">
        <v>586814</v>
      </c>
      <c r="D13" s="841">
        <v>33130</v>
      </c>
      <c r="E13" s="841">
        <v>0</v>
      </c>
      <c r="F13" s="1757">
        <f>(C13+D13)-E13</f>
        <v>619944</v>
      </c>
      <c r="G13" s="840">
        <v>5</v>
      </c>
      <c r="H13" s="762">
        <v>584306</v>
      </c>
      <c r="I13" s="762">
        <v>7253</v>
      </c>
      <c r="J13" s="762">
        <v>0</v>
      </c>
      <c r="K13" s="1766">
        <f>(H13+I13)-J13</f>
        <v>591559</v>
      </c>
      <c r="L13" s="1766">
        <f>F13-K13</f>
        <v>28385</v>
      </c>
    </row>
    <row r="14" spans="1:14" ht="14.25" thickTop="1" thickBot="1" x14ac:dyDescent="0.25">
      <c r="A14" s="845" t="s">
        <v>1123</v>
      </c>
      <c r="B14" s="837">
        <v>253</v>
      </c>
      <c r="C14" s="762">
        <v>3800</v>
      </c>
      <c r="D14" s="762">
        <v>0</v>
      </c>
      <c r="E14" s="762">
        <v>0</v>
      </c>
      <c r="F14" s="1757">
        <f>(C14+D14)-E14</f>
        <v>3800</v>
      </c>
      <c r="G14" s="840">
        <v>3</v>
      </c>
      <c r="H14" s="762">
        <v>1267</v>
      </c>
      <c r="I14" s="762">
        <v>1267</v>
      </c>
      <c r="J14" s="762">
        <v>0</v>
      </c>
      <c r="K14" s="1766">
        <f>(H14+I14)-J14</f>
        <v>2534</v>
      </c>
      <c r="L14" s="1766">
        <f>F14-K14</f>
        <v>1266</v>
      </c>
    </row>
    <row r="15" spans="1:14" ht="15" customHeight="1" thickTop="1" thickBot="1" x14ac:dyDescent="0.25">
      <c r="A15" s="1628" t="s">
        <v>528</v>
      </c>
      <c r="B15" s="1627">
        <v>260</v>
      </c>
      <c r="C15" s="841">
        <v>0</v>
      </c>
      <c r="D15" s="841">
        <v>0</v>
      </c>
      <c r="E15" s="841">
        <v>0</v>
      </c>
      <c r="F15" s="1757">
        <f>(C15+D15)-E15</f>
        <v>0</v>
      </c>
      <c r="G15" s="846" t="s">
        <v>862</v>
      </c>
      <c r="H15" s="778"/>
      <c r="I15" s="778"/>
      <c r="J15" s="778"/>
      <c r="K15" s="778"/>
      <c r="L15" s="1766">
        <f>F15-K15</f>
        <v>0</v>
      </c>
    </row>
    <row r="16" spans="1:14" ht="15" customHeight="1" thickTop="1" thickBot="1" x14ac:dyDescent="0.25">
      <c r="A16" s="1762" t="s">
        <v>643</v>
      </c>
      <c r="B16" s="1763">
        <v>200</v>
      </c>
      <c r="C16" s="1757">
        <f>SUM(C3,C5:C6,C8:C10,C12:C15)</f>
        <v>13085290</v>
      </c>
      <c r="D16" s="1757">
        <f>SUM(D3,D5:D6,D8:D10,D12:D15)</f>
        <v>216097</v>
      </c>
      <c r="E16" s="1757">
        <f>SUM(E3,E5:E6,E8:E10,E12:E15)</f>
        <v>4146</v>
      </c>
      <c r="F16" s="1757">
        <f>SUM(F3,F5:F6,F8:F10,F12:F15)</f>
        <v>13297241</v>
      </c>
      <c r="G16" s="840"/>
      <c r="H16" s="1757">
        <f>SUM(H3,H6,H8:H10,H12:H14,)</f>
        <v>5541914</v>
      </c>
      <c r="I16" s="1757">
        <f>SUM(I3,I6,I8:I10,I12:I14,)</f>
        <v>315040</v>
      </c>
      <c r="J16" s="1757">
        <f>SUM(J3,J6,J8:J10,J12:J14,)</f>
        <v>4146</v>
      </c>
      <c r="K16" s="1757">
        <f>(H16+I16)-J16</f>
        <v>5852808</v>
      </c>
      <c r="L16" s="1757">
        <f>F16-K16</f>
        <v>7444433</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685</v>
      </c>
      <c r="B18" s="1765"/>
      <c r="C18" s="768"/>
      <c r="D18" s="768"/>
      <c r="E18" s="768"/>
      <c r="F18" s="847"/>
      <c r="G18" s="848"/>
      <c r="H18" s="770"/>
      <c r="I18" s="1757">
        <f>SUM(I16,I17)</f>
        <v>315040</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L30" sqref="L30"/>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77" t="s">
        <v>1975</v>
      </c>
      <c r="B1" s="2278"/>
      <c r="C1" s="2278"/>
      <c r="D1" s="2278"/>
      <c r="E1" s="2278"/>
      <c r="F1" s="2279"/>
      <c r="G1" s="852"/>
    </row>
    <row r="2" spans="1:7" ht="15" customHeight="1" thickBot="1" x14ac:dyDescent="0.25">
      <c r="A2" s="2280" t="s">
        <v>477</v>
      </c>
      <c r="B2" s="2281"/>
      <c r="C2" s="2281"/>
      <c r="D2" s="2281"/>
      <c r="E2" s="2281"/>
      <c r="F2" s="2282"/>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283"/>
      <c r="B5" s="2284"/>
      <c r="C5" s="2284"/>
      <c r="D5" s="2284"/>
      <c r="E5" s="2284"/>
      <c r="F5" s="2284"/>
    </row>
    <row r="6" spans="1:7" ht="13.5" customHeight="1" thickBot="1" x14ac:dyDescent="0.25">
      <c r="A6" s="2274" t="s">
        <v>1104</v>
      </c>
      <c r="B6" s="2275"/>
      <c r="C6" s="2275"/>
      <c r="D6" s="2275"/>
      <c r="E6" s="2275"/>
      <c r="F6" s="2276"/>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5">
        <f>'Expenditures 15-22'!K114</f>
        <v>3642832</v>
      </c>
      <c r="G8" s="862"/>
    </row>
    <row r="9" spans="1:7" x14ac:dyDescent="0.2">
      <c r="A9" s="866" t="s">
        <v>460</v>
      </c>
      <c r="B9" s="867" t="s">
        <v>1877</v>
      </c>
      <c r="C9" s="868"/>
      <c r="D9" s="866" t="s">
        <v>501</v>
      </c>
      <c r="E9" s="865"/>
      <c r="F9" s="1906">
        <f>'Expenditures 15-22'!K151</f>
        <v>425033</v>
      </c>
      <c r="G9" s="869"/>
    </row>
    <row r="10" spans="1:7" x14ac:dyDescent="0.2">
      <c r="A10" s="866" t="s">
        <v>499</v>
      </c>
      <c r="B10" s="867" t="s">
        <v>1878</v>
      </c>
      <c r="C10" s="868"/>
      <c r="D10" s="866" t="s">
        <v>501</v>
      </c>
      <c r="E10" s="865"/>
      <c r="F10" s="1906">
        <f>'Expenditures 15-22'!K174</f>
        <v>416721</v>
      </c>
      <c r="G10" s="869"/>
    </row>
    <row r="11" spans="1:7" x14ac:dyDescent="0.2">
      <c r="A11" s="866" t="s">
        <v>461</v>
      </c>
      <c r="B11" s="867" t="s">
        <v>1879</v>
      </c>
      <c r="C11" s="868"/>
      <c r="D11" s="866" t="s">
        <v>501</v>
      </c>
      <c r="E11" s="865"/>
      <c r="F11" s="1906">
        <f>'Expenditures 15-22'!K210</f>
        <v>342708</v>
      </c>
      <c r="G11" s="869"/>
    </row>
    <row r="12" spans="1:7" x14ac:dyDescent="0.2">
      <c r="A12" s="866" t="s">
        <v>462</v>
      </c>
      <c r="B12" s="867" t="s">
        <v>1880</v>
      </c>
      <c r="C12" s="868"/>
      <c r="D12" s="866" t="s">
        <v>501</v>
      </c>
      <c r="E12" s="865"/>
      <c r="F12" s="1906">
        <f>'Expenditures 15-22'!K295</f>
        <v>200509</v>
      </c>
      <c r="G12" s="869"/>
    </row>
    <row r="13" spans="1:7" x14ac:dyDescent="0.2">
      <c r="A13" s="866" t="s">
        <v>106</v>
      </c>
      <c r="B13" s="867" t="s">
        <v>1881</v>
      </c>
      <c r="C13" s="868"/>
      <c r="D13" s="866" t="s">
        <v>501</v>
      </c>
      <c r="E13" s="865"/>
      <c r="F13" s="1906">
        <f>'Expenditures 15-22'!K342</f>
        <v>153635</v>
      </c>
      <c r="G13" s="870"/>
    </row>
    <row r="14" spans="1:7" ht="12" customHeight="1" thickBot="1" x14ac:dyDescent="0.25">
      <c r="A14" s="1767"/>
      <c r="B14" s="1768"/>
      <c r="C14" s="1769"/>
      <c r="D14" s="1770" t="s">
        <v>501</v>
      </c>
      <c r="E14" s="1771" t="s">
        <v>958</v>
      </c>
      <c r="F14" s="1772">
        <f>SUM(F8:F13)</f>
        <v>5181438</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7">
        <f>'Revenues 9-14'!F43</f>
        <v>0</v>
      </c>
      <c r="G18" s="862"/>
    </row>
    <row r="19" spans="1:7" x14ac:dyDescent="0.2">
      <c r="A19" s="866" t="s">
        <v>461</v>
      </c>
      <c r="B19" s="867" t="s">
        <v>1011</v>
      </c>
      <c r="C19" s="874">
        <f>'Revenues 9-14'!B47</f>
        <v>1421</v>
      </c>
      <c r="D19" s="875" t="str">
        <f>'Revenues 9-14'!A47</f>
        <v>Summer Sch - Transp. Fees from Pupils or Parents (In State)</v>
      </c>
      <c r="E19" s="876"/>
      <c r="F19" s="1908">
        <f>'Revenues 9-14'!F47</f>
        <v>0</v>
      </c>
      <c r="G19" s="862"/>
    </row>
    <row r="20" spans="1:7" x14ac:dyDescent="0.2">
      <c r="A20" s="866" t="s">
        <v>461</v>
      </c>
      <c r="B20" s="867" t="s">
        <v>1012</v>
      </c>
      <c r="C20" s="872">
        <f>'Revenues 9-14'!B48</f>
        <v>1422</v>
      </c>
      <c r="D20" s="873" t="str">
        <f>'Revenues 9-14'!A48</f>
        <v>Summer Sch - Transp. Fees from Other Districts (In State)</v>
      </c>
      <c r="E20" s="865"/>
      <c r="F20" s="1909">
        <f>'Revenues 9-14'!F48</f>
        <v>0</v>
      </c>
      <c r="G20" s="862"/>
    </row>
    <row r="21" spans="1:7" x14ac:dyDescent="0.2">
      <c r="A21" s="866" t="s">
        <v>461</v>
      </c>
      <c r="B21" s="867" t="s">
        <v>1013</v>
      </c>
      <c r="C21" s="874">
        <f>'Revenues 9-14'!B49</f>
        <v>1423</v>
      </c>
      <c r="D21" s="873" t="str">
        <f>'Revenues 9-14'!A49</f>
        <v>Summer Sch - Transp. Fees from Other Sources (In State)</v>
      </c>
      <c r="E21" s="865"/>
      <c r="F21" s="1910">
        <f>'Revenues 9-14'!F49</f>
        <v>0</v>
      </c>
      <c r="G21" s="862"/>
    </row>
    <row r="22" spans="1:7" x14ac:dyDescent="0.2">
      <c r="A22" s="866" t="s">
        <v>461</v>
      </c>
      <c r="B22" s="867" t="s">
        <v>1014</v>
      </c>
      <c r="C22" s="874">
        <f>'Revenues 9-14'!B50</f>
        <v>1424</v>
      </c>
      <c r="D22" s="873" t="str">
        <f>'Revenues 9-14'!A50</f>
        <v>Summer Sch - Transp. Fees from Other Sources (Out of State)</v>
      </c>
      <c r="E22" s="865"/>
      <c r="F22" s="1910">
        <f>'Revenues 9-14'!F50</f>
        <v>0</v>
      </c>
      <c r="G22" s="862"/>
    </row>
    <row r="23" spans="1:7" x14ac:dyDescent="0.2">
      <c r="A23" s="866" t="s">
        <v>461</v>
      </c>
      <c r="B23" s="867" t="s">
        <v>1015</v>
      </c>
      <c r="C23" s="872">
        <f>'Revenues 9-14'!B52</f>
        <v>1432</v>
      </c>
      <c r="D23" s="873" t="str">
        <f>'Revenues 9-14'!A52</f>
        <v>CTE - Transp Fees from Other Districts (In State)</v>
      </c>
      <c r="E23" s="865"/>
      <c r="F23" s="1910">
        <f>'Revenues 9-14'!F52</f>
        <v>0</v>
      </c>
      <c r="G23" s="862"/>
    </row>
    <row r="24" spans="1:7" x14ac:dyDescent="0.2">
      <c r="A24" s="866" t="s">
        <v>461</v>
      </c>
      <c r="B24" s="867" t="s">
        <v>1016</v>
      </c>
      <c r="C24" s="872">
        <f>'Revenues 9-14'!B56</f>
        <v>1442</v>
      </c>
      <c r="D24" s="873" t="str">
        <f>'Revenues 9-14'!A56</f>
        <v>Special Ed - Transp Fees from Other Districts (In State)</v>
      </c>
      <c r="E24" s="865"/>
      <c r="F24" s="1910">
        <f>'Revenues 9-14'!F56</f>
        <v>0</v>
      </c>
      <c r="G24" s="862"/>
    </row>
    <row r="25" spans="1:7" x14ac:dyDescent="0.2">
      <c r="A25" s="866" t="s">
        <v>461</v>
      </c>
      <c r="B25" s="867" t="s">
        <v>1017</v>
      </c>
      <c r="C25" s="872">
        <f>'Revenues 9-14'!B59</f>
        <v>1451</v>
      </c>
      <c r="D25" s="873" t="str">
        <f>'Revenues 9-14'!A59</f>
        <v>Adult - Transp Fees from Pupils or Parents (In State)</v>
      </c>
      <c r="E25" s="865"/>
      <c r="F25" s="1910">
        <f>'Revenues 9-14'!F59</f>
        <v>0</v>
      </c>
      <c r="G25" s="862"/>
    </row>
    <row r="26" spans="1:7" x14ac:dyDescent="0.2">
      <c r="A26" s="866" t="s">
        <v>461</v>
      </c>
      <c r="B26" s="867" t="s">
        <v>1018</v>
      </c>
      <c r="C26" s="872">
        <f>'Revenues 9-14'!B60</f>
        <v>1452</v>
      </c>
      <c r="D26" s="873" t="str">
        <f>'Revenues 9-14'!A60</f>
        <v>Adult - Transp Fees from Other Districts (In State)</v>
      </c>
      <c r="E26" s="865"/>
      <c r="F26" s="1910">
        <f>'Revenues 9-14'!F60</f>
        <v>0</v>
      </c>
      <c r="G26" s="862"/>
    </row>
    <row r="27" spans="1:7" x14ac:dyDescent="0.2">
      <c r="A27" s="866" t="s">
        <v>461</v>
      </c>
      <c r="B27" s="867" t="s">
        <v>1019</v>
      </c>
      <c r="C27" s="872">
        <f>'Revenues 9-14'!B61</f>
        <v>1453</v>
      </c>
      <c r="D27" s="873" t="str">
        <f>'Revenues 9-14'!A61</f>
        <v>Adult - Transp Fees from Other Sources (In State)</v>
      </c>
      <c r="E27" s="865"/>
      <c r="F27" s="1910">
        <f>'Revenues 9-14'!F61</f>
        <v>0</v>
      </c>
      <c r="G27" s="862"/>
    </row>
    <row r="28" spans="1:7" x14ac:dyDescent="0.2">
      <c r="A28" s="866" t="s">
        <v>461</v>
      </c>
      <c r="B28" s="867" t="s">
        <v>1020</v>
      </c>
      <c r="C28" s="872">
        <f>'Revenues 9-14'!B62</f>
        <v>1454</v>
      </c>
      <c r="D28" s="873" t="str">
        <f>'Revenues 9-14'!A62</f>
        <v>Adult - Transp Fees from Other Sources (Out of State)</v>
      </c>
      <c r="E28" s="865"/>
      <c r="F28" s="1910">
        <f>'Revenues 9-14'!F62</f>
        <v>0</v>
      </c>
      <c r="G28" s="862"/>
    </row>
    <row r="29" spans="1:7" x14ac:dyDescent="0.2">
      <c r="A29" s="866" t="s">
        <v>1097</v>
      </c>
      <c r="B29" s="867" t="s">
        <v>810</v>
      </c>
      <c r="C29" s="877">
        <f>'Revenues 9-14'!B149</f>
        <v>3410</v>
      </c>
      <c r="D29" s="878" t="str">
        <f>'Revenues 9-14'!A149</f>
        <v>Adult Ed (from ICCB)</v>
      </c>
      <c r="E29" s="865"/>
      <c r="F29" s="1910">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1">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10">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10">
        <f>SUM('Revenues 9-14'!D212,'Revenues 9-14'!F212)</f>
        <v>0</v>
      </c>
      <c r="G32" s="862"/>
    </row>
    <row r="33" spans="1:7" x14ac:dyDescent="0.2">
      <c r="A33" s="866" t="s">
        <v>460</v>
      </c>
      <c r="B33" s="867" t="s">
        <v>2002</v>
      </c>
      <c r="C33" s="872">
        <f>'Revenues 9-14'!B222</f>
        <v>4810</v>
      </c>
      <c r="D33" s="880" t="str">
        <f>'Revenues 9-14'!A222</f>
        <v>Federal - Adult Education</v>
      </c>
      <c r="E33" s="865"/>
      <c r="F33" s="1910">
        <f>'Revenues 9-14'!D222</f>
        <v>0</v>
      </c>
      <c r="G33" s="862"/>
    </row>
    <row r="34" spans="1:7" x14ac:dyDescent="0.2">
      <c r="A34" s="866" t="s">
        <v>459</v>
      </c>
      <c r="B34" s="866" t="s">
        <v>1469</v>
      </c>
      <c r="C34" s="883" t="str">
        <f>'Expenditures 15-22'!B7</f>
        <v>1125</v>
      </c>
      <c r="D34" s="884" t="str">
        <f>'Expenditures 15-22'!A7</f>
        <v>Pre-K Programs</v>
      </c>
      <c r="E34" s="865"/>
      <c r="F34" s="1910">
        <f>'Expenditures 15-22'!K7-SUM('Expenditures 15-22'!G7,'Expenditures 15-22'!I7)</f>
        <v>83949</v>
      </c>
      <c r="G34" s="862"/>
    </row>
    <row r="35" spans="1:7" x14ac:dyDescent="0.2">
      <c r="A35" s="866" t="s">
        <v>459</v>
      </c>
      <c r="B35" s="866" t="s">
        <v>1470</v>
      </c>
      <c r="C35" s="883" t="str">
        <f>'Expenditures 15-22'!B9</f>
        <v>1225</v>
      </c>
      <c r="D35" s="884" t="str">
        <f>'Expenditures 15-22'!A9</f>
        <v>Special Education Programs Pre-K</v>
      </c>
      <c r="E35" s="865"/>
      <c r="F35" s="1910">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10">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10">
        <f>'Expenditures 15-22'!K20</f>
        <v>0</v>
      </c>
      <c r="G39" s="862"/>
    </row>
    <row r="40" spans="1:7" x14ac:dyDescent="0.2">
      <c r="A40" s="866" t="s">
        <v>459</v>
      </c>
      <c r="B40" s="866" t="s">
        <v>118</v>
      </c>
      <c r="C40" s="883" t="str">
        <f>'Expenditures 15-22'!B21</f>
        <v>1911</v>
      </c>
      <c r="D40" s="885" t="str">
        <f>'Expenditures 15-22'!A21</f>
        <v>Regular K-12 Programs - Private Tuition</v>
      </c>
      <c r="E40" s="865"/>
      <c r="F40" s="1910">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10">
        <f>'Expenditures 15-22'!K22</f>
        <v>50001</v>
      </c>
      <c r="G41" s="862"/>
    </row>
    <row r="42" spans="1:7" x14ac:dyDescent="0.2">
      <c r="A42" s="866" t="s">
        <v>459</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459</v>
      </c>
      <c r="B46" s="866" t="s">
        <v>124</v>
      </c>
      <c r="C46" s="883" t="str">
        <f>'Expenditures 15-22'!B27</f>
        <v>1917</v>
      </c>
      <c r="D46" s="885" t="str">
        <f>'Expenditures 15-22'!A27</f>
        <v>CTE Programs - Private Tuition</v>
      </c>
      <c r="E46" s="865"/>
      <c r="F46" s="1910">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459</v>
      </c>
      <c r="B49" s="866" t="s">
        <v>127</v>
      </c>
      <c r="C49" s="883" t="str">
        <f>'Expenditures 15-22'!B30</f>
        <v>1920</v>
      </c>
      <c r="D49" s="885" t="str">
        <f>'Expenditures 15-22'!A30</f>
        <v>Gifted Programs - Private Tuition</v>
      </c>
      <c r="E49" s="865"/>
      <c r="F49" s="1910">
        <f>'Expenditures 15-22'!K30</f>
        <v>0</v>
      </c>
      <c r="G49" s="862"/>
    </row>
    <row r="50" spans="1:7" x14ac:dyDescent="0.2">
      <c r="A50" s="866" t="s">
        <v>459</v>
      </c>
      <c r="B50" s="866" t="s">
        <v>128</v>
      </c>
      <c r="C50" s="883" t="str">
        <f>'Expenditures 15-22'!B31</f>
        <v>1921</v>
      </c>
      <c r="D50" s="885" t="str">
        <f>'Expenditures 15-22'!A31</f>
        <v>Bilingual Programs - Private Tuition</v>
      </c>
      <c r="E50" s="865"/>
      <c r="F50" s="1910">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10">
        <f>'Expenditures 15-22'!K32</f>
        <v>0</v>
      </c>
      <c r="G51" s="862"/>
    </row>
    <row r="52" spans="1:7" x14ac:dyDescent="0.2">
      <c r="A52" s="866" t="s">
        <v>459</v>
      </c>
      <c r="B52" s="866" t="s">
        <v>1474</v>
      </c>
      <c r="C52" s="886" t="str">
        <f>'Expenditures 15-22'!B75</f>
        <v>3000</v>
      </c>
      <c r="D52" s="885" t="s">
        <v>449</v>
      </c>
      <c r="E52" s="865"/>
      <c r="F52" s="1910">
        <f>'Expenditures 15-22'!K75-SUM('Expenditures 15-22'!G75,'Expenditures 15-22'!I75)</f>
        <v>0</v>
      </c>
      <c r="G52" s="862"/>
    </row>
    <row r="53" spans="1:7" x14ac:dyDescent="0.2">
      <c r="A53" s="866" t="s">
        <v>459</v>
      </c>
      <c r="B53" s="866" t="s">
        <v>1475</v>
      </c>
      <c r="C53" s="886">
        <f>'Expenditures 15-22'!B102</f>
        <v>4000</v>
      </c>
      <c r="D53" s="885" t="str">
        <f>'Expenditures 15-22'!A102</f>
        <v>Total Payments to Other Govt Units</v>
      </c>
      <c r="E53" s="865"/>
      <c r="F53" s="1910">
        <f>'Expenditures 15-22'!K102</f>
        <v>92154</v>
      </c>
      <c r="G53" s="862"/>
    </row>
    <row r="54" spans="1:7" x14ac:dyDescent="0.2">
      <c r="A54" s="866" t="s">
        <v>459</v>
      </c>
      <c r="B54" s="866" t="s">
        <v>1476</v>
      </c>
      <c r="C54" s="886" t="s">
        <v>982</v>
      </c>
      <c r="D54" s="882" t="s">
        <v>1095</v>
      </c>
      <c r="E54" s="865"/>
      <c r="F54" s="1910">
        <f>'Expenditures 15-22'!G114</f>
        <v>33813</v>
      </c>
      <c r="G54" s="862"/>
    </row>
    <row r="55" spans="1:7" x14ac:dyDescent="0.2">
      <c r="A55" s="866" t="s">
        <v>459</v>
      </c>
      <c r="B55" s="866" t="s">
        <v>1477</v>
      </c>
      <c r="C55" s="886" t="s">
        <v>982</v>
      </c>
      <c r="D55" s="882" t="s">
        <v>291</v>
      </c>
      <c r="E55" s="865"/>
      <c r="F55" s="1910">
        <f>'Expenditures 15-22'!I114</f>
        <v>0</v>
      </c>
      <c r="G55" s="862"/>
    </row>
    <row r="56" spans="1:7" x14ac:dyDescent="0.2">
      <c r="A56" s="866" t="s">
        <v>460</v>
      </c>
      <c r="B56" s="866" t="s">
        <v>1478</v>
      </c>
      <c r="C56" s="883" t="str">
        <f>'Expenditures 15-22'!B130</f>
        <v>3000</v>
      </c>
      <c r="D56" s="889" t="s">
        <v>449</v>
      </c>
      <c r="E56" s="865"/>
      <c r="F56" s="1910">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10">
        <f>'Expenditures 15-22'!K139</f>
        <v>150</v>
      </c>
      <c r="G57" s="862"/>
    </row>
    <row r="58" spans="1:7" x14ac:dyDescent="0.2">
      <c r="A58" s="866" t="s">
        <v>460</v>
      </c>
      <c r="B58" s="866" t="s">
        <v>1883</v>
      </c>
      <c r="C58" s="883" t="s">
        <v>982</v>
      </c>
      <c r="D58" s="882" t="s">
        <v>1095</v>
      </c>
      <c r="E58" s="865"/>
      <c r="F58" s="1912">
        <f>'Expenditures 15-22'!G151</f>
        <v>6000</v>
      </c>
      <c r="G58" s="862"/>
    </row>
    <row r="59" spans="1:7" x14ac:dyDescent="0.2">
      <c r="A59" s="890" t="s">
        <v>460</v>
      </c>
      <c r="B59" s="853" t="s">
        <v>1884</v>
      </c>
      <c r="C59" s="891" t="s">
        <v>982</v>
      </c>
      <c r="D59" s="853" t="s">
        <v>291</v>
      </c>
      <c r="F59" s="1913">
        <f>'Expenditures 15-22'!I151</f>
        <v>0</v>
      </c>
      <c r="G59" s="862"/>
    </row>
    <row r="60" spans="1:7" x14ac:dyDescent="0.2">
      <c r="A60" s="890" t="s">
        <v>499</v>
      </c>
      <c r="B60" s="853" t="s">
        <v>1885</v>
      </c>
      <c r="C60" s="891">
        <v>4000</v>
      </c>
      <c r="D60" s="853" t="s">
        <v>312</v>
      </c>
      <c r="F60" s="1911">
        <f>'Expenditures 15-22'!K160</f>
        <v>0</v>
      </c>
      <c r="G60" s="862"/>
    </row>
    <row r="61" spans="1:7" x14ac:dyDescent="0.2">
      <c r="A61" s="892" t="s">
        <v>499</v>
      </c>
      <c r="B61" s="892" t="s">
        <v>1886</v>
      </c>
      <c r="C61" s="893" t="str">
        <f>'Expenditures 15-22'!B170</f>
        <v>5300</v>
      </c>
      <c r="D61" s="894" t="s">
        <v>311</v>
      </c>
      <c r="E61" s="876"/>
      <c r="F61" s="1910">
        <f>'Expenditures 15-22'!K170</f>
        <v>380000</v>
      </c>
      <c r="G61" s="862"/>
    </row>
    <row r="62" spans="1:7" x14ac:dyDescent="0.2">
      <c r="A62" s="866" t="s">
        <v>461</v>
      </c>
      <c r="B62" s="866" t="s">
        <v>1887</v>
      </c>
      <c r="C62" s="883">
        <f>'Expenditures 15-22'!B185</f>
        <v>3000</v>
      </c>
      <c r="D62" s="873" t="s">
        <v>449</v>
      </c>
      <c r="E62" s="865"/>
      <c r="F62" s="1910">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10">
        <f>'Expenditures 15-22'!K196</f>
        <v>0</v>
      </c>
      <c r="G63" s="862"/>
    </row>
    <row r="64" spans="1:7" x14ac:dyDescent="0.2">
      <c r="A64" s="892" t="s">
        <v>461</v>
      </c>
      <c r="B64" s="892" t="s">
        <v>1889</v>
      </c>
      <c r="C64" s="893" t="str">
        <f>'Expenditures 15-22'!B206</f>
        <v>5300</v>
      </c>
      <c r="D64" s="889" t="s">
        <v>311</v>
      </c>
      <c r="E64" s="865"/>
      <c r="F64" s="1910">
        <f>'Expenditures 15-22'!K206</f>
        <v>0</v>
      </c>
      <c r="G64" s="862"/>
    </row>
    <row r="65" spans="1:8" x14ac:dyDescent="0.2">
      <c r="A65" s="866" t="s">
        <v>461</v>
      </c>
      <c r="B65" s="866" t="s">
        <v>1890</v>
      </c>
      <c r="C65" s="883" t="s">
        <v>982</v>
      </c>
      <c r="D65" s="882" t="s">
        <v>1095</v>
      </c>
      <c r="E65" s="865"/>
      <c r="F65" s="1910">
        <f>'Expenditures 15-22'!G210</f>
        <v>33130</v>
      </c>
      <c r="G65" s="862"/>
    </row>
    <row r="66" spans="1:8" x14ac:dyDescent="0.2">
      <c r="A66" s="866" t="s">
        <v>461</v>
      </c>
      <c r="B66" s="866" t="s">
        <v>1891</v>
      </c>
      <c r="C66" s="883" t="s">
        <v>982</v>
      </c>
      <c r="D66" s="882" t="s">
        <v>291</v>
      </c>
      <c r="E66" s="865"/>
      <c r="F66" s="1910">
        <f>'Expenditures 15-22'!I210</f>
        <v>0</v>
      </c>
      <c r="G66" s="862"/>
    </row>
    <row r="67" spans="1:8" x14ac:dyDescent="0.2">
      <c r="A67" s="866" t="s">
        <v>462</v>
      </c>
      <c r="B67" s="866" t="s">
        <v>1892</v>
      </c>
      <c r="C67" s="883" t="str">
        <f>'Expenditures 15-22'!B216</f>
        <v>1125</v>
      </c>
      <c r="D67" s="889" t="str">
        <f>'Expenditures 15-22'!A216</f>
        <v>Pre-K Programs</v>
      </c>
      <c r="E67" s="865"/>
      <c r="F67" s="1910">
        <f>'Expenditures 15-22'!K216</f>
        <v>4034</v>
      </c>
      <c r="G67" s="862"/>
    </row>
    <row r="68" spans="1:8" x14ac:dyDescent="0.2">
      <c r="A68" s="866" t="s">
        <v>462</v>
      </c>
      <c r="B68" s="866" t="s">
        <v>1479</v>
      </c>
      <c r="C68" s="883" t="str">
        <f>'Expenditures 15-22'!B218</f>
        <v>1225</v>
      </c>
      <c r="D68" s="889" t="str">
        <f>'Expenditures 15-22'!A218</f>
        <v>Special Education Programs - Pre-K</v>
      </c>
      <c r="E68" s="865"/>
      <c r="F68" s="1910">
        <f>'Expenditures 15-22'!K218</f>
        <v>0</v>
      </c>
      <c r="G68" s="862"/>
    </row>
    <row r="69" spans="1:8" x14ac:dyDescent="0.2">
      <c r="A69" s="866" t="s">
        <v>462</v>
      </c>
      <c r="B69" s="866" t="s">
        <v>1893</v>
      </c>
      <c r="C69" s="883" t="str">
        <f>'Expenditures 15-22'!B220</f>
        <v>1275</v>
      </c>
      <c r="D69" s="889" t="str">
        <f>'Expenditures 15-22'!A220</f>
        <v>Remedial and Supplemental Programs - Pre-K</v>
      </c>
      <c r="E69" s="865"/>
      <c r="F69" s="1910">
        <f>'Expenditures 15-22'!K220</f>
        <v>0</v>
      </c>
      <c r="G69" s="862"/>
    </row>
    <row r="70" spans="1:8" x14ac:dyDescent="0.2">
      <c r="A70" s="866" t="s">
        <v>462</v>
      </c>
      <c r="B70" s="866" t="s">
        <v>1894</v>
      </c>
      <c r="C70" s="883">
        <f>'Expenditures 15-22'!B221</f>
        <v>1300</v>
      </c>
      <c r="D70" s="884" t="str">
        <f>'Expenditures 15-22'!A221</f>
        <v>Adult/Continuing Education Programs</v>
      </c>
      <c r="E70" s="865"/>
      <c r="F70" s="1910">
        <f>'Expenditures 15-22'!K221</f>
        <v>0</v>
      </c>
      <c r="G70" s="862"/>
    </row>
    <row r="71" spans="1:8" x14ac:dyDescent="0.2">
      <c r="A71" s="866" t="s">
        <v>462</v>
      </c>
      <c r="B71" s="866" t="s">
        <v>1895</v>
      </c>
      <c r="C71" s="883">
        <f>'Expenditures 15-22'!B224</f>
        <v>1600</v>
      </c>
      <c r="D71" s="884" t="str">
        <f>'Expenditures 15-22'!A224</f>
        <v>Summer School Programs</v>
      </c>
      <c r="E71" s="865"/>
      <c r="F71" s="1910">
        <f>'Expenditures 15-22'!K224</f>
        <v>0</v>
      </c>
      <c r="G71" s="862"/>
    </row>
    <row r="72" spans="1:8" x14ac:dyDescent="0.2">
      <c r="A72" s="866" t="s">
        <v>462</v>
      </c>
      <c r="B72" s="866" t="s">
        <v>1896</v>
      </c>
      <c r="C72" s="883">
        <f>'Expenditures 15-22'!B280</f>
        <v>3000</v>
      </c>
      <c r="D72" s="873" t="s">
        <v>449</v>
      </c>
      <c r="E72" s="865"/>
      <c r="F72" s="1910">
        <f>'Expenditures 15-22'!K280</f>
        <v>0</v>
      </c>
      <c r="G72" s="862"/>
    </row>
    <row r="73" spans="1:8" x14ac:dyDescent="0.2">
      <c r="A73" s="866" t="s">
        <v>462</v>
      </c>
      <c r="B73" s="866" t="s">
        <v>1897</v>
      </c>
      <c r="C73" s="883" t="str">
        <f>'Expenditures 15-22'!B285</f>
        <v>4000</v>
      </c>
      <c r="D73" s="884" t="str">
        <f>'Expenditures 15-22'!A285</f>
        <v>Total Payments to Other Govt Units</v>
      </c>
      <c r="E73" s="865"/>
      <c r="F73" s="1910">
        <f>'Expenditures 15-22'!K285</f>
        <v>0</v>
      </c>
      <c r="G73" s="862"/>
    </row>
    <row r="74" spans="1:8" x14ac:dyDescent="0.2">
      <c r="A74" s="866" t="s">
        <v>436</v>
      </c>
      <c r="B74" s="866" t="s">
        <v>1898</v>
      </c>
      <c r="C74" s="883" t="s">
        <v>860</v>
      </c>
      <c r="D74" s="884" t="s">
        <v>1487</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1899</v>
      </c>
      <c r="E76" s="1771" t="s">
        <v>958</v>
      </c>
      <c r="F76" s="1775">
        <f>SUM(F18:F74)</f>
        <v>683231</v>
      </c>
      <c r="G76" s="862"/>
    </row>
    <row r="77" spans="1:8" s="890" customFormat="1" ht="12" customHeight="1" thickTop="1" thickBot="1" x14ac:dyDescent="0.25">
      <c r="A77" s="1776"/>
      <c r="B77" s="1773"/>
      <c r="C77" s="1769"/>
      <c r="D77" s="1774" t="s">
        <v>1900</v>
      </c>
      <c r="E77" s="1771"/>
      <c r="F77" s="1777">
        <f>(F14-F76)</f>
        <v>4498207</v>
      </c>
      <c r="G77" s="866"/>
    </row>
    <row r="78" spans="1:8" s="890" customFormat="1" ht="12" customHeight="1" thickTop="1" x14ac:dyDescent="0.2">
      <c r="A78" s="1778"/>
      <c r="B78" s="1773"/>
      <c r="C78" s="1769"/>
      <c r="D78" s="1774" t="s">
        <v>2062</v>
      </c>
      <c r="E78" s="1771"/>
      <c r="F78" s="895">
        <v>387.3</v>
      </c>
      <c r="G78" s="896"/>
      <c r="H78" s="866"/>
    </row>
    <row r="79" spans="1:8" s="890" customFormat="1" ht="12" customHeight="1" thickBot="1" x14ac:dyDescent="0.25">
      <c r="A79" s="1779"/>
      <c r="B79" s="1773"/>
      <c r="C79" s="1769"/>
      <c r="D79" s="1774" t="s">
        <v>1901</v>
      </c>
      <c r="E79" s="1771" t="s">
        <v>958</v>
      </c>
      <c r="F79" s="1780">
        <f>IF(F78&gt;0,F77/F78," Complete Line 78")</f>
        <v>11614.270591272914</v>
      </c>
      <c r="G79" s="866"/>
    </row>
    <row r="80" spans="1:8" s="890" customFormat="1" ht="8.25" customHeight="1" thickTop="1" x14ac:dyDescent="0.2">
      <c r="A80" s="897"/>
      <c r="B80" s="866"/>
      <c r="C80" s="868"/>
      <c r="D80" s="898"/>
      <c r="E80" s="865"/>
      <c r="F80" s="899"/>
      <c r="G80" s="866"/>
    </row>
    <row r="81" spans="1:7" s="890" customFormat="1" ht="12" thickBot="1" x14ac:dyDescent="0.25">
      <c r="A81" s="2274" t="s">
        <v>1105</v>
      </c>
      <c r="B81" s="2275"/>
      <c r="C81" s="2275"/>
      <c r="D81" s="2275"/>
      <c r="E81" s="2275"/>
      <c r="F81" s="2276"/>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4">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61899</v>
      </c>
      <c r="G94" s="909"/>
    </row>
    <row r="95" spans="1:7" x14ac:dyDescent="0.2">
      <c r="A95" s="905" t="s">
        <v>140</v>
      </c>
      <c r="B95" s="905" t="s">
        <v>175</v>
      </c>
      <c r="C95" s="907">
        <v>1700</v>
      </c>
      <c r="D95" s="915" t="str">
        <f>'Revenues 9-14'!A82</f>
        <v>Total District/School Activity Income</v>
      </c>
      <c r="E95" s="903"/>
      <c r="F95" s="1786">
        <f>SUM('Revenues 9-14'!C82,'Revenues 9-14'!D82)</f>
        <v>8995</v>
      </c>
      <c r="G95" s="909"/>
    </row>
    <row r="96" spans="1:7" x14ac:dyDescent="0.2">
      <c r="A96" s="905" t="s">
        <v>459</v>
      </c>
      <c r="B96" s="905" t="s">
        <v>176</v>
      </c>
      <c r="C96" s="907">
        <f>'Revenues 9-14'!B84</f>
        <v>1811</v>
      </c>
      <c r="D96" s="908" t="str">
        <f>'Revenues 9-14'!A84</f>
        <v>Rentals - Regular Textbooks</v>
      </c>
      <c r="E96" s="903"/>
      <c r="F96" s="1786">
        <f>'Revenues 9-14'!C84</f>
        <v>7717</v>
      </c>
      <c r="G96" s="909"/>
    </row>
    <row r="97" spans="1:7" x14ac:dyDescent="0.2">
      <c r="A97" s="905" t="s">
        <v>459</v>
      </c>
      <c r="B97" s="905" t="s">
        <v>177</v>
      </c>
      <c r="C97" s="907">
        <f>'Revenues 9-14'!B87</f>
        <v>1819</v>
      </c>
      <c r="D97" s="908" t="str">
        <f>'Revenues 9-14'!A87</f>
        <v>Rentals - Other (Describe &amp; Itemize)</v>
      </c>
      <c r="E97" s="903"/>
      <c r="F97" s="1786">
        <f>'Revenues 9-14'!C87</f>
        <v>0</v>
      </c>
      <c r="G97" s="909"/>
    </row>
    <row r="98" spans="1:7" x14ac:dyDescent="0.2">
      <c r="A98" s="905" t="s">
        <v>459</v>
      </c>
      <c r="B98" s="905" t="s">
        <v>178</v>
      </c>
      <c r="C98" s="907">
        <f>'Revenues 9-14'!B88</f>
        <v>1821</v>
      </c>
      <c r="D98" s="908" t="str">
        <f>'Revenues 9-14'!A88</f>
        <v>Sales - Regular Textbooks</v>
      </c>
      <c r="E98" s="903"/>
      <c r="F98" s="1786">
        <f>'Revenues 9-14'!C88</f>
        <v>0</v>
      </c>
      <c r="G98" s="909"/>
    </row>
    <row r="99" spans="1:7" x14ac:dyDescent="0.2">
      <c r="A99" s="905" t="s">
        <v>459</v>
      </c>
      <c r="B99" s="905" t="s">
        <v>179</v>
      </c>
      <c r="C99" s="907">
        <f>'Revenues 9-14'!B91</f>
        <v>1829</v>
      </c>
      <c r="D99" s="908" t="str">
        <f>'Revenues 9-14'!A91</f>
        <v>Sales - Other (Describe &amp; Itemize)</v>
      </c>
      <c r="E99" s="903"/>
      <c r="F99" s="1786">
        <f>'Revenues 9-14'!C91</f>
        <v>0</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1573</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790</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86">
        <f>('Revenues 9-14'!C106)</f>
        <v>0</v>
      </c>
      <c r="G104" s="909"/>
    </row>
    <row r="105" spans="1:7" x14ac:dyDescent="0.2">
      <c r="A105" s="905" t="s">
        <v>503</v>
      </c>
      <c r="B105" s="905" t="s">
        <v>2003</v>
      </c>
      <c r="C105" s="910">
        <v>3100</v>
      </c>
      <c r="D105" s="916" t="str">
        <f>'Revenues 9-14'!A132</f>
        <v>Total Special Education</v>
      </c>
      <c r="E105" s="903"/>
      <c r="F105" s="1786">
        <f>SUM('Revenues 9-14'!C132:D132,'Revenues 9-14'!F132)</f>
        <v>32107</v>
      </c>
      <c r="G105" s="909"/>
    </row>
    <row r="106" spans="1:7" x14ac:dyDescent="0.2">
      <c r="A106" s="905" t="s">
        <v>673</v>
      </c>
      <c r="B106" s="905" t="s">
        <v>2004</v>
      </c>
      <c r="C106" s="917">
        <v>3200</v>
      </c>
      <c r="D106" s="908" t="str">
        <f>'Revenues 9-14'!A141</f>
        <v>Total Career and Technical Education</v>
      </c>
      <c r="E106" s="903"/>
      <c r="F106" s="1786">
        <f>SUM('Revenues 9-14'!C141,'Revenues 9-14'!D141,'Revenues 9-14'!G141)</f>
        <v>38517</v>
      </c>
      <c r="G106" s="909"/>
    </row>
    <row r="107" spans="1:7" x14ac:dyDescent="0.2">
      <c r="A107" s="918" t="s">
        <v>664</v>
      </c>
      <c r="B107" s="905" t="s">
        <v>2005</v>
      </c>
      <c r="C107" s="917">
        <v>3300</v>
      </c>
      <c r="D107" s="908" t="str">
        <f>'Revenues 9-14'!A145</f>
        <v>Total Bilingual Ed</v>
      </c>
      <c r="E107" s="903"/>
      <c r="F107" s="1786">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6">
        <f>'Revenues 9-14'!C146</f>
        <v>1686</v>
      </c>
      <c r="G108" s="909"/>
    </row>
    <row r="109" spans="1:7" x14ac:dyDescent="0.2">
      <c r="A109" s="905" t="s">
        <v>673</v>
      </c>
      <c r="B109" s="905" t="s">
        <v>2007</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6">
        <f>SUM('Revenues 9-14'!C148,'Revenues 9-14'!D148)</f>
        <v>5946</v>
      </c>
      <c r="G110" s="909"/>
    </row>
    <row r="111" spans="1:7" x14ac:dyDescent="0.2">
      <c r="A111" s="905" t="s">
        <v>668</v>
      </c>
      <c r="B111" s="905" t="s">
        <v>2009</v>
      </c>
      <c r="C111" s="919">
        <v>3500</v>
      </c>
      <c r="D111" s="908" t="str">
        <f>'Revenues 9-14'!A155</f>
        <v>Total Transportation</v>
      </c>
      <c r="E111" s="903"/>
      <c r="F111" s="1786">
        <f>SUM('Revenues 9-14'!C155,'Revenues 9-14'!D155,'Revenues 9-14'!F155,'Revenues 9-14'!G155)</f>
        <v>164562</v>
      </c>
      <c r="G111" s="909"/>
    </row>
    <row r="112" spans="1:7" x14ac:dyDescent="0.2">
      <c r="A112" s="905" t="s">
        <v>459</v>
      </c>
      <c r="B112" s="905" t="s">
        <v>2010</v>
      </c>
      <c r="C112" s="917">
        <f>'Revenues 9-14'!B156</f>
        <v>3610</v>
      </c>
      <c r="D112" s="908" t="str">
        <f>'Revenues 9-14'!A156</f>
        <v>Learning Improvement - Change Grants</v>
      </c>
      <c r="E112" s="903"/>
      <c r="F112" s="1786">
        <f>'Revenues 9-14'!C156</f>
        <v>0</v>
      </c>
      <c r="G112" s="909"/>
    </row>
    <row r="113" spans="1:7" x14ac:dyDescent="0.2">
      <c r="A113" s="905" t="s">
        <v>668</v>
      </c>
      <c r="B113" s="905" t="s">
        <v>2011</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4">
        <f>SUM('Revenues 9-14'!C163:G163)</f>
        <v>0</v>
      </c>
      <c r="G118" s="909"/>
    </row>
    <row r="119" spans="1:7" x14ac:dyDescent="0.2">
      <c r="A119" s="920" t="s">
        <v>504</v>
      </c>
      <c r="B119" s="920" t="s">
        <v>2017</v>
      </c>
      <c r="C119" s="921">
        <f>'Revenues 9-14'!B164</f>
        <v>3815</v>
      </c>
      <c r="D119" s="922" t="str">
        <f>'Revenues 9-14'!A164</f>
        <v>State Charter Schools</v>
      </c>
      <c r="E119" s="903"/>
      <c r="F119" s="1904">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6">
        <f>'Revenues 9-14'!D167</f>
        <v>0</v>
      </c>
      <c r="G120" s="927"/>
    </row>
    <row r="121" spans="1:7" x14ac:dyDescent="0.2">
      <c r="A121" s="924" t="s">
        <v>500</v>
      </c>
      <c r="B121" s="924" t="s">
        <v>2019</v>
      </c>
      <c r="C121" s="925">
        <f>'Revenues 9-14'!B168</f>
        <v>3999</v>
      </c>
      <c r="D121" s="926" t="s">
        <v>543</v>
      </c>
      <c r="E121" s="928"/>
      <c r="F121" s="1786">
        <f>SUM('Revenues 9-14'!C168:G168,'Revenues 9-14'!J168)</f>
        <v>1226</v>
      </c>
      <c r="G121" s="927"/>
    </row>
    <row r="122" spans="1:7" x14ac:dyDescent="0.2">
      <c r="A122" s="924" t="s">
        <v>459</v>
      </c>
      <c r="B122" s="924" t="s">
        <v>2020</v>
      </c>
      <c r="C122" s="929">
        <f>'Revenues 9-14'!B177</f>
        <v>4045</v>
      </c>
      <c r="D122" s="926" t="str">
        <f>'Revenues 9-14'!A177 &amp; " (Subtract)"</f>
        <v>Head Start (Subtract)</v>
      </c>
      <c r="E122" s="903"/>
      <c r="F122" s="1786">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6">
        <f>SUM('Revenues 9-14'!C181,'Revenues 9-14'!D181,'Revenues 9-14'!F181,'Revenues 9-14'!G181)</f>
        <v>23268</v>
      </c>
      <c r="G123" s="927"/>
    </row>
    <row r="124" spans="1:7" x14ac:dyDescent="0.2">
      <c r="A124" s="924" t="s">
        <v>668</v>
      </c>
      <c r="B124" s="924" t="s">
        <v>2022</v>
      </c>
      <c r="C124" s="929">
        <v>4100</v>
      </c>
      <c r="D124" s="930" t="str">
        <f>'Revenues 9-14'!A188</f>
        <v>Total Title V</v>
      </c>
      <c r="E124" s="903"/>
      <c r="F124" s="1786">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86">
        <f>SUM('Revenues 9-14'!C198,'Revenues 9-14'!G198)</f>
        <v>99028</v>
      </c>
      <c r="G125" s="927"/>
    </row>
    <row r="126" spans="1:7" x14ac:dyDescent="0.2">
      <c r="A126" s="924" t="s">
        <v>668</v>
      </c>
      <c r="B126" s="924" t="s">
        <v>2024</v>
      </c>
      <c r="C126" s="929">
        <v>4300</v>
      </c>
      <c r="D126" s="930" t="str">
        <f>'Revenues 9-14'!A204</f>
        <v>Total Title I</v>
      </c>
      <c r="E126" s="903"/>
      <c r="F126" s="1786">
        <f>SUM('Revenues 9-14'!C204,'Revenues 9-14'!D204,'Revenues 9-14'!F204,'Revenues 9-14'!G204)</f>
        <v>118212</v>
      </c>
      <c r="G126" s="927"/>
    </row>
    <row r="127" spans="1:7" x14ac:dyDescent="0.2">
      <c r="A127" s="924" t="s">
        <v>668</v>
      </c>
      <c r="B127" s="924" t="s">
        <v>2025</v>
      </c>
      <c r="C127" s="929">
        <v>4400</v>
      </c>
      <c r="D127" s="930" t="str">
        <f>'Revenues 9-14'!A209</f>
        <v>Total Title IV</v>
      </c>
      <c r="E127" s="903"/>
      <c r="F127" s="1786">
        <f>SUM('Revenues 9-14'!C209,'Revenues 9-14'!D209,'Revenues 9-14'!F209,'Revenues 9-14'!G209)</f>
        <v>6726</v>
      </c>
      <c r="G127" s="927"/>
    </row>
    <row r="128" spans="1:7" x14ac:dyDescent="0.2">
      <c r="A128" s="924" t="s">
        <v>668</v>
      </c>
      <c r="B128" s="924" t="s">
        <v>2026</v>
      </c>
      <c r="C128" s="929">
        <f>'Revenues 9-14'!B213</f>
        <v>4620</v>
      </c>
      <c r="D128" s="930" t="str">
        <f>'Revenues 9-14'!A213</f>
        <v>Fed - Spec Education - IDEA - Flow Through</v>
      </c>
      <c r="E128" s="903"/>
      <c r="F128" s="1786">
        <f>SUM('Revenues 9-14'!C213:D213,'Revenues 9-14'!F213:G213)</f>
        <v>0</v>
      </c>
      <c r="G128" s="927"/>
    </row>
    <row r="129" spans="1:7" x14ac:dyDescent="0.2">
      <c r="A129" s="924" t="s">
        <v>668</v>
      </c>
      <c r="B129" s="924" t="s">
        <v>2027</v>
      </c>
      <c r="C129" s="929">
        <f>'Revenues 9-14'!B214</f>
        <v>4625</v>
      </c>
      <c r="D129" s="930" t="str">
        <f>'Revenues 9-14'!A214</f>
        <v>Fed - Spec Education - IDEA - Room &amp; Board</v>
      </c>
      <c r="E129" s="903"/>
      <c r="F129" s="1786">
        <f>SUM('Revenues 9-14'!C214,'Revenues 9-14'!D214,'Revenues 9-14'!F214,'Revenues 9-14'!G214)</f>
        <v>0</v>
      </c>
      <c r="G129" s="927"/>
    </row>
    <row r="130" spans="1:7" x14ac:dyDescent="0.2">
      <c r="A130" s="924" t="s">
        <v>668</v>
      </c>
      <c r="B130" s="924" t="s">
        <v>2028</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2029</v>
      </c>
      <c r="C132" s="929">
        <v>4700</v>
      </c>
      <c r="D132" s="926" t="str">
        <f>'Revenues 9-14'!A221</f>
        <v>Total CTE - Perkins</v>
      </c>
      <c r="E132" s="903"/>
      <c r="F132" s="1786">
        <f>SUM('Revenues 9-14'!C221,'Revenues 9-14'!D221,'Revenues 9-14'!G221)</f>
        <v>0</v>
      </c>
      <c r="G132" s="927">
        <v>6303</v>
      </c>
    </row>
    <row r="133" spans="1:7" s="864" customFormat="1" hidden="1" x14ac:dyDescent="0.2">
      <c r="A133" s="931" t="s">
        <v>206</v>
      </c>
      <c r="B133" s="931" t="s">
        <v>2030</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6">
        <v>0</v>
      </c>
      <c r="G138" s="902"/>
    </row>
    <row r="139" spans="1:7" s="864" customFormat="1" hidden="1" x14ac:dyDescent="0.2">
      <c r="A139" s="931" t="s">
        <v>206</v>
      </c>
      <c r="B139" s="931" t="s">
        <v>2036</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2044</v>
      </c>
      <c r="C157" s="937" t="s">
        <v>841</v>
      </c>
      <c r="D157" s="938" t="s">
        <v>777</v>
      </c>
      <c r="E157" s="939"/>
      <c r="F157" s="1786">
        <f>SUM(F133:F156)</f>
        <v>0</v>
      </c>
      <c r="G157" s="902"/>
    </row>
    <row r="158" spans="1:7" s="864" customFormat="1" x14ac:dyDescent="0.2">
      <c r="A158" s="935" t="s">
        <v>459</v>
      </c>
      <c r="B158" s="936" t="s">
        <v>2045</v>
      </c>
      <c r="C158" s="937" t="s">
        <v>1427</v>
      </c>
      <c r="D158" s="938" t="s">
        <v>1428</v>
      </c>
      <c r="E158" s="939"/>
      <c r="F158" s="1786">
        <f>SUM('Revenues 9-14'!C253)</f>
        <v>0</v>
      </c>
      <c r="G158" s="902"/>
    </row>
    <row r="159" spans="1:7" s="864" customFormat="1" x14ac:dyDescent="0.2">
      <c r="A159" s="935" t="s">
        <v>500</v>
      </c>
      <c r="B159" s="936" t="s">
        <v>2046</v>
      </c>
      <c r="C159" s="937" t="s">
        <v>1466</v>
      </c>
      <c r="D159" s="938" t="s">
        <v>1467</v>
      </c>
      <c r="E159" s="939"/>
      <c r="F159" s="1786">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4">
        <f>SUM('Revenues 9-14'!C259,'Revenues 9-14'!D259,'Revenues 9-14'!F259,'Revenues 9-14'!G259)</f>
        <v>17169</v>
      </c>
      <c r="G164" s="927"/>
    </row>
    <row r="165" spans="1:7" x14ac:dyDescent="0.2">
      <c r="A165" s="924" t="s">
        <v>668</v>
      </c>
      <c r="B165" s="924" t="s">
        <v>2052</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6">
        <f>SUM('Revenues 9-14'!C263:D263,'Revenues 9-14'!F263:G263)</f>
        <v>18736</v>
      </c>
      <c r="G168" s="944">
        <v>6320</v>
      </c>
    </row>
    <row r="169" spans="1:7" x14ac:dyDescent="0.2">
      <c r="A169" s="924" t="s">
        <v>668</v>
      </c>
      <c r="B169" s="924" t="s">
        <v>2054</v>
      </c>
      <c r="C169" s="929">
        <f>'Revenues 9-14'!B264</f>
        <v>4992</v>
      </c>
      <c r="D169" s="930" t="str">
        <f>'Revenues 9-14'!A264</f>
        <v>Medicaid Matching Funds - Fee-for-Service Program</v>
      </c>
      <c r="E169" s="903"/>
      <c r="F169" s="1786">
        <f>SUM('Revenues 9-14'!C264:D264,'Revenues 9-14'!F264:G264)</f>
        <v>38670</v>
      </c>
      <c r="G169" s="944"/>
    </row>
    <row r="170" spans="1:7" x14ac:dyDescent="0.2">
      <c r="A170" s="945" t="s">
        <v>668</v>
      </c>
      <c r="B170" s="941" t="s">
        <v>2055</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5" t="s">
        <v>5</v>
      </c>
      <c r="B171" s="1916" t="s">
        <v>1920</v>
      </c>
      <c r="C171" s="1917">
        <v>3100</v>
      </c>
      <c r="D171" s="1918" t="s">
        <v>1922</v>
      </c>
      <c r="E171" s="903"/>
      <c r="F171" s="1903">
        <v>180763.03</v>
      </c>
      <c r="G171" s="924"/>
    </row>
    <row r="172" spans="1:7" x14ac:dyDescent="0.2">
      <c r="A172" s="1915" t="s">
        <v>664</v>
      </c>
      <c r="B172" s="1916" t="s">
        <v>1920</v>
      </c>
      <c r="C172" s="1917">
        <v>3300</v>
      </c>
      <c r="D172" s="1918" t="s">
        <v>1923</v>
      </c>
      <c r="E172" s="903"/>
      <c r="F172" s="1903">
        <v>2.86</v>
      </c>
      <c r="G172" s="924"/>
    </row>
    <row r="173" spans="1:7" ht="6" customHeight="1" x14ac:dyDescent="0.2">
      <c r="A173" s="924"/>
      <c r="B173" s="924"/>
      <c r="C173" s="946"/>
      <c r="D173" s="924"/>
      <c r="E173" s="903"/>
      <c r="F173" s="947"/>
      <c r="G173" s="944"/>
    </row>
    <row r="174" spans="1:7" x14ac:dyDescent="0.2">
      <c r="A174" s="1767"/>
      <c r="B174" s="1781"/>
      <c r="C174" s="1782"/>
      <c r="D174" s="1783" t="s">
        <v>2056</v>
      </c>
      <c r="E174" s="1784" t="s">
        <v>958</v>
      </c>
      <c r="F174" s="1785">
        <f>SUM(F84:F132,F157:F172)</f>
        <v>827592.89</v>
      </c>
    </row>
    <row r="175" spans="1:7" ht="12" customHeight="1" x14ac:dyDescent="0.2">
      <c r="A175" s="1767"/>
      <c r="B175" s="1781"/>
      <c r="C175" s="1782"/>
      <c r="D175" s="1783" t="s">
        <v>2057</v>
      </c>
      <c r="E175" s="1784"/>
      <c r="F175" s="1786">
        <f>'PCTC-OEPP 27-28'!F77-F174</f>
        <v>3670614.11</v>
      </c>
    </row>
    <row r="176" spans="1:7" ht="12" customHeight="1" x14ac:dyDescent="0.2">
      <c r="A176" s="1767"/>
      <c r="B176" s="1781"/>
      <c r="C176" s="1782"/>
      <c r="D176" s="1783" t="s">
        <v>1817</v>
      </c>
      <c r="E176" s="1784"/>
      <c r="F176" s="1786">
        <f>'Cap Outlay Deprec 26'!I18</f>
        <v>315040</v>
      </c>
    </row>
    <row r="177" spans="1:7" ht="12" customHeight="1" x14ac:dyDescent="0.2">
      <c r="A177" s="1767"/>
      <c r="B177" s="1781"/>
      <c r="C177" s="1782"/>
      <c r="D177" s="1783" t="s">
        <v>2058</v>
      </c>
      <c r="E177" s="1784"/>
      <c r="F177" s="1786">
        <f>F175+F176</f>
        <v>3985654.11</v>
      </c>
    </row>
    <row r="178" spans="1:7" ht="12" customHeight="1" x14ac:dyDescent="0.2">
      <c r="A178" s="1767"/>
      <c r="B178" s="1787"/>
      <c r="C178" s="1782"/>
      <c r="D178" s="1783" t="str">
        <f>D78</f>
        <v>9 Month ADA from District Average Daily Attendance/Prior General State Aid Inquiry 2018-2019</v>
      </c>
      <c r="E178" s="1784"/>
      <c r="F178" s="1788">
        <f>'PCTC-OEPP 27-28'!F78</f>
        <v>387.3</v>
      </c>
      <c r="G178" s="927"/>
    </row>
    <row r="179" spans="1:7" ht="12" customHeight="1" thickBot="1" x14ac:dyDescent="0.25">
      <c r="A179" s="1767"/>
      <c r="B179" s="1787"/>
      <c r="C179" s="1782"/>
      <c r="D179" s="1783" t="s">
        <v>2059</v>
      </c>
      <c r="E179" s="1784" t="s">
        <v>1545</v>
      </c>
      <c r="F179" s="1789">
        <f>F177/F178</f>
        <v>10290.87041053447</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9" customFormat="1" ht="12.2" customHeight="1" x14ac:dyDescent="0.2">
      <c r="A182" s="1919" t="s">
        <v>1994</v>
      </c>
      <c r="B182" s="1920"/>
      <c r="C182" s="1921"/>
      <c r="D182" s="1920"/>
      <c r="E182" s="1921"/>
      <c r="F182" s="1920"/>
      <c r="G182" s="1920"/>
    </row>
    <row r="183" spans="1:7" s="1919" customFormat="1" ht="12.2" customHeight="1" x14ac:dyDescent="0.2">
      <c r="A183" s="1922" t="s">
        <v>1996</v>
      </c>
      <c r="C183" s="1921"/>
      <c r="D183" s="1920"/>
      <c r="E183" s="1921"/>
      <c r="F183" s="1920"/>
      <c r="G183" s="1920"/>
    </row>
    <row r="184" spans="1:7" ht="12" customHeight="1" x14ac:dyDescent="0.2">
      <c r="C184" s="946"/>
      <c r="D184" s="927"/>
      <c r="E184" s="946"/>
      <c r="F184" s="927"/>
      <c r="G184" s="927"/>
    </row>
    <row r="185" spans="1:7" x14ac:dyDescent="0.2">
      <c r="A185" s="1923" t="s">
        <v>1925</v>
      </c>
      <c r="B185" s="1924"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topLeftCell="A7" zoomScaleNormal="100" workbookViewId="0">
      <selection activeCell="A18" sqref="A18"/>
    </sheetView>
  </sheetViews>
  <sheetFormatPr defaultColWidth="9.140625"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1832</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288" t="s">
        <v>1818</v>
      </c>
      <c r="B4" s="2289"/>
      <c r="C4" s="2289"/>
      <c r="D4" s="2289"/>
      <c r="E4" s="2289"/>
      <c r="F4" s="2289"/>
      <c r="G4" s="2290"/>
    </row>
    <row r="5" spans="1:7" x14ac:dyDescent="0.25">
      <c r="A5" s="2291"/>
      <c r="B5" s="2292"/>
      <c r="C5" s="2292"/>
      <c r="D5" s="2292"/>
      <c r="E5" s="2292"/>
      <c r="F5" s="2292"/>
      <c r="G5" s="2293"/>
    </row>
    <row r="6" spans="1:7" ht="18.75" x14ac:dyDescent="0.25">
      <c r="A6" s="1531" t="s">
        <v>1819</v>
      </c>
      <c r="B6" s="1532"/>
      <c r="C6" s="1532"/>
      <c r="D6" s="1532"/>
      <c r="E6" s="1532"/>
      <c r="F6" s="1532"/>
      <c r="G6" s="1533"/>
    </row>
    <row r="7" spans="1:7" ht="30.75" customHeight="1" x14ac:dyDescent="0.25">
      <c r="A7" s="2294" t="s">
        <v>1932</v>
      </c>
      <c r="B7" s="2295"/>
      <c r="C7" s="2295"/>
      <c r="D7" s="2295"/>
      <c r="E7" s="2295"/>
      <c r="F7" s="2295"/>
      <c r="G7" s="2296"/>
    </row>
    <row r="8" spans="1:7" ht="15.75" customHeight="1" x14ac:dyDescent="0.25">
      <c r="A8" s="2297" t="s">
        <v>1907</v>
      </c>
      <c r="B8" s="2298"/>
      <c r="C8" s="2298"/>
      <c r="D8" s="2298"/>
      <c r="E8" s="2298"/>
      <c r="F8" s="2298"/>
      <c r="G8" s="2299"/>
    </row>
    <row r="9" spans="1:7" ht="35.25" customHeight="1" x14ac:dyDescent="0.25">
      <c r="A9" s="2294" t="s">
        <v>1935</v>
      </c>
      <c r="B9" s="2295"/>
      <c r="C9" s="2295"/>
      <c r="D9" s="2295"/>
      <c r="E9" s="2295"/>
      <c r="F9" s="2295"/>
      <c r="G9" s="2296"/>
    </row>
    <row r="10" spans="1:7" ht="15" customHeight="1" x14ac:dyDescent="0.25">
      <c r="A10" s="1534" t="s">
        <v>1820</v>
      </c>
      <c r="B10" s="1535"/>
      <c r="C10" s="1535"/>
      <c r="D10" s="1535"/>
      <c r="E10" s="1535"/>
      <c r="F10" s="1535"/>
      <c r="G10" s="1536"/>
    </row>
    <row r="11" spans="1:7" ht="17.25" customHeight="1" x14ac:dyDescent="0.25">
      <c r="A11" s="2294" t="s">
        <v>1934</v>
      </c>
      <c r="B11" s="2295"/>
      <c r="C11" s="2295"/>
      <c r="D11" s="2295"/>
      <c r="E11" s="2295"/>
      <c r="F11" s="2295"/>
      <c r="G11" s="2296"/>
    </row>
    <row r="12" spans="1:7" ht="15" customHeight="1" x14ac:dyDescent="0.25">
      <c r="A12" s="1534" t="s">
        <v>1825</v>
      </c>
      <c r="B12" s="1535"/>
      <c r="C12" s="1535"/>
      <c r="D12" s="1535"/>
      <c r="E12" s="1535"/>
      <c r="F12" s="1535"/>
      <c r="G12" s="1536"/>
    </row>
    <row r="13" spans="1:7" ht="32.25" customHeight="1" x14ac:dyDescent="0.25">
      <c r="A13" s="2285" t="s">
        <v>1976</v>
      </c>
      <c r="B13" s="2286"/>
      <c r="C13" s="2286"/>
      <c r="D13" s="2286"/>
      <c r="E13" s="2286"/>
      <c r="F13" s="2286"/>
      <c r="G13" s="2287"/>
    </row>
    <row r="14" spans="1:7" x14ac:dyDescent="0.25">
      <c r="A14" s="1658" t="s">
        <v>1833</v>
      </c>
      <c r="B14" s="1659"/>
      <c r="C14" s="1659"/>
      <c r="D14" s="1659"/>
      <c r="E14" s="1659"/>
      <c r="F14" s="1659"/>
      <c r="G14" s="1660"/>
    </row>
    <row r="15" spans="1:7" ht="61.5" customHeight="1" x14ac:dyDescent="0.25">
      <c r="A15" s="1543" t="s">
        <v>1826</v>
      </c>
      <c r="B15" s="1543" t="s">
        <v>1827</v>
      </c>
      <c r="C15" s="1543" t="s">
        <v>1828</v>
      </c>
      <c r="D15" s="1544" t="s">
        <v>1829</v>
      </c>
      <c r="E15" s="1544" t="s">
        <v>1821</v>
      </c>
      <c r="F15" s="1544" t="s">
        <v>1830</v>
      </c>
      <c r="G15" s="1544" t="s">
        <v>1831</v>
      </c>
    </row>
    <row r="16" spans="1:7" x14ac:dyDescent="0.25">
      <c r="A16" s="1645" t="s">
        <v>1834</v>
      </c>
      <c r="B16" s="1646" t="s">
        <v>1824</v>
      </c>
      <c r="C16" s="1647" t="s">
        <v>1822</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1936" t="s">
        <v>2096</v>
      </c>
      <c r="B17" s="1935" t="s">
        <v>2095</v>
      </c>
      <c r="C17" s="1934" t="s">
        <v>2094</v>
      </c>
      <c r="D17" s="1841">
        <v>59745</v>
      </c>
      <c r="E17" s="1537">
        <f t="shared" ref="E17:E141" si="0">IF(D17&lt;=25000,D17,IF(D17&gt;25000,25000,0))</f>
        <v>25000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0">
        <f>IF(F17=0,0,D17-F17)</f>
        <v>34745</v>
      </c>
      <c r="H17" s="1644"/>
    </row>
    <row r="18" spans="1:8" x14ac:dyDescent="0.25">
      <c r="A18" s="1650"/>
      <c r="B18" s="1935"/>
      <c r="C18" s="1934"/>
      <c r="D18" s="1841"/>
      <c r="E18" s="1537">
        <f t="shared" ref="E18:E140" si="2">IF(D18&lt;=25000,D18,IF(D18&gt;25000,25000,0))</f>
        <v>0</v>
      </c>
      <c r="F18" s="1929">
        <f t="shared" si="1"/>
        <v>0</v>
      </c>
      <c r="G18" s="1790">
        <f t="shared" ref="G18:G140" si="3">IF(F18=0,0,D18-F18)</f>
        <v>0</v>
      </c>
    </row>
    <row r="19" spans="1:8" x14ac:dyDescent="0.25">
      <c r="A19" s="1650"/>
      <c r="B19" s="1931"/>
      <c r="C19" s="1653"/>
      <c r="D19" s="1841"/>
      <c r="E19" s="1537">
        <f t="shared" si="2"/>
        <v>0</v>
      </c>
      <c r="F19" s="1929">
        <f t="shared" si="1"/>
        <v>0</v>
      </c>
      <c r="G19" s="1790">
        <f t="shared" si="3"/>
        <v>0</v>
      </c>
    </row>
    <row r="20" spans="1:8" x14ac:dyDescent="0.25">
      <c r="A20" s="1650"/>
      <c r="B20" s="1931"/>
      <c r="C20" s="1653"/>
      <c r="D20" s="1841"/>
      <c r="E20" s="1537">
        <f t="shared" si="2"/>
        <v>0</v>
      </c>
      <c r="F20" s="1929">
        <f t="shared" si="1"/>
        <v>0</v>
      </c>
      <c r="G20" s="1790">
        <f t="shared" si="3"/>
        <v>0</v>
      </c>
    </row>
    <row r="21" spans="1:8" x14ac:dyDescent="0.25">
      <c r="A21" s="1650"/>
      <c r="B21" s="1931"/>
      <c r="C21" s="1653"/>
      <c r="D21" s="1841"/>
      <c r="E21" s="1537">
        <f t="shared" si="2"/>
        <v>0</v>
      </c>
      <c r="F21" s="1929">
        <f t="shared" si="1"/>
        <v>0</v>
      </c>
      <c r="G21" s="1790">
        <f t="shared" si="3"/>
        <v>0</v>
      </c>
    </row>
    <row r="22" spans="1:8" x14ac:dyDescent="0.25">
      <c r="A22" s="1650"/>
      <c r="B22" s="1931"/>
      <c r="C22" s="1653"/>
      <c r="D22" s="1841"/>
      <c r="E22" s="1537">
        <f t="shared" si="2"/>
        <v>0</v>
      </c>
      <c r="F22" s="1929">
        <f t="shared" si="1"/>
        <v>0</v>
      </c>
      <c r="G22" s="1790">
        <f t="shared" si="3"/>
        <v>0</v>
      </c>
    </row>
    <row r="23" spans="1:8" x14ac:dyDescent="0.25">
      <c r="A23" s="1650"/>
      <c r="B23" s="1931"/>
      <c r="C23" s="1653"/>
      <c r="D23" s="1841"/>
      <c r="E23" s="1537">
        <f t="shared" si="2"/>
        <v>0</v>
      </c>
      <c r="F23" s="1929">
        <f t="shared" si="1"/>
        <v>0</v>
      </c>
      <c r="G23" s="1790">
        <f t="shared" si="3"/>
        <v>0</v>
      </c>
    </row>
    <row r="24" spans="1:8" x14ac:dyDescent="0.25">
      <c r="A24" s="1650"/>
      <c r="B24" s="1931"/>
      <c r="C24" s="1653"/>
      <c r="D24" s="1841"/>
      <c r="E24" s="1537">
        <f t="shared" si="2"/>
        <v>0</v>
      </c>
      <c r="F24" s="1929">
        <f t="shared" si="1"/>
        <v>0</v>
      </c>
      <c r="G24" s="1790">
        <f t="shared" si="3"/>
        <v>0</v>
      </c>
    </row>
    <row r="25" spans="1:8" x14ac:dyDescent="0.25">
      <c r="A25" s="1650"/>
      <c r="B25" s="1931"/>
      <c r="C25" s="1653"/>
      <c r="D25" s="1841"/>
      <c r="E25" s="1537">
        <f t="shared" si="2"/>
        <v>0</v>
      </c>
      <c r="F25" s="1929">
        <f t="shared" si="1"/>
        <v>0</v>
      </c>
      <c r="G25" s="1790">
        <f t="shared" si="3"/>
        <v>0</v>
      </c>
    </row>
    <row r="26" spans="1:8" x14ac:dyDescent="0.25">
      <c r="A26" s="1650"/>
      <c r="B26" s="1931"/>
      <c r="C26" s="1651"/>
      <c r="D26" s="1841"/>
      <c r="E26" s="1537">
        <f t="shared" si="2"/>
        <v>0</v>
      </c>
      <c r="F26" s="1929">
        <f t="shared" si="1"/>
        <v>0</v>
      </c>
      <c r="G26" s="1790">
        <f t="shared" si="3"/>
        <v>0</v>
      </c>
    </row>
    <row r="27" spans="1:8" x14ac:dyDescent="0.25">
      <c r="A27" s="1650"/>
      <c r="B27" s="1931"/>
      <c r="C27" s="1651"/>
      <c r="D27" s="1841"/>
      <c r="E27" s="1537">
        <f t="shared" si="2"/>
        <v>0</v>
      </c>
      <c r="F27" s="1929">
        <f t="shared" si="1"/>
        <v>0</v>
      </c>
      <c r="G27" s="1790">
        <f t="shared" si="3"/>
        <v>0</v>
      </c>
    </row>
    <row r="28" spans="1:8" x14ac:dyDescent="0.25">
      <c r="A28" s="1650"/>
      <c r="B28" s="1931"/>
      <c r="C28" s="1651"/>
      <c r="D28" s="1841"/>
      <c r="E28" s="1537">
        <f t="shared" si="2"/>
        <v>0</v>
      </c>
      <c r="F28" s="1929">
        <f t="shared" si="1"/>
        <v>0</v>
      </c>
      <c r="G28" s="1790">
        <f t="shared" si="3"/>
        <v>0</v>
      </c>
    </row>
    <row r="29" spans="1:8" x14ac:dyDescent="0.25">
      <c r="A29" s="1650"/>
      <c r="B29" s="1931"/>
      <c r="C29" s="1651"/>
      <c r="D29" s="1841"/>
      <c r="E29" s="1537">
        <f t="shared" si="2"/>
        <v>0</v>
      </c>
      <c r="F29" s="1929">
        <f t="shared" si="1"/>
        <v>0</v>
      </c>
      <c r="G29" s="1790">
        <f t="shared" si="3"/>
        <v>0</v>
      </c>
    </row>
    <row r="30" spans="1:8" x14ac:dyDescent="0.25">
      <c r="A30" s="1650"/>
      <c r="B30" s="1931"/>
      <c r="C30" s="1651"/>
      <c r="D30" s="1841"/>
      <c r="E30" s="1537">
        <f t="shared" si="2"/>
        <v>0</v>
      </c>
      <c r="F30" s="1929">
        <f t="shared" si="1"/>
        <v>0</v>
      </c>
      <c r="G30" s="1790">
        <f t="shared" si="3"/>
        <v>0</v>
      </c>
    </row>
    <row r="31" spans="1:8" x14ac:dyDescent="0.25">
      <c r="A31" s="1650"/>
      <c r="B31" s="1931"/>
      <c r="C31" s="165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59745</v>
      </c>
      <c r="E141" s="1538">
        <f t="shared" si="0"/>
        <v>25000</v>
      </c>
      <c r="F141" s="1930">
        <f>SUM(F17:F140)</f>
        <v>25000</v>
      </c>
      <c r="G141" s="1792">
        <f>SUM(G17:G140)</f>
        <v>34745</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300" t="s">
        <v>1679</v>
      </c>
      <c r="B5" s="2301"/>
      <c r="C5" s="2301"/>
      <c r="D5" s="2301"/>
      <c r="E5" s="2301"/>
      <c r="F5" s="2301"/>
      <c r="G5" s="2302"/>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v>68433</v>
      </c>
      <c r="F10" s="971"/>
      <c r="G10" s="972"/>
      <c r="H10" s="162"/>
      <c r="I10" s="162"/>
    </row>
    <row r="11" spans="1:9" s="665" customFormat="1" ht="22.5" customHeight="1" x14ac:dyDescent="0.2">
      <c r="A11" s="2305" t="s">
        <v>1977</v>
      </c>
      <c r="B11" s="2306"/>
      <c r="C11" s="2306"/>
      <c r="D11" s="2307"/>
      <c r="E11" s="974">
        <v>14898</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2547527</v>
      </c>
      <c r="F19" s="1796"/>
      <c r="G19" s="1798">
        <f>'Expenditures 15-22'!K33-SUM('Expenditures 15-22'!G33,'Expenditures 15-22'!I33)+'Expenditures 15-22'!D229</f>
        <v>2547527</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172273</v>
      </c>
      <c r="F21" s="1799"/>
      <c r="G21" s="1802">
        <f>'Expenditures 15-22'!K42-SUM('Expenditures 15-22'!G42,'Expenditures 15-22'!I42)+'Expenditures 15-22'!K120-SUM('Expenditures 15-22'!G120,'Expenditures 15-22'!I120)+'Expenditures 15-22'!K180-SUM('Expenditures 15-22'!G180,'Expenditures 15-22'!I180)+'Expenditures 15-22'!D238</f>
        <v>172273</v>
      </c>
      <c r="H21" s="984"/>
      <c r="I21" s="162"/>
    </row>
    <row r="22" spans="1:9" s="665" customFormat="1" ht="12" customHeight="1" x14ac:dyDescent="0.2">
      <c r="A22" s="991" t="s">
        <v>564</v>
      </c>
      <c r="B22" s="992"/>
      <c r="C22" s="990">
        <v>2200</v>
      </c>
      <c r="D22" s="1799"/>
      <c r="E22" s="1801">
        <f>'Expenditures 15-22'!K47-SUM('Expenditures 15-22'!G47,'Expenditures 15-22'!I47)+'Expenditures 15-22'!D243</f>
        <v>142768</v>
      </c>
      <c r="F22" s="1799"/>
      <c r="G22" s="1802">
        <f>'Expenditures 15-22'!K47-SUM('Expenditures 15-22'!G47,'Expenditures 15-22'!I47)+'Expenditures 15-22'!D243</f>
        <v>142768</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299860</v>
      </c>
      <c r="F23" s="1799"/>
      <c r="G23" s="1801">
        <f>'Expenditures 15-22'!K53-SUM('Expenditures 15-22'!G53,'Expenditures 15-22'!I53)+'Expenditures 15-22'!D257+'Expenditures 15-22'!K330-SUM('Expenditures 15-22'!G330,'Expenditures 15-22'!I330)</f>
        <v>299860</v>
      </c>
      <c r="H23" s="984"/>
      <c r="I23" s="162"/>
    </row>
    <row r="24" spans="1:9" s="665" customFormat="1" ht="12" customHeight="1" x14ac:dyDescent="0.2">
      <c r="A24" s="991" t="s">
        <v>566</v>
      </c>
      <c r="B24" s="992"/>
      <c r="C24" s="990">
        <v>2400</v>
      </c>
      <c r="D24" s="1799"/>
      <c r="E24" s="1801">
        <f>'Expenditures 15-22'!K57-SUM('Expenditures 15-22'!G57,'Expenditures 15-22'!I57)+'Expenditures 15-22'!D261</f>
        <v>357739</v>
      </c>
      <c r="F24" s="1799"/>
      <c r="G24" s="1802">
        <f>'Expenditures 15-22'!K57-SUM('Expenditures 15-22'!G57,'Expenditures 15-22'!I57)+'Expenditures 15-22'!D261</f>
        <v>357739</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129023</v>
      </c>
      <c r="E27" s="1801">
        <f>E8</f>
        <v>0</v>
      </c>
      <c r="F27" s="1801">
        <f>'Expenditures 15-22'!K60-SUM('Expenditures 15-22'!G60,'Expenditures 15-22'!I60)+'Expenditures 15-22'!D264-E8</f>
        <v>129023</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448363</v>
      </c>
      <c r="F28" s="1803">
        <f>'Expenditures 15-22'!K61-SUM('Expenditures 15-22'!G61,'Expenditures 15-22'!I61)+'Expenditures 15-22'!K124-SUM('Expenditures 15-22'!G124,'Expenditures 15-22'!I124)+'Expenditures 15-22'!D266-E9</f>
        <v>448363</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347363</v>
      </c>
      <c r="F29" s="1799"/>
      <c r="G29" s="1802">
        <f>'Expenditures 15-22'!K62-SUM('Expenditures 15-22'!G62,'Expenditures 15-22'!I62)+'Expenditures 15-22'!K125-SUM('Expenditures 15-22'!G125,'Expenditures 15-22'!I125)+'Expenditures 15-22'!K182-SUM('Expenditures 15-22'!G182,'Expenditures 15-22'!I182)+'Expenditures 15-22'!D267</f>
        <v>347363</v>
      </c>
      <c r="H29" s="982"/>
    </row>
    <row r="30" spans="1:9" ht="12" customHeight="1" x14ac:dyDescent="0.2">
      <c r="A30" s="991" t="s">
        <v>100</v>
      </c>
      <c r="B30" s="994"/>
      <c r="C30" s="990">
        <v>2560</v>
      </c>
      <c r="D30" s="1799"/>
      <c r="E30" s="1801">
        <f>'Expenditures 15-22'!K63-SUM('Expenditures 15-22'!G63,'Expenditures 15-22'!I63)+'Expenditures 15-22'!D268-E10</f>
        <v>81840</v>
      </c>
      <c r="F30" s="1799"/>
      <c r="G30" s="1801">
        <f>'Expenditures 15-22'!K63-SUM('Expenditures 15-22'!G63,'Expenditures 15-22'!I63)+'Expenditures 15-22'!D268-E10</f>
        <v>81840</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520</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1061</v>
      </c>
      <c r="B35" s="994"/>
      <c r="C35" s="990">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1" t="s">
        <v>403</v>
      </c>
      <c r="B36" s="994"/>
      <c r="C36" s="990">
        <v>2640</v>
      </c>
      <c r="D36" s="1801">
        <f>'Expenditures 15-22'!K70-SUM('Expenditures 15-22'!G70,'Expenditures 15-22'!I70)+'Expenditures 15-22'!D275-E13</f>
        <v>4281</v>
      </c>
      <c r="E36" s="1801">
        <f>E13</f>
        <v>0</v>
      </c>
      <c r="F36" s="1801">
        <f>'Expenditures 15-22'!K70-SUM('Expenditures 15-22'!G70,'Expenditures 15-22'!I70)+'Expenditures 15-22'!D275-E13</f>
        <v>4281</v>
      </c>
      <c r="G36" s="1801">
        <f>E13</f>
        <v>0</v>
      </c>
    </row>
    <row r="37" spans="1:7" ht="12" customHeight="1" x14ac:dyDescent="0.2">
      <c r="A37" s="991" t="s">
        <v>404</v>
      </c>
      <c r="B37" s="994"/>
      <c r="C37" s="990">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0</v>
      </c>
      <c r="F39" s="1799"/>
      <c r="G39" s="1801">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7" t="s">
        <v>1823</v>
      </c>
      <c r="B40" s="988"/>
      <c r="C40" s="990"/>
      <c r="D40" s="1799"/>
      <c r="E40" s="1803">
        <f>-'Contracts Paid in CY 29'!G141</f>
        <v>-34745</v>
      </c>
      <c r="F40" s="1799"/>
      <c r="G40" s="1803">
        <f>-'Contracts Paid in CY 29'!G141</f>
        <v>-34745</v>
      </c>
    </row>
    <row r="41" spans="1:7" ht="12" customHeight="1" x14ac:dyDescent="0.2">
      <c r="A41" s="995" t="s">
        <v>156</v>
      </c>
      <c r="B41" s="996"/>
      <c r="C41" s="997"/>
      <c r="D41" s="1803">
        <f>SUM(D19:D39)</f>
        <v>133304</v>
      </c>
      <c r="E41" s="1803">
        <f>SUM(E19:E40)</f>
        <v>4362988</v>
      </c>
      <c r="F41" s="1803">
        <f>SUM(F19:F39)</f>
        <v>581667</v>
      </c>
      <c r="G41" s="1803">
        <f>SUM(G19:G40)</f>
        <v>3914625</v>
      </c>
    </row>
    <row r="42" spans="1:7" x14ac:dyDescent="0.2">
      <c r="A42" s="984"/>
      <c r="B42" s="162"/>
      <c r="C42" s="998"/>
      <c r="D42" s="2303" t="s">
        <v>522</v>
      </c>
      <c r="E42" s="2304"/>
      <c r="F42" s="999" t="s">
        <v>523</v>
      </c>
      <c r="G42" s="1000"/>
    </row>
    <row r="43" spans="1:7" ht="12" customHeight="1" x14ac:dyDescent="0.2">
      <c r="A43" s="984"/>
      <c r="B43" s="162"/>
      <c r="C43" s="998"/>
      <c r="D43" s="1804" t="s">
        <v>473</v>
      </c>
      <c r="E43" s="1805">
        <f>D41</f>
        <v>133304</v>
      </c>
      <c r="F43" s="1804" t="s">
        <v>473</v>
      </c>
      <c r="G43" s="1805">
        <f>F41</f>
        <v>581667</v>
      </c>
    </row>
    <row r="44" spans="1:7" ht="12" customHeight="1" x14ac:dyDescent="0.2">
      <c r="A44" s="984"/>
      <c r="B44" s="162"/>
      <c r="C44" s="998"/>
      <c r="D44" s="1804" t="s">
        <v>474</v>
      </c>
      <c r="E44" s="1805">
        <f>E41</f>
        <v>4362988</v>
      </c>
      <c r="F44" s="1804" t="s">
        <v>474</v>
      </c>
      <c r="G44" s="1805">
        <f>G41</f>
        <v>3914625</v>
      </c>
    </row>
    <row r="45" spans="1:7" ht="12" customHeight="1" x14ac:dyDescent="0.2">
      <c r="A45" s="984"/>
      <c r="B45" s="162"/>
      <c r="C45" s="162"/>
      <c r="D45" s="1806" t="s">
        <v>1006</v>
      </c>
      <c r="E45" s="1807">
        <f>(E43/E44)</f>
        <v>3.0553373055346472E-2</v>
      </c>
      <c r="F45" s="1806" t="s">
        <v>1006</v>
      </c>
      <c r="G45" s="1807">
        <f>(G43/G44)</f>
        <v>0.14858817894434334</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L30" sqref="L30"/>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11" t="s">
        <v>1379</v>
      </c>
      <c r="B1" s="2311"/>
      <c r="C1" s="2311"/>
      <c r="D1" s="2311"/>
      <c r="E1" s="2311"/>
      <c r="F1" s="2311"/>
    </row>
    <row r="2" spans="1:10" x14ac:dyDescent="0.2">
      <c r="A2" s="1884" t="s">
        <v>1912</v>
      </c>
      <c r="B2" s="1845"/>
      <c r="C2" s="1884"/>
      <c r="D2" s="1845"/>
      <c r="E2" s="1845"/>
      <c r="F2" s="1846"/>
    </row>
    <row r="3" spans="1:10" x14ac:dyDescent="0.2">
      <c r="A3" s="1884" t="s">
        <v>1978</v>
      </c>
      <c r="B3" s="1845"/>
      <c r="C3" s="1884"/>
      <c r="D3" s="1845"/>
      <c r="E3" s="1845"/>
      <c r="F3" s="1846"/>
    </row>
    <row r="4" spans="1:10" ht="3.75" customHeight="1" x14ac:dyDescent="0.2">
      <c r="A4" s="1845"/>
      <c r="B4" s="1845"/>
      <c r="C4" s="1845"/>
      <c r="D4" s="1845"/>
      <c r="E4" s="1845"/>
      <c r="F4" s="1846"/>
    </row>
    <row r="5" spans="1:10" ht="15" x14ac:dyDescent="0.25">
      <c r="A5" s="2312" t="s">
        <v>1546</v>
      </c>
      <c r="B5" s="2313"/>
      <c r="C5" s="2314"/>
      <c r="D5" s="2314"/>
      <c r="E5" s="2314"/>
      <c r="F5" s="2314"/>
    </row>
    <row r="6" spans="1:10" ht="12" customHeight="1" x14ac:dyDescent="0.25">
      <c r="A6" s="1847"/>
      <c r="B6" s="1848"/>
      <c r="C6" s="2315" t="str">
        <f>COVER!A17</f>
        <v>CUSD 3 Fulton County</v>
      </c>
      <c r="D6" s="2315"/>
      <c r="E6" s="2315"/>
      <c r="F6" s="1849"/>
    </row>
    <row r="7" spans="1:10" ht="11.25" customHeight="1" thickBot="1" x14ac:dyDescent="0.3">
      <c r="A7" s="1847"/>
      <c r="B7" s="1848"/>
      <c r="C7" s="2316">
        <f>COVER!A13</f>
        <v>26029003026</v>
      </c>
      <c r="D7" s="2316"/>
      <c r="E7" s="2316"/>
      <c r="F7" s="1849"/>
    </row>
    <row r="8" spans="1:10" ht="25.5" customHeight="1" thickBot="1" x14ac:dyDescent="0.25">
      <c r="A8" s="1890" t="s">
        <v>1908</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c r="D13" s="1862"/>
      <c r="E13" s="1865"/>
      <c r="F13" s="1864"/>
      <c r="H13" s="1875">
        <f t="shared" si="0"/>
        <v>0</v>
      </c>
      <c r="I13" s="1875">
        <f t="shared" si="1"/>
        <v>0</v>
      </c>
      <c r="J13" s="1875">
        <f t="shared" si="2"/>
        <v>0</v>
      </c>
    </row>
    <row r="14" spans="1:10" ht="12" customHeight="1" x14ac:dyDescent="0.2">
      <c r="A14" s="1860" t="s">
        <v>1386</v>
      </c>
      <c r="B14" s="1861"/>
      <c r="C14" s="1862" t="s">
        <v>2070</v>
      </c>
      <c r="D14" s="1862" t="s">
        <v>2070</v>
      </c>
      <c r="E14" s="1865"/>
      <c r="F14" s="1864" t="s">
        <v>2086</v>
      </c>
      <c r="H14" s="1875">
        <f t="shared" si="0"/>
        <v>5</v>
      </c>
      <c r="I14" s="1875">
        <f t="shared" si="1"/>
        <v>5</v>
      </c>
      <c r="J14" s="1875">
        <f t="shared" si="2"/>
        <v>0</v>
      </c>
    </row>
    <row r="15" spans="1:10" ht="12" customHeight="1" x14ac:dyDescent="0.2">
      <c r="A15" s="1860" t="s">
        <v>1387</v>
      </c>
      <c r="B15" s="1861"/>
      <c r="C15" s="1862"/>
      <c r="D15" s="1862"/>
      <c r="E15" s="1865"/>
      <c r="F15" s="1864"/>
      <c r="H15" s="1875">
        <f t="shared" si="0"/>
        <v>0</v>
      </c>
      <c r="I15" s="1875">
        <f t="shared" si="1"/>
        <v>0</v>
      </c>
      <c r="J15" s="1875">
        <f t="shared" si="2"/>
        <v>0</v>
      </c>
    </row>
    <row r="16" spans="1:10" ht="12" customHeight="1" x14ac:dyDescent="0.2">
      <c r="A16" s="1860" t="s">
        <v>1388</v>
      </c>
      <c r="B16" s="1861"/>
      <c r="C16" s="1862" t="s">
        <v>2070</v>
      </c>
      <c r="D16" s="1862" t="s">
        <v>2070</v>
      </c>
      <c r="E16" s="1865"/>
      <c r="F16" s="1864" t="s">
        <v>2087</v>
      </c>
      <c r="H16" s="1875">
        <f t="shared" si="0"/>
        <v>5</v>
      </c>
      <c r="I16" s="1875">
        <f t="shared" si="1"/>
        <v>5</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t="s">
        <v>2070</v>
      </c>
      <c r="D19" s="1862" t="s">
        <v>2070</v>
      </c>
      <c r="E19" s="1865"/>
      <c r="F19" s="1864" t="s">
        <v>2088</v>
      </c>
      <c r="H19" s="1875">
        <f t="shared" si="0"/>
        <v>5</v>
      </c>
      <c r="I19" s="1875">
        <f t="shared" si="1"/>
        <v>5</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t="s">
        <v>2070</v>
      </c>
      <c r="D21" s="1862" t="s">
        <v>2070</v>
      </c>
      <c r="E21" s="1865"/>
      <c r="F21" s="1864" t="s">
        <v>2089</v>
      </c>
      <c r="H21" s="1875">
        <f t="shared" si="0"/>
        <v>5</v>
      </c>
      <c r="I21" s="1875">
        <f t="shared" si="1"/>
        <v>5</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c r="D24" s="1862"/>
      <c r="E24" s="1865"/>
      <c r="F24" s="1864"/>
      <c r="H24" s="1875">
        <f t="shared" si="0"/>
        <v>0</v>
      </c>
      <c r="I24" s="1875">
        <f t="shared" si="1"/>
        <v>0</v>
      </c>
      <c r="J24" s="1875">
        <f t="shared" si="2"/>
        <v>0</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t="s">
        <v>2070</v>
      </c>
      <c r="D26" s="1862" t="s">
        <v>2070</v>
      </c>
      <c r="E26" s="1865"/>
      <c r="F26" s="1864" t="s">
        <v>2090</v>
      </c>
      <c r="H26" s="1875">
        <f t="shared" si="0"/>
        <v>5</v>
      </c>
      <c r="I26" s="1875">
        <f t="shared" si="1"/>
        <v>5</v>
      </c>
      <c r="J26" s="1875">
        <f t="shared" si="2"/>
        <v>0</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t="s">
        <v>2070</v>
      </c>
      <c r="D28" s="1862" t="s">
        <v>2070</v>
      </c>
      <c r="E28" s="1865"/>
      <c r="F28" s="1864" t="s">
        <v>2087</v>
      </c>
      <c r="H28" s="1875">
        <f t="shared" si="0"/>
        <v>5</v>
      </c>
      <c r="I28" s="1875">
        <f t="shared" si="1"/>
        <v>5</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t="s">
        <v>2070</v>
      </c>
      <c r="D30" s="1862" t="s">
        <v>2070</v>
      </c>
      <c r="E30" s="1865"/>
      <c r="F30" s="1864" t="s">
        <v>2125</v>
      </c>
      <c r="H30" s="1875">
        <f t="shared" si="0"/>
        <v>5</v>
      </c>
      <c r="I30" s="1875">
        <f t="shared" si="1"/>
        <v>5</v>
      </c>
      <c r="J30" s="1875">
        <f t="shared" si="2"/>
        <v>0</v>
      </c>
    </row>
    <row r="31" spans="1:12" ht="12" customHeight="1" x14ac:dyDescent="0.2">
      <c r="A31" s="1860" t="s">
        <v>1539</v>
      </c>
      <c r="B31" s="1861"/>
      <c r="C31" s="1862" t="s">
        <v>2070</v>
      </c>
      <c r="D31" s="1862" t="s">
        <v>2070</v>
      </c>
      <c r="E31" s="1865"/>
      <c r="F31" s="1864" t="s">
        <v>2091</v>
      </c>
      <c r="H31" s="1875">
        <f t="shared" si="0"/>
        <v>5</v>
      </c>
      <c r="I31" s="1875">
        <f t="shared" si="1"/>
        <v>5</v>
      </c>
      <c r="J31" s="1875">
        <f t="shared" si="2"/>
        <v>0</v>
      </c>
      <c r="L31" s="1866"/>
    </row>
    <row r="32" spans="1:12" ht="12" customHeight="1" x14ac:dyDescent="0.2">
      <c r="A32" s="1860" t="s">
        <v>1540</v>
      </c>
      <c r="B32" s="1861"/>
      <c r="C32" s="1862" t="s">
        <v>2070</v>
      </c>
      <c r="D32" s="1862" t="s">
        <v>2070</v>
      </c>
      <c r="E32" s="1865"/>
      <c r="F32" s="1864" t="s">
        <v>2092</v>
      </c>
      <c r="H32" s="1875">
        <f t="shared" si="0"/>
        <v>5</v>
      </c>
      <c r="I32" s="1875">
        <f t="shared" si="1"/>
        <v>5</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45</v>
      </c>
      <c r="I34" s="1875">
        <f>SUM(I11:I32)</f>
        <v>45</v>
      </c>
      <c r="J34" s="1875">
        <f>SUM(J11:J32)</f>
        <v>0</v>
      </c>
      <c r="K34" s="1875">
        <f>SUM(H34:J34)</f>
        <v>90</v>
      </c>
    </row>
    <row r="35" spans="1:11" ht="12" customHeight="1" x14ac:dyDescent="0.2">
      <c r="A35" s="1868" t="s">
        <v>1392</v>
      </c>
      <c r="B35" s="1869"/>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70"/>
      <c r="B39" s="1870"/>
      <c r="C39" s="1870"/>
      <c r="D39" s="1870"/>
      <c r="E39" s="1870"/>
      <c r="F39" s="1870"/>
    </row>
    <row r="40" spans="1:11" s="1867" customFormat="1" ht="12" customHeight="1" x14ac:dyDescent="0.25">
      <c r="A40" s="1871" t="s">
        <v>1391</v>
      </c>
      <c r="B40" s="1872"/>
      <c r="C40" s="2325"/>
      <c r="D40" s="2325"/>
      <c r="E40" s="2325"/>
      <c r="F40" s="2326"/>
      <c r="H40" s="1876"/>
      <c r="I40" s="1876"/>
      <c r="J40" s="1876"/>
      <c r="K40" s="1876"/>
    </row>
    <row r="41" spans="1:11" s="1867" customFormat="1" ht="12" customHeight="1" x14ac:dyDescent="0.25">
      <c r="A41" s="2327"/>
      <c r="B41" s="2328"/>
      <c r="C41" s="2328"/>
      <c r="D41" s="2328"/>
      <c r="E41" s="2328"/>
      <c r="F41" s="2329"/>
      <c r="H41" s="1876"/>
      <c r="I41" s="1876"/>
      <c r="J41" s="1876"/>
      <c r="K41" s="1876"/>
    </row>
    <row r="42" spans="1:11" s="1867" customFormat="1" ht="12" customHeight="1" x14ac:dyDescent="0.25">
      <c r="A42" s="2327"/>
      <c r="B42" s="2328"/>
      <c r="C42" s="2328"/>
      <c r="D42" s="2328"/>
      <c r="E42" s="2328"/>
      <c r="F42" s="2329"/>
      <c r="H42" s="1876"/>
      <c r="I42" s="1876"/>
      <c r="J42" s="1876"/>
      <c r="K42" s="1876"/>
    </row>
    <row r="43" spans="1:11" s="1867" customFormat="1" ht="15" x14ac:dyDescent="0.25">
      <c r="A43" s="2319"/>
      <c r="B43" s="2320"/>
      <c r="C43" s="2320"/>
      <c r="D43" s="2320"/>
      <c r="E43" s="2320"/>
      <c r="F43" s="2321"/>
      <c r="H43" s="1876"/>
      <c r="I43" s="1876"/>
      <c r="J43" s="1876"/>
      <c r="K43" s="1876"/>
    </row>
    <row r="44" spans="1:11" s="1867" customFormat="1" ht="12" hidden="1" customHeight="1" x14ac:dyDescent="0.25">
      <c r="A44" s="2319"/>
      <c r="B44" s="2320"/>
      <c r="C44" s="2320"/>
      <c r="D44" s="2320"/>
      <c r="E44" s="2320"/>
      <c r="F44" s="2321"/>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1" t="s">
        <v>672</v>
      </c>
      <c r="B6" s="1639"/>
      <c r="C6" s="1639"/>
      <c r="D6" s="1639"/>
      <c r="E6" s="1640"/>
      <c r="F6" s="1012"/>
      <c r="G6" s="1006"/>
      <c r="H6" s="1013" t="s">
        <v>1028</v>
      </c>
      <c r="I6" s="2335" t="str">
        <f>COVER!A17</f>
        <v>CUSD 3 Fulton County</v>
      </c>
      <c r="J6" s="2336"/>
      <c r="Q6" s="1661"/>
    </row>
    <row r="7" spans="1:17" x14ac:dyDescent="0.2">
      <c r="A7" s="2337" t="s">
        <v>869</v>
      </c>
      <c r="B7" s="2338"/>
      <c r="C7" s="2338"/>
      <c r="D7" s="2338"/>
      <c r="E7" s="2339"/>
      <c r="F7" s="1014"/>
      <c r="G7" s="1006"/>
      <c r="H7" s="1013" t="s">
        <v>372</v>
      </c>
      <c r="I7" s="2340">
        <f>COVER!A13</f>
        <v>26029003026</v>
      </c>
      <c r="J7" s="2340"/>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1979</v>
      </c>
      <c r="F9" s="1020"/>
      <c r="G9" s="1020"/>
      <c r="H9" s="1893"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41" t="s">
        <v>481</v>
      </c>
      <c r="B11" s="2342"/>
      <c r="C11" s="2343"/>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64156</v>
      </c>
      <c r="F12" s="1036"/>
      <c r="G12" s="1808">
        <f t="shared" ref="G12:G18" si="0">SUM(E12:F12)</f>
        <v>64156</v>
      </c>
      <c r="H12" s="1037">
        <v>64722</v>
      </c>
      <c r="I12" s="1036"/>
      <c r="J12" s="1808">
        <f t="shared" ref="J12:J18" si="1">SUM(H12:I12)</f>
        <v>64722</v>
      </c>
    </row>
    <row r="13" spans="1:17" ht="15" customHeight="1" x14ac:dyDescent="0.2">
      <c r="A13" s="1032">
        <v>2</v>
      </c>
      <c r="B13" s="1033" t="s">
        <v>42</v>
      </c>
      <c r="C13" s="1034"/>
      <c r="D13" s="1035">
        <v>2330</v>
      </c>
      <c r="E13" s="1808">
        <f>'Expenditures 15-22'!K51</f>
        <v>0</v>
      </c>
      <c r="F13" s="1036"/>
      <c r="G13" s="1808">
        <f t="shared" si="0"/>
        <v>0</v>
      </c>
      <c r="H13" s="1037"/>
      <c r="I13" s="1036"/>
      <c r="J13" s="1808">
        <f t="shared" si="1"/>
        <v>0</v>
      </c>
    </row>
    <row r="14" spans="1:17" ht="15" customHeight="1" x14ac:dyDescent="0.2">
      <c r="A14" s="1032">
        <v>3</v>
      </c>
      <c r="B14" s="1033" t="s">
        <v>43</v>
      </c>
      <c r="C14" s="1034"/>
      <c r="D14" s="1038">
        <v>2490</v>
      </c>
      <c r="E14" s="1808">
        <f>'Expenditures 15-22'!K56</f>
        <v>0</v>
      </c>
      <c r="F14" s="1036"/>
      <c r="G14" s="1808">
        <f t="shared" si="0"/>
        <v>0</v>
      </c>
      <c r="H14" s="1037"/>
      <c r="I14" s="1036"/>
      <c r="J14" s="1808">
        <f t="shared" si="1"/>
        <v>0</v>
      </c>
    </row>
    <row r="15" spans="1:17" ht="15" customHeight="1" x14ac:dyDescent="0.2">
      <c r="A15" s="1032">
        <v>4</v>
      </c>
      <c r="B15" s="1033" t="s">
        <v>1068</v>
      </c>
      <c r="C15" s="1034"/>
      <c r="D15" s="1035">
        <v>2510</v>
      </c>
      <c r="E15" s="1808">
        <f>'Expenditures 15-22'!K59</f>
        <v>0</v>
      </c>
      <c r="F15" s="1808">
        <f>'Expenditures 15-22'!K122</f>
        <v>0</v>
      </c>
      <c r="G15" s="1808">
        <f t="shared" si="0"/>
        <v>0</v>
      </c>
      <c r="H15" s="1037"/>
      <c r="I15" s="1037"/>
      <c r="J15" s="1808">
        <f t="shared" si="1"/>
        <v>0</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1060</v>
      </c>
      <c r="C17" s="1034"/>
      <c r="D17" s="1035">
        <v>2610</v>
      </c>
      <c r="E17" s="1808">
        <f>'Expenditures 15-22'!K67</f>
        <v>0</v>
      </c>
      <c r="F17" s="1036"/>
      <c r="G17" s="1808">
        <f t="shared" si="0"/>
        <v>0</v>
      </c>
      <c r="H17" s="1037"/>
      <c r="I17" s="1036"/>
      <c r="J17" s="1808">
        <f t="shared" si="1"/>
        <v>0</v>
      </c>
    </row>
    <row r="18" spans="1:10" ht="22.5" customHeight="1" x14ac:dyDescent="0.2">
      <c r="A18" s="1039">
        <v>7</v>
      </c>
      <c r="B18" s="2344" t="s">
        <v>7</v>
      </c>
      <c r="C18" s="2345"/>
      <c r="D18" s="2346"/>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64156</v>
      </c>
      <c r="F19" s="1810">
        <f t="shared" si="2"/>
        <v>0</v>
      </c>
      <c r="G19" s="1810">
        <f t="shared" si="2"/>
        <v>64156</v>
      </c>
      <c r="H19" s="1810">
        <f t="shared" si="2"/>
        <v>64722</v>
      </c>
      <c r="I19" s="1810">
        <f t="shared" si="2"/>
        <v>0</v>
      </c>
      <c r="J19" s="1810">
        <f t="shared" si="2"/>
        <v>64722</v>
      </c>
    </row>
    <row r="20" spans="1:10" ht="13.5" thickTop="1" x14ac:dyDescent="0.2">
      <c r="A20" s="1032">
        <v>9</v>
      </c>
      <c r="B20" s="2347" t="s">
        <v>1981</v>
      </c>
      <c r="C20" s="2347"/>
      <c r="D20" s="2348"/>
      <c r="E20" s="1043"/>
      <c r="F20" s="1043"/>
      <c r="G20" s="1043"/>
      <c r="H20" s="1043"/>
      <c r="I20" s="1043"/>
      <c r="J20" s="1811">
        <f>IF(AND(G19&gt;0,J19&gt;0),(((J19-G19)/G19)),"Enter Budget Data")</f>
        <v>8.8222457759211913E-3</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353"/>
      <c r="D26" s="2353"/>
      <c r="E26" s="1047"/>
      <c r="F26" s="2352"/>
      <c r="G26" s="2352"/>
    </row>
    <row r="27" spans="1:10" x14ac:dyDescent="0.2">
      <c r="B27" s="1044"/>
      <c r="C27" s="1048" t="s">
        <v>1033</v>
      </c>
      <c r="D27" s="1049"/>
      <c r="E27" s="1050"/>
      <c r="F27" s="2349" t="s">
        <v>1509</v>
      </c>
      <c r="G27" s="2349"/>
    </row>
    <row r="28" spans="1:10" ht="28.5" customHeight="1" x14ac:dyDescent="0.2">
      <c r="B28" s="1044"/>
      <c r="C28" s="2351"/>
      <c r="D28" s="2351"/>
      <c r="E28" s="1051"/>
      <c r="F28" s="2351"/>
      <c r="G28" s="2351"/>
    </row>
    <row r="29" spans="1:10" x14ac:dyDescent="0.2">
      <c r="B29" s="1044"/>
      <c r="C29" s="1052" t="s">
        <v>1561</v>
      </c>
      <c r="E29" s="1053"/>
      <c r="F29" s="2350" t="s">
        <v>1510</v>
      </c>
      <c r="G29" s="2350"/>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32" t="s">
        <v>132</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59"/>
    </row>
    <row r="36" spans="1:10" ht="13.5" customHeight="1" x14ac:dyDescent="0.2">
      <c r="B36" s="1058"/>
      <c r="C36" s="2334" t="s">
        <v>1983</v>
      </c>
      <c r="D36" s="2333"/>
      <c r="E36" s="2333"/>
      <c r="F36" s="2333"/>
      <c r="G36" s="2333"/>
      <c r="H36" s="2333"/>
      <c r="I36" s="2333"/>
      <c r="J36" s="1060"/>
    </row>
    <row r="37" spans="1:10" ht="22.5" customHeight="1" x14ac:dyDescent="0.2">
      <c r="C37" s="2333"/>
      <c r="D37" s="2333"/>
      <c r="E37" s="2333"/>
      <c r="F37" s="2333"/>
      <c r="G37" s="2333"/>
      <c r="H37" s="2333"/>
      <c r="I37" s="2333"/>
      <c r="J37" s="1060"/>
    </row>
    <row r="38" spans="1:10" ht="7.5" customHeight="1" x14ac:dyDescent="0.2">
      <c r="C38" s="1059"/>
      <c r="D38" s="1061"/>
      <c r="E38" s="1062"/>
      <c r="F38" s="1063"/>
      <c r="G38" s="1062"/>
    </row>
    <row r="39" spans="1:10" ht="13.5" customHeight="1" x14ac:dyDescent="0.2">
      <c r="B39" s="1058"/>
      <c r="C39" s="2330" t="s">
        <v>882</v>
      </c>
      <c r="D39" s="2331"/>
      <c r="E39" s="2331"/>
      <c r="F39" s="2331"/>
      <c r="G39" s="2331"/>
      <c r="H39" s="2331"/>
      <c r="I39" s="2331"/>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2123</v>
      </c>
    </row>
    <row r="6" spans="1:2" x14ac:dyDescent="0.2">
      <c r="A6" s="1065">
        <v>2</v>
      </c>
      <c r="B6" s="329" t="s">
        <v>2127</v>
      </c>
    </row>
    <row r="7" spans="1:2" x14ac:dyDescent="0.2">
      <c r="A7" s="1065">
        <v>3</v>
      </c>
      <c r="B7" s="329" t="s">
        <v>2122</v>
      </c>
    </row>
    <row r="8" spans="1:2" x14ac:dyDescent="0.2">
      <c r="A8" s="1065">
        <v>4</v>
      </c>
      <c r="B8" s="329" t="s">
        <v>2128</v>
      </c>
    </row>
    <row r="9" spans="1:2" x14ac:dyDescent="0.2">
      <c r="A9" s="1065">
        <v>5</v>
      </c>
      <c r="B9" s="329" t="s">
        <v>2121</v>
      </c>
    </row>
    <row r="10" spans="1:2" x14ac:dyDescent="0.2">
      <c r="A10" s="1065">
        <v>6</v>
      </c>
      <c r="B10" s="329" t="s">
        <v>2120</v>
      </c>
    </row>
    <row r="11" spans="1:2" x14ac:dyDescent="0.2">
      <c r="A11" s="1065">
        <v>7</v>
      </c>
      <c r="B11" s="329" t="s">
        <v>2126</v>
      </c>
    </row>
    <row r="12" spans="1:2" x14ac:dyDescent="0.2">
      <c r="A12" s="1065">
        <v>8</v>
      </c>
      <c r="B12" s="329" t="s">
        <v>2129</v>
      </c>
    </row>
    <row r="13" spans="1:2" x14ac:dyDescent="0.2">
      <c r="A13" s="1065">
        <v>9</v>
      </c>
      <c r="B13" s="329" t="s">
        <v>2124</v>
      </c>
    </row>
    <row r="14" spans="1:2" x14ac:dyDescent="0.2">
      <c r="A14" s="1066"/>
    </row>
    <row r="15" spans="1:2" x14ac:dyDescent="0.2">
      <c r="A15" s="1066"/>
    </row>
    <row r="16" spans="1:2"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CUSD 3 Fulton County</v>
      </c>
    </row>
    <row r="65" spans="2:2" x14ac:dyDescent="0.2">
      <c r="B65" s="1067">
        <f>COVER!A13</f>
        <v>26029003026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3" t="s">
        <v>1611</v>
      </c>
    </row>
    <row r="23" spans="1:5" x14ac:dyDescent="0.2">
      <c r="A23" s="168"/>
      <c r="B23" s="162" t="s">
        <v>1857</v>
      </c>
      <c r="D23" s="167" t="s">
        <v>637</v>
      </c>
      <c r="E23" s="1833"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71" t="s">
        <v>1065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691</v>
      </c>
      <c r="B40" s="2068"/>
      <c r="C40" s="2068"/>
      <c r="D40" s="2068"/>
      <c r="E40" s="2068"/>
    </row>
    <row r="41" spans="1:5" x14ac:dyDescent="0.2">
      <c r="A41" s="2069" t="s">
        <v>1608</v>
      </c>
      <c r="B41" s="2069"/>
      <c r="C41" s="2069"/>
      <c r="D41" s="2069"/>
      <c r="E41" s="2069"/>
    </row>
    <row r="42" spans="1:5" ht="12.75" customHeight="1" x14ac:dyDescent="0.2">
      <c r="A42" s="2070" t="s">
        <v>1022</v>
      </c>
      <c r="B42" s="2070"/>
      <c r="C42" s="2070"/>
      <c r="D42" s="2070"/>
      <c r="E42" s="2070"/>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2" t="s">
        <v>1776</v>
      </c>
    </row>
    <row r="60" spans="1:3" x14ac:dyDescent="0.2">
      <c r="A60" s="196"/>
      <c r="B60" s="148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354" t="s">
        <v>1685</v>
      </c>
      <c r="B18" s="235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1000125</xdr:colOff>
                <xdr:row>1</xdr:row>
                <xdr:rowOff>9525</xdr:rowOff>
              </from>
              <to>
                <xdr:col>1</xdr:col>
                <xdr:colOff>1914525</xdr:colOff>
                <xdr:row>5</xdr:row>
                <xdr:rowOff>47625</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1690</v>
      </c>
      <c r="B1" s="2356"/>
      <c r="C1" s="2356"/>
      <c r="D1" s="2356"/>
      <c r="E1" s="2356"/>
      <c r="F1" s="2357"/>
    </row>
    <row r="2" spans="1:8" ht="45" customHeight="1" x14ac:dyDescent="0.2">
      <c r="A2" s="2365" t="s">
        <v>1987</v>
      </c>
      <c r="B2" s="2366"/>
      <c r="C2" s="2366"/>
      <c r="D2" s="2366"/>
      <c r="E2" s="2366"/>
      <c r="F2" s="2367"/>
      <c r="G2" s="1071"/>
      <c r="H2" s="1071"/>
    </row>
    <row r="3" spans="1:8" ht="57" customHeight="1" x14ac:dyDescent="0.2">
      <c r="A3" s="2368" t="s">
        <v>1686</v>
      </c>
      <c r="B3" s="2369"/>
      <c r="C3" s="2369"/>
      <c r="D3" s="2369"/>
      <c r="E3" s="2369"/>
      <c r="F3" s="2370"/>
      <c r="G3" s="1071"/>
      <c r="H3" s="1071"/>
    </row>
    <row r="4" spans="1:8" ht="14.25" customHeight="1" x14ac:dyDescent="0.2">
      <c r="A4" s="2374" t="s">
        <v>1988</v>
      </c>
      <c r="B4" s="2375"/>
      <c r="C4" s="2375"/>
      <c r="D4" s="2375"/>
      <c r="E4" s="2375"/>
      <c r="F4" s="2376"/>
      <c r="G4" s="1071"/>
      <c r="H4" s="1071"/>
    </row>
    <row r="5" spans="1:8" ht="14.25" customHeight="1" x14ac:dyDescent="0.2">
      <c r="A5" s="2377" t="s">
        <v>1984</v>
      </c>
      <c r="B5" s="2378"/>
      <c r="C5" s="2378"/>
      <c r="D5" s="2378"/>
      <c r="E5" s="2378"/>
      <c r="F5" s="2379"/>
      <c r="G5" s="1071"/>
      <c r="H5" s="1071"/>
    </row>
    <row r="6" spans="1:8" s="1072" customFormat="1" ht="41.25" customHeight="1" x14ac:dyDescent="0.2">
      <c r="A6" s="2371" t="s">
        <v>1691</v>
      </c>
      <c r="B6" s="2372"/>
      <c r="C6" s="2372"/>
      <c r="D6" s="2372"/>
      <c r="E6" s="2372"/>
      <c r="F6" s="2373"/>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3066167</v>
      </c>
      <c r="C8" s="1812">
        <f>'Acct Summary 7-8'!D8</f>
        <v>365504</v>
      </c>
      <c r="D8" s="1812">
        <f>'Acct Summary 7-8'!F8</f>
        <v>206281</v>
      </c>
      <c r="E8" s="1812">
        <f>'Acct Summary 7-8'!I8</f>
        <v>10281</v>
      </c>
      <c r="F8" s="1812">
        <f>SUM(B8:E8)</f>
        <v>3648233</v>
      </c>
    </row>
    <row r="9" spans="1:8" s="1076" customFormat="1" ht="14.25" customHeight="1" thickBot="1" x14ac:dyDescent="0.25">
      <c r="A9" s="1075" t="s">
        <v>1369</v>
      </c>
      <c r="B9" s="1813">
        <f>'Acct Summary 7-8'!C17</f>
        <v>3642832</v>
      </c>
      <c r="C9" s="1813">
        <f>'Acct Summary 7-8'!D17</f>
        <v>425033</v>
      </c>
      <c r="D9" s="1813">
        <f>'Acct Summary 7-8'!F17</f>
        <v>342708</v>
      </c>
      <c r="E9" s="1812"/>
      <c r="F9" s="1812">
        <f>SUM(B9:E9)</f>
        <v>4410573</v>
      </c>
    </row>
    <row r="10" spans="1:8" s="1076" customFormat="1" ht="14.25" thickTop="1" thickBot="1" x14ac:dyDescent="0.25">
      <c r="A10" s="1077" t="s">
        <v>1370</v>
      </c>
      <c r="B10" s="1814">
        <f>(B8-B9)</f>
        <v>-576665</v>
      </c>
      <c r="C10" s="1814">
        <f>(C8-C9)</f>
        <v>-59529</v>
      </c>
      <c r="D10" s="1814">
        <f>(D8-D9)</f>
        <v>-136427</v>
      </c>
      <c r="E10" s="1813">
        <f>(E8-E9)</f>
        <v>10281</v>
      </c>
      <c r="F10" s="1815">
        <f>SUM(F8-F9)</f>
        <v>-762340</v>
      </c>
    </row>
    <row r="11" spans="1:8" s="1076" customFormat="1" ht="14.25" thickTop="1" thickBot="1" x14ac:dyDescent="0.25">
      <c r="A11" s="1078" t="s">
        <v>1985</v>
      </c>
      <c r="B11" s="1816">
        <f>'Acct Summary 7-8'!C81</f>
        <v>961850</v>
      </c>
      <c r="C11" s="1816">
        <f>'Acct Summary 7-8'!D81</f>
        <v>74892</v>
      </c>
      <c r="D11" s="1816">
        <f>'Acct Summary 7-8'!F81</f>
        <v>64450</v>
      </c>
      <c r="E11" s="1816">
        <f>'Acct Summary 7-8'!I81</f>
        <v>72797</v>
      </c>
      <c r="F11" s="1817">
        <f>SUM(B11:E11)</f>
        <v>1173989</v>
      </c>
    </row>
    <row r="12" spans="1:8" ht="16.5" customHeight="1" thickTop="1" x14ac:dyDescent="0.2">
      <c r="A12" s="1079"/>
      <c r="B12" s="1080"/>
      <c r="C12" s="2359"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360"/>
      <c r="E12" s="2360"/>
      <c r="F12" s="2361"/>
    </row>
    <row r="13" spans="1:8" ht="19.5" customHeight="1" x14ac:dyDescent="0.2">
      <c r="A13" s="1081"/>
      <c r="B13" s="1082"/>
      <c r="C13" s="2359"/>
      <c r="D13" s="2360"/>
      <c r="E13" s="2360"/>
      <c r="F13" s="2361"/>
      <c r="H13" s="1071"/>
    </row>
    <row r="14" spans="1:8" ht="19.5" customHeight="1" x14ac:dyDescent="0.2">
      <c r="A14" s="1081"/>
      <c r="B14" s="1082"/>
      <c r="C14" s="2359"/>
      <c r="D14" s="2360"/>
      <c r="E14" s="2360"/>
      <c r="F14" s="2361"/>
      <c r="H14" s="1071"/>
    </row>
    <row r="15" spans="1:8" ht="17.25" customHeight="1" x14ac:dyDescent="0.2">
      <c r="A15" s="1081"/>
      <c r="B15" s="1082"/>
      <c r="C15" s="2362"/>
      <c r="D15" s="2363"/>
      <c r="E15" s="2363"/>
      <c r="F15" s="2364"/>
      <c r="H15" s="1071"/>
    </row>
    <row r="16" spans="1:8" s="310" customFormat="1" ht="51.75" hidden="1" customHeight="1" x14ac:dyDescent="0.2">
      <c r="A16" s="2358" t="s">
        <v>1687</v>
      </c>
      <c r="B16" s="2358"/>
      <c r="C16" s="2358"/>
      <c r="D16" s="2358"/>
      <c r="E16" s="2358"/>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380" t="s">
        <v>665</v>
      </c>
      <c r="B3" s="2381"/>
      <c r="C3" s="2381"/>
      <c r="D3" s="2382"/>
    </row>
    <row r="4" spans="1:4" x14ac:dyDescent="0.2">
      <c r="A4" s="1149" t="s">
        <v>1692</v>
      </c>
      <c r="B4" s="1150"/>
      <c r="C4" s="1151"/>
      <c r="D4" s="1152"/>
    </row>
    <row r="5" spans="1:4" ht="21" customHeight="1" x14ac:dyDescent="0.2">
      <c r="A5" s="1145"/>
      <c r="B5" s="1146">
        <v>1</v>
      </c>
      <c r="C5" s="1147" t="s">
        <v>1835</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391" t="s">
        <v>1504</v>
      </c>
      <c r="D7" s="2392"/>
    </row>
    <row r="8" spans="1:4" s="665" customFormat="1" ht="12.75" x14ac:dyDescent="0.2">
      <c r="A8" s="1135"/>
      <c r="B8" s="1090"/>
      <c r="C8" s="1093" t="s">
        <v>1503</v>
      </c>
      <c r="D8" s="1094"/>
    </row>
    <row r="9" spans="1:4" s="665" customFormat="1" ht="14.25" customHeight="1" x14ac:dyDescent="0.2">
      <c r="A9" s="1135"/>
      <c r="B9" s="1090">
        <f>B7+1</f>
        <v>4</v>
      </c>
      <c r="C9" s="1091" t="s">
        <v>1913</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383" t="s">
        <v>1008</v>
      </c>
      <c r="B15" s="2384"/>
      <c r="C15" s="2384"/>
      <c r="D15" s="2385"/>
    </row>
    <row r="16" spans="1:4" s="665" customFormat="1" ht="24" customHeight="1" x14ac:dyDescent="0.2">
      <c r="A16" s="2386" t="s">
        <v>663</v>
      </c>
      <c r="B16" s="2387"/>
      <c r="C16" s="2387"/>
      <c r="D16" s="2388"/>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395" t="s">
        <v>314</v>
      </c>
      <c r="D21" s="2396"/>
    </row>
    <row r="22" spans="1:10" ht="12.75" x14ac:dyDescent="0.2">
      <c r="A22" s="1136"/>
      <c r="B22" s="1137">
        <v>2</v>
      </c>
      <c r="C22" s="2393" t="s">
        <v>1524</v>
      </c>
      <c r="D22" s="2394"/>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PLEASE CHECK YES or NO.</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required.</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397" t="s">
        <v>536</v>
      </c>
      <c r="D43" s="2398"/>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389" t="s">
        <v>784</v>
      </c>
      <c r="D56" s="2390"/>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1914</v>
      </c>
      <c r="D66" s="1122"/>
    </row>
    <row r="67" spans="1:4" x14ac:dyDescent="0.2">
      <c r="A67" s="1116"/>
      <c r="B67" s="1137"/>
      <c r="C67" s="1144" t="s">
        <v>1021</v>
      </c>
      <c r="D67" s="1122"/>
    </row>
    <row r="68" spans="1:4" x14ac:dyDescent="0.2">
      <c r="A68" s="1097"/>
      <c r="B68" s="1107"/>
      <c r="C68" s="1099" t="s">
        <v>1915</v>
      </c>
      <c r="D68" s="1121" t="str">
        <f>IF('Short-Term Long-Term Debt 24'!F49=SUM(,'Acct Summary 7-8'!C33:K33),"OK","ERROR!")</f>
        <v>OK</v>
      </c>
    </row>
    <row r="69" spans="1:4" x14ac:dyDescent="0.2">
      <c r="A69" s="1097"/>
      <c r="B69" s="1107"/>
      <c r="C69" s="1099" t="s">
        <v>1916</v>
      </c>
      <c r="D69" s="1121" t="str">
        <f>IF('Expenditures 15-22'!H170&lt;&gt;'Short-Term Long-Term Debt 24'!H49,"ERROR!","OK")</f>
        <v>OK</v>
      </c>
    </row>
    <row r="70" spans="1:4" x14ac:dyDescent="0.2">
      <c r="A70" s="1095"/>
      <c r="B70" s="1117">
        <f>B66+1</f>
        <v>9</v>
      </c>
      <c r="C70" s="2389" t="s">
        <v>1696</v>
      </c>
      <c r="D70" s="2390"/>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1917</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1918</v>
      </c>
      <c r="D78" s="1121" t="str">
        <f>IF(ISNUMBER('Acct Summary 7-8'!C9),"OK","ENTRY IS REQUIRED!")</f>
        <v>OK</v>
      </c>
    </row>
    <row r="79" spans="1:4" x14ac:dyDescent="0.2">
      <c r="A79" s="1116"/>
      <c r="B79" s="1117">
        <f>B74+1+1</f>
        <v>12</v>
      </c>
      <c r="C79" s="1127" t="s">
        <v>1903</v>
      </c>
      <c r="D79" s="1128" t="str">
        <f>IF(OR(COVER!$B$6="X",'PCTC-OEPP 27-28'!F78&gt;0),"OK","PLEASE ENTER 9 MO ADA.")</f>
        <v>OK</v>
      </c>
    </row>
    <row r="80" spans="1:4" x14ac:dyDescent="0.2">
      <c r="A80" s="1095"/>
      <c r="B80" s="1117">
        <v>13</v>
      </c>
      <c r="C80" s="1127" t="s">
        <v>1919</v>
      </c>
      <c r="D80" s="1128" t="str">
        <f>IF('Contracts Paid in CY 29'!D141&gt;0,"OK","PLEASE ENTER CONTRACTS PAID IN CURRENT YEAR.")</f>
        <v>OK</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26029003026</v>
      </c>
    </row>
    <row r="3" spans="1:2" x14ac:dyDescent="0.2">
      <c r="A3" t="s">
        <v>956</v>
      </c>
      <c r="B3" s="138" t="str">
        <f>COVER!A15</f>
        <v>Fulton</v>
      </c>
    </row>
    <row r="4" spans="1:2" x14ac:dyDescent="0.2">
      <c r="A4" t="s">
        <v>1007</v>
      </c>
      <c r="B4" s="138" t="str">
        <f>COVER!A17</f>
        <v>CUSD 3 Fulton County</v>
      </c>
    </row>
    <row r="5" spans="1:2" x14ac:dyDescent="0.2">
      <c r="A5" t="s">
        <v>704</v>
      </c>
      <c r="B5" s="138" t="str">
        <f>COVER!A38</f>
        <v>Angela Simmons</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Jason Hohulin, CPA</v>
      </c>
    </row>
    <row r="18" spans="1:2" x14ac:dyDescent="0.2">
      <c r="A18" t="s">
        <v>1150</v>
      </c>
      <c r="B18" s="138" t="str">
        <f>COVER!T17</f>
        <v>4200 N Knoxville Ave</v>
      </c>
    </row>
    <row r="19" spans="1:2" x14ac:dyDescent="0.2">
      <c r="A19" t="s">
        <v>886</v>
      </c>
      <c r="B19" s="138" t="str">
        <f>COVER!T25</f>
        <v>jhohulin@gorenzcpa.com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1077</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965282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3432</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3432</v>
      </c>
      <c r="C91" s="2" t="s">
        <v>573</v>
      </c>
      <c r="D91" s="2" t="str">
        <f t="shared" si="0"/>
        <v>Error?</v>
      </c>
    </row>
    <row r="92" spans="1:4" x14ac:dyDescent="0.2">
      <c r="A92" s="5">
        <v>31</v>
      </c>
      <c r="B92" s="138">
        <f>'Assets-Liab 5-6'!C39</f>
        <v>961850</v>
      </c>
      <c r="D92" s="2" t="str">
        <f t="shared" si="0"/>
        <v>Error?</v>
      </c>
    </row>
    <row r="93" spans="1:4" x14ac:dyDescent="0.2">
      <c r="A93" s="5">
        <v>32</v>
      </c>
      <c r="B93" s="138">
        <f>'Assets-Liab 5-6'!C41</f>
        <v>965282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74892</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54141</v>
      </c>
      <c r="D123" s="2" t="str">
        <f t="shared" si="0"/>
        <v>Error?</v>
      </c>
    </row>
    <row r="124" spans="1:4" x14ac:dyDescent="0.2">
      <c r="A124" s="5">
        <v>63</v>
      </c>
      <c r="B124" s="138">
        <f>'Assets-Liab 5-6'!D41</f>
        <v>74892</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12453</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12453</v>
      </c>
      <c r="D140" s="2" t="str">
        <f t="shared" si="1"/>
        <v>Error?</v>
      </c>
    </row>
    <row r="141" spans="1:4" x14ac:dyDescent="0.2">
      <c r="A141" s="5">
        <v>80</v>
      </c>
      <c r="B141" s="138">
        <f>'Assets-Liab 5-6'!E41</f>
        <v>12453</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64450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64450</v>
      </c>
      <c r="D170" s="2" t="str">
        <f t="shared" si="1"/>
        <v>Error?</v>
      </c>
    </row>
    <row r="171" spans="1:4" x14ac:dyDescent="0.2">
      <c r="A171" s="5">
        <v>110</v>
      </c>
      <c r="B171" s="138">
        <f>'Assets-Liab 5-6'!F41</f>
        <v>64450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124720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33532</v>
      </c>
      <c r="D189" s="2" t="str">
        <f t="shared" si="1"/>
        <v>Error?</v>
      </c>
    </row>
    <row r="190" spans="1:4" x14ac:dyDescent="0.2">
      <c r="A190" s="5">
        <v>129</v>
      </c>
      <c r="B190" s="138">
        <f>'Assets-Liab 5-6'!G41</f>
        <v>124720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216440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216440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140543</v>
      </c>
      <c r="D273" s="2" t="str">
        <f t="shared" si="3"/>
        <v>Error?</v>
      </c>
    </row>
    <row r="274" spans="1:4" x14ac:dyDescent="0.2">
      <c r="A274" s="5">
        <v>213</v>
      </c>
      <c r="B274" s="138">
        <f>'Assets-Liab 5-6'!M17</f>
        <v>11398023</v>
      </c>
      <c r="D274" s="2" t="str">
        <f t="shared" si="3"/>
        <v>Error?</v>
      </c>
    </row>
    <row r="275" spans="1:4" x14ac:dyDescent="0.2">
      <c r="A275" s="5">
        <v>214</v>
      </c>
      <c r="B275" s="138">
        <f>'Assets-Liab 5-6'!M18</f>
        <v>510211</v>
      </c>
      <c r="D275" s="2" t="str">
        <f t="shared" si="3"/>
        <v>Error?</v>
      </c>
    </row>
    <row r="276" spans="1:4" x14ac:dyDescent="0.2">
      <c r="A276" s="5">
        <v>215</v>
      </c>
      <c r="B276" s="138">
        <f>'Assets-Liab 5-6'!M19</f>
        <v>1248464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13297241</v>
      </c>
      <c r="C279" s="2" t="s">
        <v>573</v>
      </c>
      <c r="D279" s="2" t="str">
        <f t="shared" si="3"/>
        <v>Error?</v>
      </c>
    </row>
    <row r="280" spans="1:4" x14ac:dyDescent="0.2">
      <c r="A280" s="5">
        <v>219</v>
      </c>
      <c r="B280" s="138">
        <f>'Assets-Liab 5-6'!M40</f>
        <v>13297241</v>
      </c>
      <c r="D280" s="2" t="str">
        <f t="shared" si="3"/>
        <v>Error?</v>
      </c>
    </row>
    <row r="281" spans="1:4" x14ac:dyDescent="0.2">
      <c r="A281" s="5">
        <v>220</v>
      </c>
      <c r="B281" s="138">
        <f>'Assets-Liab 5-6'!M41</f>
        <v>13297241</v>
      </c>
      <c r="C281" s="2" t="s">
        <v>573</v>
      </c>
      <c r="D281" s="2" t="str">
        <f t="shared" si="3"/>
        <v>Error?</v>
      </c>
    </row>
    <row r="282" spans="1:4" x14ac:dyDescent="0.2">
      <c r="A282" s="5">
        <v>221</v>
      </c>
      <c r="B282" s="138">
        <f>'Assets-Liab 5-6'!N21</f>
        <v>12453</v>
      </c>
      <c r="D282" s="2" t="str">
        <f t="shared" si="3"/>
        <v>Error?</v>
      </c>
    </row>
    <row r="283" spans="1:4" x14ac:dyDescent="0.2">
      <c r="A283" s="5">
        <v>222</v>
      </c>
      <c r="B283" s="138">
        <f>'Assets-Liab 5-6'!N22</f>
        <v>787547</v>
      </c>
      <c r="D283" s="2" t="str">
        <f t="shared" si="3"/>
        <v>Error?</v>
      </c>
    </row>
    <row r="284" spans="1:4" x14ac:dyDescent="0.2">
      <c r="A284" s="5">
        <v>223</v>
      </c>
      <c r="B284" s="138">
        <f>'Assets-Liab 5-6'!N23</f>
        <v>800000</v>
      </c>
      <c r="C284" s="2" t="s">
        <v>573</v>
      </c>
      <c r="D284" s="2" t="str">
        <f t="shared" si="3"/>
        <v>Error?</v>
      </c>
    </row>
    <row r="285" spans="1:4" x14ac:dyDescent="0.2">
      <c r="A285" s="5">
        <v>224</v>
      </c>
      <c r="B285" s="138">
        <f>'Assets-Liab 5-6'!N36</f>
        <v>800000</v>
      </c>
      <c r="D285" s="2" t="str">
        <f t="shared" si="3"/>
        <v>Error?</v>
      </c>
    </row>
    <row r="286" spans="1:4" x14ac:dyDescent="0.2">
      <c r="A286" s="10">
        <v>225</v>
      </c>
      <c r="D286" s="2" t="str">
        <f t="shared" si="3"/>
        <v>OK</v>
      </c>
    </row>
    <row r="287" spans="1:4" x14ac:dyDescent="0.2">
      <c r="A287" s="5">
        <v>226</v>
      </c>
      <c r="B287" s="138">
        <f>'Assets-Liab 5-6'!N37</f>
        <v>800000</v>
      </c>
      <c r="C287" s="2" t="s">
        <v>573</v>
      </c>
      <c r="D287" s="2" t="str">
        <f t="shared" si="3"/>
        <v>Error?</v>
      </c>
    </row>
    <row r="288" spans="1:4" x14ac:dyDescent="0.2">
      <c r="A288" s="5">
        <v>227</v>
      </c>
      <c r="B288" s="138">
        <f>'Assets-Liab 5-6'!N41</f>
        <v>800000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1122912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84795</v>
      </c>
      <c r="D717" s="2" t="str">
        <f t="shared" si="10"/>
        <v>Error?</v>
      </c>
    </row>
    <row r="718" spans="1:4" x14ac:dyDescent="0.2">
      <c r="A718" s="5">
        <v>657</v>
      </c>
      <c r="B718" s="138">
        <f>'Expenditures 15-22'!C14</f>
        <v>36988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1803210</v>
      </c>
      <c r="C720" s="2" t="s">
        <v>573</v>
      </c>
      <c r="D720" s="2" t="str">
        <f t="shared" si="10"/>
        <v>Error?</v>
      </c>
    </row>
    <row r="721" spans="1:4" x14ac:dyDescent="0.2">
      <c r="A721" s="5">
        <v>660</v>
      </c>
      <c r="B721" s="138">
        <f>'Expenditures 15-22'!C36</f>
        <v>44861</v>
      </c>
      <c r="D721" s="2" t="str">
        <f t="shared" si="10"/>
        <v>Error?</v>
      </c>
    </row>
    <row r="722" spans="1:4" x14ac:dyDescent="0.2">
      <c r="A722" s="5">
        <v>661</v>
      </c>
      <c r="B722" s="138">
        <f>'Expenditures 15-22'!C37</f>
        <v>6528</v>
      </c>
      <c r="D722" s="2" t="str">
        <f t="shared" si="10"/>
        <v>Error?</v>
      </c>
    </row>
    <row r="723" spans="1:4" x14ac:dyDescent="0.2">
      <c r="A723" s="5">
        <v>662</v>
      </c>
      <c r="B723" s="138">
        <f>'Expenditures 15-22'!C38</f>
        <v>0</v>
      </c>
      <c r="D723" s="2" t="str">
        <f t="shared" si="10"/>
        <v>Error?</v>
      </c>
    </row>
    <row r="724" spans="1:4" x14ac:dyDescent="0.2">
      <c r="A724" s="5">
        <v>663</v>
      </c>
      <c r="B724" s="138">
        <f>'Expenditures 15-22'!C39</f>
        <v>9382</v>
      </c>
      <c r="D724" s="2" t="str">
        <f t="shared" si="10"/>
        <v>Error?</v>
      </c>
    </row>
    <row r="725" spans="1:4" x14ac:dyDescent="0.2">
      <c r="A725" s="5">
        <v>664</v>
      </c>
      <c r="B725" s="138">
        <f>'Expenditures 15-22'!C40</f>
        <v>77779</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138550</v>
      </c>
      <c r="C727" s="2" t="s">
        <v>573</v>
      </c>
      <c r="D727" s="2" t="str">
        <f t="shared" si="10"/>
        <v>Error?</v>
      </c>
    </row>
    <row r="728" spans="1:4" x14ac:dyDescent="0.2">
      <c r="A728" s="5">
        <v>667</v>
      </c>
      <c r="B728" s="138">
        <f>'Expenditures 15-22'!C44</f>
        <v>6201</v>
      </c>
      <c r="D728" s="2" t="str">
        <f t="shared" si="10"/>
        <v>Error?</v>
      </c>
    </row>
    <row r="729" spans="1:4" x14ac:dyDescent="0.2">
      <c r="A729" s="5">
        <v>668</v>
      </c>
      <c r="B729" s="138">
        <f>'Expenditures 15-22'!C45</f>
        <v>19229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25430</v>
      </c>
      <c r="C731" s="2" t="s">
        <v>573</v>
      </c>
      <c r="D731" s="2" t="str">
        <f t="shared" si="10"/>
        <v>Error?</v>
      </c>
    </row>
    <row r="732" spans="1:4" x14ac:dyDescent="0.2">
      <c r="A732" s="5">
        <v>671</v>
      </c>
      <c r="B732" s="138">
        <f>'Expenditures 15-22'!C49</f>
        <v>28261</v>
      </c>
      <c r="D732" s="2" t="str">
        <f t="shared" si="10"/>
        <v>Error?</v>
      </c>
    </row>
    <row r="733" spans="1:4" x14ac:dyDescent="0.2">
      <c r="A733" s="5">
        <v>672</v>
      </c>
      <c r="B733" s="138">
        <f>'Expenditures 15-22'!C50</f>
        <v>47521</v>
      </c>
      <c r="D733" s="2" t="str">
        <f t="shared" si="10"/>
        <v>Error?</v>
      </c>
    </row>
    <row r="734" spans="1:4" x14ac:dyDescent="0.2">
      <c r="A734" s="5">
        <v>673</v>
      </c>
      <c r="B734" s="138">
        <f>'Expenditures 15-22'!C53</f>
        <v>75782</v>
      </c>
      <c r="C734" s="2" t="s">
        <v>573</v>
      </c>
      <c r="D734" s="2" t="str">
        <f t="shared" si="10"/>
        <v>Error?</v>
      </c>
    </row>
    <row r="735" spans="1:4" x14ac:dyDescent="0.2">
      <c r="A735" s="5">
        <v>674</v>
      </c>
      <c r="B735" s="138">
        <f>'Expenditures 15-22'!C55</f>
        <v>263523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263523</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80971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65146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146117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649402</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2452612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295705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27635</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416587</v>
      </c>
      <c r="C778" s="2" t="s">
        <v>573</v>
      </c>
      <c r="D778" s="2" t="str">
        <f t="shared" si="11"/>
        <v>Error?</v>
      </c>
    </row>
    <row r="779" spans="1:4" x14ac:dyDescent="0.2">
      <c r="A779" s="5">
        <v>718</v>
      </c>
      <c r="B779" s="138">
        <f>'Expenditures 15-22'!D36</f>
        <v>4941</v>
      </c>
      <c r="D779" s="2" t="str">
        <f t="shared" si="11"/>
        <v>Error?</v>
      </c>
    </row>
    <row r="780" spans="1:4" x14ac:dyDescent="0.2">
      <c r="A780" s="5">
        <v>719</v>
      </c>
      <c r="B780" s="138">
        <f>'Expenditures 15-22'!D37</f>
        <v>1490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761</v>
      </c>
      <c r="D782" s="2" t="str">
        <f t="shared" si="11"/>
        <v>Error?</v>
      </c>
    </row>
    <row r="783" spans="1:4" x14ac:dyDescent="0.2">
      <c r="A783" s="5">
        <v>722</v>
      </c>
      <c r="B783" s="138">
        <f>'Expenditures 15-22'!D40</f>
        <v>20132</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27324</v>
      </c>
      <c r="C785" s="2" t="s">
        <v>573</v>
      </c>
      <c r="D785" s="2" t="str">
        <f t="shared" si="11"/>
        <v>Error?</v>
      </c>
    </row>
    <row r="786" spans="1:4" x14ac:dyDescent="0.2">
      <c r="A786" s="5">
        <v>725</v>
      </c>
      <c r="B786" s="138">
        <f>'Expenditures 15-22'!D44</f>
        <v>355</v>
      </c>
      <c r="D786" s="2" t="str">
        <f t="shared" si="11"/>
        <v>Error?</v>
      </c>
    </row>
    <row r="787" spans="1:4" x14ac:dyDescent="0.2">
      <c r="A787" s="5">
        <v>726</v>
      </c>
      <c r="B787" s="138">
        <f>'Expenditures 15-22'!D45</f>
        <v>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364</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12203</v>
      </c>
      <c r="D791" s="2" t="str">
        <f t="shared" si="11"/>
        <v>Error?</v>
      </c>
    </row>
    <row r="792" spans="1:4" x14ac:dyDescent="0.2">
      <c r="A792" s="5">
        <v>731</v>
      </c>
      <c r="B792" s="138">
        <f>'Expenditures 15-22'!D53</f>
        <v>12203</v>
      </c>
      <c r="C792" s="2" t="s">
        <v>573</v>
      </c>
      <c r="D792" s="2" t="str">
        <f t="shared" si="11"/>
        <v>Error?</v>
      </c>
    </row>
    <row r="793" spans="1:4" x14ac:dyDescent="0.2">
      <c r="A793" s="5">
        <v>732</v>
      </c>
      <c r="B793" s="138">
        <f>'Expenditures 15-22'!D55</f>
        <v>49257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49257</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21346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21380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110528</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527115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3123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286</v>
      </c>
      <c r="D833" s="2" t="str">
        <f t="shared" si="12"/>
        <v>Error?</v>
      </c>
    </row>
    <row r="834" spans="1:4" x14ac:dyDescent="0.2">
      <c r="A834" s="5">
        <v>773</v>
      </c>
      <c r="B834" s="138">
        <f>'Expenditures 15-22'!E14</f>
        <v>65134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84841</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1685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1685</v>
      </c>
      <c r="C843" s="2" t="s">
        <v>573</v>
      </c>
      <c r="D843" s="2" t="str">
        <f t="shared" si="12"/>
        <v>Error?</v>
      </c>
    </row>
    <row r="844" spans="1:4" x14ac:dyDescent="0.2">
      <c r="A844" s="5">
        <v>783</v>
      </c>
      <c r="B844" s="138">
        <f>'Expenditures 15-22'!E44</f>
        <v>73662</v>
      </c>
      <c r="D844" s="2" t="str">
        <f t="shared" si="12"/>
        <v>Error?</v>
      </c>
    </row>
    <row r="845" spans="1:4" x14ac:dyDescent="0.2">
      <c r="A845" s="5">
        <v>784</v>
      </c>
      <c r="B845" s="138">
        <f>'Expenditures 15-22'!E45</f>
        <v>0</v>
      </c>
      <c r="D845" s="2" t="str">
        <f t="shared" si="12"/>
        <v>Error?</v>
      </c>
    </row>
    <row r="846" spans="1:4" x14ac:dyDescent="0.2">
      <c r="A846" s="5">
        <v>785</v>
      </c>
      <c r="B846" s="138">
        <f>'Expenditures 15-22'!E46</f>
        <v>2563</v>
      </c>
      <c r="D846" s="2" t="str">
        <f t="shared" si="12"/>
        <v>Error?</v>
      </c>
    </row>
    <row r="847" spans="1:4" x14ac:dyDescent="0.2">
      <c r="A847" s="5">
        <v>786</v>
      </c>
      <c r="B847" s="138">
        <f>'Expenditures 15-22'!E47</f>
        <v>76225</v>
      </c>
      <c r="C847" s="2" t="s">
        <v>573</v>
      </c>
      <c r="D847" s="2" t="str">
        <f t="shared" si="12"/>
        <v>Error?</v>
      </c>
    </row>
    <row r="848" spans="1:4" x14ac:dyDescent="0.2">
      <c r="A848" s="5">
        <v>787</v>
      </c>
      <c r="B848" s="138">
        <f>'Expenditures 15-22'!E49</f>
        <v>36945</v>
      </c>
      <c r="D848" s="2" t="str">
        <f t="shared" si="12"/>
        <v>Error?</v>
      </c>
    </row>
    <row r="849" spans="1:4" x14ac:dyDescent="0.2">
      <c r="A849" s="5">
        <v>788</v>
      </c>
      <c r="B849" s="138">
        <f>'Expenditures 15-22'!E50</f>
        <v>2562</v>
      </c>
      <c r="D849" s="2" t="str">
        <f t="shared" si="12"/>
        <v>Error?</v>
      </c>
    </row>
    <row r="850" spans="1:4" x14ac:dyDescent="0.2">
      <c r="A850" s="5">
        <v>789</v>
      </c>
      <c r="B850" s="138">
        <f>'Expenditures 15-22'!E53</f>
        <v>39507</v>
      </c>
      <c r="C850" s="2" t="s">
        <v>573</v>
      </c>
      <c r="D850" s="2" t="str">
        <f t="shared" si="12"/>
        <v>Error?</v>
      </c>
    </row>
    <row r="851" spans="1:4" x14ac:dyDescent="0.2">
      <c r="A851" s="5">
        <v>790</v>
      </c>
      <c r="B851" s="138">
        <f>'Expenditures 15-22'!E55</f>
        <v>3277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3277</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8772</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3620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12392</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4281</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4281</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137367</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252308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45842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22073</v>
      </c>
      <c r="D891" s="2" t="str">
        <f t="shared" si="12"/>
        <v>Error?</v>
      </c>
    </row>
    <row r="892" spans="1:4" x14ac:dyDescent="0.2">
      <c r="A892" s="5">
        <v>831</v>
      </c>
      <c r="B892" s="138">
        <f>'Expenditures 15-22'!F14</f>
        <v>11357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125643</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127</v>
      </c>
      <c r="D896" s="2" t="str">
        <f t="shared" si="13"/>
        <v>Error?</v>
      </c>
    </row>
    <row r="897" spans="1:4" x14ac:dyDescent="0.2">
      <c r="A897" s="5">
        <v>836</v>
      </c>
      <c r="B897" s="138">
        <f>'Expenditures 15-22'!F38</f>
        <v>229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356</v>
      </c>
      <c r="C901" s="2" t="s">
        <v>573</v>
      </c>
      <c r="D901" s="2" t="str">
        <f t="shared" si="13"/>
        <v>Error?</v>
      </c>
    </row>
    <row r="902" spans="1:4" x14ac:dyDescent="0.2">
      <c r="A902" s="5">
        <v>841</v>
      </c>
      <c r="B902" s="138">
        <f>'Expenditures 15-22'!F44</f>
        <v>30093</v>
      </c>
      <c r="D902" s="2" t="str">
        <f t="shared" si="13"/>
        <v>Error?</v>
      </c>
    </row>
    <row r="903" spans="1:4" x14ac:dyDescent="0.2">
      <c r="A903" s="5">
        <v>842</v>
      </c>
      <c r="B903" s="138">
        <f>'Expenditures 15-22'!F45</f>
        <v>4228</v>
      </c>
      <c r="D903" s="2" t="str">
        <f t="shared" si="13"/>
        <v>Error?</v>
      </c>
    </row>
    <row r="904" spans="1:4" x14ac:dyDescent="0.2">
      <c r="A904" s="5">
        <v>843</v>
      </c>
      <c r="B904" s="138">
        <f>'Expenditures 15-22'!F46</f>
        <v>1045</v>
      </c>
      <c r="D904" s="2" t="str">
        <f t="shared" si="13"/>
        <v>Error?</v>
      </c>
    </row>
    <row r="905" spans="1:4" x14ac:dyDescent="0.2">
      <c r="A905" s="5">
        <v>844</v>
      </c>
      <c r="B905" s="138">
        <f>'Expenditures 15-22'!F47</f>
        <v>35366</v>
      </c>
      <c r="C905" s="2" t="s">
        <v>573</v>
      </c>
      <c r="D905" s="2" t="str">
        <f t="shared" si="13"/>
        <v>Error?</v>
      </c>
    </row>
    <row r="906" spans="1:4" x14ac:dyDescent="0.2">
      <c r="A906" s="5">
        <v>845</v>
      </c>
      <c r="B906" s="138">
        <f>'Expenditures 15-22'!F49</f>
        <v>2530</v>
      </c>
      <c r="D906" s="2" t="str">
        <f t="shared" si="13"/>
        <v>Error?</v>
      </c>
    </row>
    <row r="907" spans="1:4" x14ac:dyDescent="0.2">
      <c r="A907" s="5">
        <v>846</v>
      </c>
      <c r="B907" s="138">
        <f>'Expenditures 15-22'!F50</f>
        <v>657</v>
      </c>
      <c r="D907" s="2" t="str">
        <f t="shared" si="13"/>
        <v>Error?</v>
      </c>
    </row>
    <row r="908" spans="1:4" x14ac:dyDescent="0.2">
      <c r="A908" s="5">
        <v>847</v>
      </c>
      <c r="B908" s="138">
        <f>'Expenditures 15-22'!F53</f>
        <v>3187</v>
      </c>
      <c r="C908" s="2" t="s">
        <v>573</v>
      </c>
      <c r="D908" s="2" t="str">
        <f t="shared" si="13"/>
        <v>Error?</v>
      </c>
    </row>
    <row r="909" spans="1:4" x14ac:dyDescent="0.2">
      <c r="A909" s="5">
        <v>848</v>
      </c>
      <c r="B909" s="138">
        <f>'Expenditures 15-22'!F55</f>
        <v>10220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10220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306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68433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68739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117868</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243511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11257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18178</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33813</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33813</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738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1745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52484</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385</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385</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2250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2250</v>
      </c>
      <c r="C1021" s="2" t="s">
        <v>573</v>
      </c>
      <c r="D1021" s="2" t="str">
        <f t="shared" si="14"/>
        <v>Error?</v>
      </c>
    </row>
    <row r="1022" spans="1:4" x14ac:dyDescent="0.2">
      <c r="A1022" s="5">
        <v>961</v>
      </c>
      <c r="B1022" s="138">
        <f>'Expenditures 15-22'!H49</f>
        <v>13303</v>
      </c>
      <c r="D1022" s="2" t="str">
        <f t="shared" si="14"/>
        <v>Error?</v>
      </c>
    </row>
    <row r="1023" spans="1:4" x14ac:dyDescent="0.2">
      <c r="A1023" s="5">
        <v>962</v>
      </c>
      <c r="B1023" s="138">
        <f>'Expenditures 15-22'!H50</f>
        <v>1213</v>
      </c>
      <c r="D1023" s="2" t="str">
        <f t="shared" ref="D1023:D1086" si="15">IF(ISBLANK(B1023),"OK",IF(A1023-B1023=0,"OK","Error?"))</f>
        <v>Error?</v>
      </c>
    </row>
    <row r="1024" spans="1:4" x14ac:dyDescent="0.2">
      <c r="A1024" s="5">
        <v>963</v>
      </c>
      <c r="B1024" s="138">
        <f>'Expenditures 15-22'!H53</f>
        <v>14516</v>
      </c>
      <c r="C1024" s="2" t="s">
        <v>573</v>
      </c>
      <c r="D1024" s="2" t="str">
        <f t="shared" si="15"/>
        <v>Error?</v>
      </c>
    </row>
    <row r="1025" spans="1:4" x14ac:dyDescent="0.2">
      <c r="A1025" s="5">
        <v>964</v>
      </c>
      <c r="B1025" s="138">
        <f>'Expenditures 15-22'!H55</f>
        <v>955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955</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829</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829</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18935</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62054</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133473</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1479577</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152967</v>
      </c>
      <c r="C1105" s="2" t="s">
        <v>573</v>
      </c>
      <c r="D1105" s="2" t="str">
        <f t="shared" si="16"/>
        <v>Error?</v>
      </c>
    </row>
    <row r="1106" spans="1:4" x14ac:dyDescent="0.2">
      <c r="A1106" s="5">
        <v>1045</v>
      </c>
      <c r="B1106" s="138">
        <f>'Expenditures 15-22'!K14</f>
        <v>115224</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2516578</v>
      </c>
      <c r="C1108" s="2" t="s">
        <v>573</v>
      </c>
      <c r="D1108" s="2" t="str">
        <f t="shared" si="16"/>
        <v>Error?</v>
      </c>
    </row>
    <row r="1109" spans="1:4" x14ac:dyDescent="0.2">
      <c r="A1109" s="5">
        <v>1048</v>
      </c>
      <c r="B1109" s="138">
        <f>'Expenditures 15-22'!K36</f>
        <v>49802</v>
      </c>
      <c r="C1109" s="2" t="s">
        <v>573</v>
      </c>
      <c r="D1109" s="2" t="str">
        <f t="shared" si="16"/>
        <v>Error?</v>
      </c>
    </row>
    <row r="1110" spans="1:4" x14ac:dyDescent="0.2">
      <c r="A1110" s="5">
        <v>1049</v>
      </c>
      <c r="B1110" s="138">
        <f>'Expenditures 15-22'!K37</f>
        <v>8530</v>
      </c>
      <c r="C1110" s="2" t="s">
        <v>573</v>
      </c>
      <c r="D1110" s="2" t="str">
        <f t="shared" si="16"/>
        <v>Error?</v>
      </c>
    </row>
    <row r="1111" spans="1:4" x14ac:dyDescent="0.2">
      <c r="A1111" s="5">
        <v>1050</v>
      </c>
      <c r="B1111" s="138">
        <f>'Expenditures 15-22'!K38</f>
        <v>1914</v>
      </c>
      <c r="C1111" s="2" t="s">
        <v>573</v>
      </c>
      <c r="D1111" s="2" t="str">
        <f t="shared" si="16"/>
        <v>Error?</v>
      </c>
    </row>
    <row r="1112" spans="1:4" x14ac:dyDescent="0.2">
      <c r="A1112" s="5">
        <v>1051</v>
      </c>
      <c r="B1112" s="138">
        <f>'Expenditures 15-22'!K39</f>
        <v>10143</v>
      </c>
      <c r="C1112" s="2" t="s">
        <v>573</v>
      </c>
      <c r="D1112" s="2" t="str">
        <f t="shared" si="16"/>
        <v>Error?</v>
      </c>
    </row>
    <row r="1113" spans="1:4" x14ac:dyDescent="0.2">
      <c r="A1113" s="5">
        <v>1052</v>
      </c>
      <c r="B1113" s="138">
        <f>'Expenditures 15-22'!K40</f>
        <v>97911</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168300</v>
      </c>
      <c r="C1115" s="2" t="s">
        <v>573</v>
      </c>
      <c r="D1115" s="2" t="str">
        <f t="shared" si="16"/>
        <v>Error?</v>
      </c>
    </row>
    <row r="1116" spans="1:4" x14ac:dyDescent="0.2">
      <c r="A1116" s="5">
        <v>1055</v>
      </c>
      <c r="B1116" s="138">
        <f>'Expenditures 15-22'!K44</f>
        <v>110311</v>
      </c>
      <c r="C1116" s="2" t="s">
        <v>573</v>
      </c>
      <c r="D1116" s="2" t="str">
        <f t="shared" si="16"/>
        <v>Error?</v>
      </c>
    </row>
    <row r="1117" spans="1:4" x14ac:dyDescent="0.2">
      <c r="A1117" s="5">
        <v>1056</v>
      </c>
      <c r="B1117" s="138">
        <f>'Expenditures 15-22'!K45</f>
        <v>25716</v>
      </c>
      <c r="C1117" s="2" t="s">
        <v>573</v>
      </c>
      <c r="D1117" s="2" t="str">
        <f t="shared" si="16"/>
        <v>Error?</v>
      </c>
    </row>
    <row r="1118" spans="1:4" x14ac:dyDescent="0.2">
      <c r="A1118" s="5">
        <v>1057</v>
      </c>
      <c r="B1118" s="138">
        <f>'Expenditures 15-22'!K46</f>
        <v>3608</v>
      </c>
      <c r="C1118" s="2" t="s">
        <v>573</v>
      </c>
      <c r="D1118" s="2" t="str">
        <f t="shared" si="16"/>
        <v>Error?</v>
      </c>
    </row>
    <row r="1119" spans="1:4" x14ac:dyDescent="0.2">
      <c r="A1119" s="5">
        <v>1058</v>
      </c>
      <c r="B1119" s="138">
        <f>'Expenditures 15-22'!K47</f>
        <v>139635</v>
      </c>
      <c r="C1119" s="2" t="s">
        <v>573</v>
      </c>
      <c r="D1119" s="2" t="str">
        <f t="shared" si="16"/>
        <v>Error?</v>
      </c>
    </row>
    <row r="1120" spans="1:4" x14ac:dyDescent="0.2">
      <c r="A1120" s="5">
        <v>1059</v>
      </c>
      <c r="B1120" s="138">
        <f>'Expenditures 15-22'!K49</f>
        <v>81039</v>
      </c>
      <c r="C1120" s="2" t="s">
        <v>573</v>
      </c>
      <c r="D1120" s="2" t="str">
        <f t="shared" si="16"/>
        <v>Error?</v>
      </c>
    </row>
    <row r="1121" spans="1:4" x14ac:dyDescent="0.2">
      <c r="A1121" s="5">
        <v>1060</v>
      </c>
      <c r="B1121" s="138">
        <f>'Expenditures 15-22'!K50</f>
        <v>64156</v>
      </c>
      <c r="C1121" s="2" t="s">
        <v>573</v>
      </c>
      <c r="D1121" s="2" t="str">
        <f t="shared" si="16"/>
        <v>Error?</v>
      </c>
    </row>
    <row r="1122" spans="1:4" x14ac:dyDescent="0.2">
      <c r="A1122" s="5">
        <v>1061</v>
      </c>
      <c r="B1122" s="138">
        <f>'Expenditures 15-22'!K53</f>
        <v>145195</v>
      </c>
      <c r="C1122" s="2" t="s">
        <v>573</v>
      </c>
      <c r="D1122" s="2" t="str">
        <f t="shared" si="16"/>
        <v>Error?</v>
      </c>
    </row>
    <row r="1123" spans="1:4" x14ac:dyDescent="0.2">
      <c r="A1123" s="5">
        <v>1062</v>
      </c>
      <c r="B1123" s="138">
        <f>'Expenditures 15-22'!K55</f>
        <v>327232</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327232</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112224</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137233</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249457</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4281</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4281</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1034100</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92154</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3642832</v>
      </c>
      <c r="C1152" s="2" t="s">
        <v>573</v>
      </c>
      <c r="D1152" s="2" t="str">
        <f t="shared" si="17"/>
        <v>Error?</v>
      </c>
    </row>
    <row r="1153" spans="1:4" x14ac:dyDescent="0.2">
      <c r="A1153" s="5">
        <v>1092</v>
      </c>
      <c r="B1153" s="138">
        <f>'Expenditures 15-22'!K115</f>
        <v>-576665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160431</v>
      </c>
      <c r="D1221" s="2" t="str">
        <f t="shared" si="18"/>
        <v>Error?</v>
      </c>
    </row>
    <row r="1222" spans="1:4" x14ac:dyDescent="0.2">
      <c r="A1222" s="10">
        <v>1161</v>
      </c>
      <c r="D1222" s="2" t="str">
        <f t="shared" si="18"/>
        <v>OK</v>
      </c>
    </row>
    <row r="1223" spans="1:4" x14ac:dyDescent="0.2">
      <c r="A1223" s="5">
        <v>1162</v>
      </c>
      <c r="B1223" s="138">
        <f>'Expenditures 15-22'!C127</f>
        <v>160431</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160431</v>
      </c>
      <c r="C1225" s="2" t="s">
        <v>573</v>
      </c>
      <c r="D1225" s="2" t="str">
        <f t="shared" si="18"/>
        <v>Error?</v>
      </c>
    </row>
    <row r="1226" spans="1:4" x14ac:dyDescent="0.2">
      <c r="A1226" s="5">
        <v>1165</v>
      </c>
      <c r="B1226" s="138">
        <f>'Expenditures 15-22'!C151</f>
        <v>160431</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26181</v>
      </c>
      <c r="D1229" s="2" t="str">
        <f t="shared" si="18"/>
        <v>Error?</v>
      </c>
    </row>
    <row r="1230" spans="1:4" x14ac:dyDescent="0.2">
      <c r="A1230" s="10">
        <v>1169</v>
      </c>
      <c r="D1230" s="2" t="str">
        <f t="shared" si="18"/>
        <v>OK</v>
      </c>
    </row>
    <row r="1231" spans="1:4" x14ac:dyDescent="0.2">
      <c r="A1231" s="5">
        <v>1170</v>
      </c>
      <c r="B1231" s="138">
        <f>'Expenditures 15-22'!D127</f>
        <v>26181</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26181</v>
      </c>
      <c r="C1233" s="2" t="s">
        <v>573</v>
      </c>
      <c r="D1233" s="2" t="str">
        <f t="shared" si="18"/>
        <v>Error?</v>
      </c>
    </row>
    <row r="1234" spans="1:4" x14ac:dyDescent="0.2">
      <c r="A1234" s="5">
        <v>1173</v>
      </c>
      <c r="B1234" s="138">
        <f>'Expenditures 15-22'!D151</f>
        <v>26181</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84154</v>
      </c>
      <c r="D1237" s="2" t="str">
        <f t="shared" si="18"/>
        <v>Error?</v>
      </c>
    </row>
    <row r="1238" spans="1:4" x14ac:dyDescent="0.2">
      <c r="A1238" s="10">
        <v>1177</v>
      </c>
      <c r="D1238" s="2" t="str">
        <f t="shared" si="18"/>
        <v>OK</v>
      </c>
    </row>
    <row r="1239" spans="1:4" x14ac:dyDescent="0.2">
      <c r="A1239" s="5">
        <v>1178</v>
      </c>
      <c r="B1239" s="138">
        <f>'Expenditures 15-22'!E127</f>
        <v>86054</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86054</v>
      </c>
      <c r="C1241" s="2" t="s">
        <v>573</v>
      </c>
      <c r="D1241" s="2" t="str">
        <f t="shared" si="18"/>
        <v>Error?</v>
      </c>
    </row>
    <row r="1242" spans="1:4" x14ac:dyDescent="0.2">
      <c r="A1242" s="5">
        <v>1181</v>
      </c>
      <c r="B1242" s="138">
        <f>'Expenditures 15-22'!E151</f>
        <v>86054</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141347</v>
      </c>
      <c r="D1245" s="2" t="str">
        <f t="shared" si="18"/>
        <v>Error?</v>
      </c>
    </row>
    <row r="1246" spans="1:4" x14ac:dyDescent="0.2">
      <c r="A1246" s="10">
        <v>1185</v>
      </c>
      <c r="D1246" s="2" t="str">
        <f t="shared" si="18"/>
        <v>OK</v>
      </c>
    </row>
    <row r="1247" spans="1:4" x14ac:dyDescent="0.2">
      <c r="A1247" s="5">
        <v>1186</v>
      </c>
      <c r="B1247" s="138">
        <f>'Expenditures 15-22'!F127</f>
        <v>146217</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146217</v>
      </c>
      <c r="C1249" s="2" t="s">
        <v>573</v>
      </c>
      <c r="D1249" s="2" t="str">
        <f t="shared" si="18"/>
        <v>Error?</v>
      </c>
    </row>
    <row r="1250" spans="1:4" x14ac:dyDescent="0.2">
      <c r="A1250" s="5">
        <v>1189</v>
      </c>
      <c r="B1250" s="138">
        <f>'Expenditures 15-22'!F151</f>
        <v>146217</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6000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6000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6000</v>
      </c>
      <c r="C1258" s="2" t="s">
        <v>573</v>
      </c>
      <c r="D1258" s="2" t="str">
        <f t="shared" si="18"/>
        <v>Error?</v>
      </c>
    </row>
    <row r="1259" spans="1:4" x14ac:dyDescent="0.2">
      <c r="A1259" s="5">
        <v>1198</v>
      </c>
      <c r="B1259" s="138">
        <f>'Expenditures 15-22'!G151</f>
        <v>6000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150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150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418113</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424883</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424883</v>
      </c>
      <c r="C1281" s="2" t="s">
        <v>573</v>
      </c>
      <c r="D1281" s="2" t="str">
        <f t="shared" si="19"/>
        <v>Error?</v>
      </c>
    </row>
    <row r="1282" spans="1:4" x14ac:dyDescent="0.2">
      <c r="A1282" s="5">
        <v>1221</v>
      </c>
      <c r="B1282" s="138">
        <f>'Expenditures 15-22'!K139</f>
        <v>150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425033</v>
      </c>
      <c r="C1288" s="2" t="s">
        <v>573</v>
      </c>
      <c r="D1288" s="2" t="str">
        <f t="shared" si="19"/>
        <v>Error?</v>
      </c>
    </row>
    <row r="1289" spans="1:4" x14ac:dyDescent="0.2">
      <c r="A1289" s="5">
        <v>1228</v>
      </c>
      <c r="B1289" s="138">
        <f>'Expenditures 15-22'!K152</f>
        <v>-59529</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36221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380000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416721</v>
      </c>
      <c r="C1317" s="2" t="s">
        <v>573</v>
      </c>
      <c r="D1317" s="2" t="str">
        <f t="shared" si="19"/>
        <v>Error?</v>
      </c>
    </row>
    <row r="1318" spans="1:4" x14ac:dyDescent="0.2">
      <c r="A1318" s="5">
        <v>1257</v>
      </c>
      <c r="B1318" s="138">
        <f>'Expenditures 15-22'!H174</f>
        <v>416721</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36221</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380000</v>
      </c>
      <c r="C1329" s="2" t="s">
        <v>573</v>
      </c>
      <c r="D1329" s="2" t="str">
        <f t="shared" si="19"/>
        <v>Error?</v>
      </c>
    </row>
    <row r="1330" spans="1:4" x14ac:dyDescent="0.2">
      <c r="A1330" s="5">
        <v>1269</v>
      </c>
      <c r="B1330" s="138">
        <f>'Expenditures 15-22'!K171</f>
        <v>500</v>
      </c>
      <c r="C1330" s="2" t="s">
        <v>573</v>
      </c>
      <c r="D1330" s="2" t="str">
        <f t="shared" si="19"/>
        <v>Error?</v>
      </c>
    </row>
    <row r="1331" spans="1:4" x14ac:dyDescent="0.2">
      <c r="A1331" s="5">
        <v>1270</v>
      </c>
      <c r="B1331" s="138">
        <f>'Expenditures 15-22'!K172</f>
        <v>416721</v>
      </c>
      <c r="C1331" s="2" t="s">
        <v>573</v>
      </c>
      <c r="D1331" s="2" t="str">
        <f t="shared" si="19"/>
        <v>Error?</v>
      </c>
    </row>
    <row r="1332" spans="1:4" x14ac:dyDescent="0.2">
      <c r="A1332" s="5">
        <v>1271</v>
      </c>
      <c r="B1332" s="138">
        <f>'Expenditures 15-22'!K174</f>
        <v>416721</v>
      </c>
      <c r="C1332" s="2" t="s">
        <v>573</v>
      </c>
      <c r="D1332" s="2" t="str">
        <f t="shared" si="19"/>
        <v>Error?</v>
      </c>
    </row>
    <row r="1333" spans="1:4" x14ac:dyDescent="0.2">
      <c r="A1333" s="5">
        <v>1272</v>
      </c>
      <c r="B1333" s="138">
        <f>'Expenditures 15-22'!K175</f>
        <v>-228212</v>
      </c>
      <c r="C1333" s="2" t="s">
        <v>573</v>
      </c>
      <c r="D1333" s="2" t="str">
        <f t="shared" si="19"/>
        <v>Error?</v>
      </c>
    </row>
    <row r="1334" spans="1:4" x14ac:dyDescent="0.2">
      <c r="A1334" s="10">
        <v>1273</v>
      </c>
      <c r="D1334" s="2" t="str">
        <f t="shared" si="19"/>
        <v>OK</v>
      </c>
    </row>
    <row r="1335" spans="1:4" x14ac:dyDescent="0.2">
      <c r="A1335" s="5">
        <v>1274</v>
      </c>
      <c r="B1335" s="138">
        <f>'Expenditures 15-22'!C182</f>
        <v>165968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165968</v>
      </c>
      <c r="C1339" s="2" t="s">
        <v>573</v>
      </c>
      <c r="D1339" s="2" t="str">
        <f t="shared" si="19"/>
        <v>Error?</v>
      </c>
    </row>
    <row r="1340" spans="1:4" x14ac:dyDescent="0.2">
      <c r="A1340" s="5">
        <v>1279</v>
      </c>
      <c r="B1340" s="138">
        <f>'Expenditures 15-22'!C210</f>
        <v>165968</v>
      </c>
      <c r="C1340" s="2" t="s">
        <v>573</v>
      </c>
      <c r="D1340" s="2" t="str">
        <f t="shared" si="19"/>
        <v>Error?</v>
      </c>
    </row>
    <row r="1341" spans="1:4" x14ac:dyDescent="0.2">
      <c r="A1341" s="5">
        <v>1280</v>
      </c>
      <c r="B1341" s="138">
        <f>'Expenditures 15-22'!D182</f>
        <v>5886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5886</v>
      </c>
      <c r="C1345" s="2" t="s">
        <v>573</v>
      </c>
      <c r="D1345" s="2" t="str">
        <f t="shared" si="20"/>
        <v>Error?</v>
      </c>
    </row>
    <row r="1346" spans="1:4" x14ac:dyDescent="0.2">
      <c r="A1346" s="5">
        <v>1285</v>
      </c>
      <c r="B1346" s="138">
        <f>'Expenditures 15-22'!D210</f>
        <v>5886</v>
      </c>
      <c r="C1346" s="2" t="s">
        <v>573</v>
      </c>
      <c r="D1346" s="2" t="str">
        <f t="shared" si="20"/>
        <v>Error?</v>
      </c>
    </row>
    <row r="1347" spans="1:4" x14ac:dyDescent="0.2">
      <c r="A1347" s="5">
        <v>1286</v>
      </c>
      <c r="B1347" s="138">
        <f>'Expenditures 15-22'!E182</f>
        <v>84346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84346</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84346</v>
      </c>
      <c r="C1353" s="2" t="s">
        <v>573</v>
      </c>
      <c r="D1353" s="2" t="str">
        <f t="shared" si="20"/>
        <v>Error?</v>
      </c>
    </row>
    <row r="1354" spans="1:4" x14ac:dyDescent="0.2">
      <c r="A1354" s="5">
        <v>1293</v>
      </c>
      <c r="B1354" s="138">
        <f>'Expenditures 15-22'!F182</f>
        <v>39389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39389</v>
      </c>
      <c r="C1358" s="2" t="s">
        <v>573</v>
      </c>
      <c r="D1358" s="2" t="str">
        <f t="shared" si="20"/>
        <v>Error?</v>
      </c>
    </row>
    <row r="1359" spans="1:4" x14ac:dyDescent="0.2">
      <c r="A1359" s="5">
        <v>1298</v>
      </c>
      <c r="B1359" s="138">
        <f>'Expenditures 15-22'!F210</f>
        <v>39389</v>
      </c>
      <c r="C1359" s="2" t="s">
        <v>573</v>
      </c>
      <c r="D1359" s="2" t="str">
        <f t="shared" si="20"/>
        <v>Error?</v>
      </c>
    </row>
    <row r="1360" spans="1:4" x14ac:dyDescent="0.2">
      <c r="A1360" s="5">
        <v>1299</v>
      </c>
      <c r="B1360" s="138">
        <f>'Expenditures 15-22'!G182</f>
        <v>33130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33130</v>
      </c>
      <c r="C1364" s="2" t="s">
        <v>573</v>
      </c>
      <c r="D1364" s="2" t="str">
        <f t="shared" si="20"/>
        <v>Error?</v>
      </c>
    </row>
    <row r="1365" spans="1:4" x14ac:dyDescent="0.2">
      <c r="A1365" s="5">
        <v>1304</v>
      </c>
      <c r="B1365" s="138">
        <f>'Expenditures 15-22'!G210</f>
        <v>33130</v>
      </c>
      <c r="C1365" s="2" t="s">
        <v>573</v>
      </c>
      <c r="D1365" s="2" t="str">
        <f t="shared" si="20"/>
        <v>Error?</v>
      </c>
    </row>
    <row r="1366" spans="1:4" x14ac:dyDescent="0.2">
      <c r="A1366" s="5">
        <v>1305</v>
      </c>
      <c r="B1366" s="138">
        <f>'Expenditures 15-22'!H182</f>
        <v>13989</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13989</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13989</v>
      </c>
      <c r="C1376" s="2" t="s">
        <v>573</v>
      </c>
      <c r="D1376" s="2" t="str">
        <f t="shared" si="20"/>
        <v>Error?</v>
      </c>
    </row>
    <row r="1377" spans="1:4" x14ac:dyDescent="0.2">
      <c r="A1377" s="5">
        <v>1316</v>
      </c>
      <c r="B1377" s="138">
        <f>'Expenditures 15-22'!K182</f>
        <v>342708</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342708</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342708</v>
      </c>
      <c r="C1388" s="2" t="s">
        <v>573</v>
      </c>
      <c r="D1388" s="2" t="str">
        <f t="shared" si="20"/>
        <v>Error?</v>
      </c>
    </row>
    <row r="1389" spans="1:4" x14ac:dyDescent="0.2">
      <c r="A1389" s="5">
        <v>1328</v>
      </c>
      <c r="B1389" s="138">
        <f>'Expenditures 15-22'!K211</f>
        <v>-136427</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1237</v>
      </c>
      <c r="D1407" s="2" t="str">
        <f t="shared" ref="D1407:D1470" si="21">IF(ISBLANK(B1407),"OK",IF(A1407-B1407=0,"OK","Error?"))</f>
        <v>Error?</v>
      </c>
    </row>
    <row r="1408" spans="1:4" x14ac:dyDescent="0.2">
      <c r="A1408" s="5">
        <v>1347</v>
      </c>
      <c r="B1408" s="138">
        <f>'Expenditures 15-22'!D223</f>
        <v>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64762</v>
      </c>
      <c r="C1410" s="2" t="s">
        <v>573</v>
      </c>
      <c r="D1410" s="2" t="str">
        <f t="shared" si="21"/>
        <v>Error?</v>
      </c>
    </row>
    <row r="1411" spans="1:4" x14ac:dyDescent="0.2">
      <c r="A1411" s="5">
        <v>1350</v>
      </c>
      <c r="B1411" s="138">
        <f>'Expenditures 15-22'!D232</f>
        <v>659</v>
      </c>
      <c r="D1411" s="2" t="str">
        <f t="shared" si="21"/>
        <v>Error?</v>
      </c>
    </row>
    <row r="1412" spans="1:4" x14ac:dyDescent="0.2">
      <c r="A1412" s="5">
        <v>1351</v>
      </c>
      <c r="B1412" s="138">
        <f>'Expenditures 15-22'!D233</f>
        <v>95</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65</v>
      </c>
      <c r="D1414" s="2" t="str">
        <f t="shared" si="21"/>
        <v>Error?</v>
      </c>
    </row>
    <row r="1415" spans="1:4" x14ac:dyDescent="0.2">
      <c r="A1415" s="5">
        <v>1354</v>
      </c>
      <c r="B1415" s="138">
        <f>'Expenditures 15-22'!D236</f>
        <v>3154</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3973</v>
      </c>
      <c r="C1417" s="2" t="s">
        <v>573</v>
      </c>
      <c r="D1417" s="2" t="str">
        <f t="shared" si="21"/>
        <v>Error?</v>
      </c>
    </row>
    <row r="1418" spans="1:4" x14ac:dyDescent="0.2">
      <c r="A1418" s="5">
        <v>1357</v>
      </c>
      <c r="B1418" s="138">
        <f>'Expenditures 15-22'!D240</f>
        <v>215</v>
      </c>
      <c r="D1418" s="2" t="str">
        <f t="shared" si="21"/>
        <v>Error?</v>
      </c>
    </row>
    <row r="1419" spans="1:4" x14ac:dyDescent="0.2">
      <c r="A1419" s="5">
        <v>1358</v>
      </c>
      <c r="B1419" s="138">
        <f>'Expenditures 15-22'!D241</f>
        <v>2918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3133</v>
      </c>
      <c r="C1421" s="2" t="s">
        <v>573</v>
      </c>
      <c r="D1421" s="2" t="str">
        <f t="shared" si="21"/>
        <v>Error?</v>
      </c>
    </row>
    <row r="1422" spans="1:4" x14ac:dyDescent="0.2">
      <c r="A1422" s="5">
        <v>1361</v>
      </c>
      <c r="B1422" s="138">
        <f>'Expenditures 15-22'!D245</f>
        <v>92</v>
      </c>
      <c r="D1422" s="2" t="str">
        <f t="shared" si="21"/>
        <v>Error?</v>
      </c>
    </row>
    <row r="1423" spans="1:4" x14ac:dyDescent="0.2">
      <c r="A1423" s="5">
        <v>1362</v>
      </c>
      <c r="B1423" s="138">
        <f>'Expenditures 15-22'!D246</f>
        <v>938</v>
      </c>
      <c r="D1423" s="2" t="str">
        <f t="shared" si="21"/>
        <v>Error?</v>
      </c>
    </row>
    <row r="1424" spans="1:4" x14ac:dyDescent="0.2">
      <c r="A1424" s="5">
        <v>1363</v>
      </c>
      <c r="B1424" s="138">
        <f>'Expenditures 15-22'!D257</f>
        <v>1030</v>
      </c>
      <c r="C1424" s="2" t="s">
        <v>573</v>
      </c>
      <c r="D1424" s="2" t="str">
        <f t="shared" si="21"/>
        <v>Error?</v>
      </c>
    </row>
    <row r="1425" spans="1:4" x14ac:dyDescent="0.2">
      <c r="A1425" s="5">
        <v>1364</v>
      </c>
      <c r="B1425" s="138">
        <f>'Expenditures 15-22'!D259</f>
        <v>30507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30507</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16799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36250</v>
      </c>
      <c r="D1431" s="2" t="str">
        <f t="shared" si="21"/>
        <v>Error?</v>
      </c>
    </row>
    <row r="1432" spans="1:4" x14ac:dyDescent="0.2">
      <c r="A1432" s="5">
        <v>1371</v>
      </c>
      <c r="B1432" s="138">
        <f>'Expenditures 15-22'!D267</f>
        <v>31015</v>
      </c>
      <c r="D1432" s="2" t="str">
        <f t="shared" si="21"/>
        <v>Error?</v>
      </c>
    </row>
    <row r="1433" spans="1:4" x14ac:dyDescent="0.2">
      <c r="A1433" s="5">
        <v>1372</v>
      </c>
      <c r="B1433" s="138">
        <f>'Expenditures 15-22'!D268</f>
        <v>13040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97104</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135747</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200509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1237</v>
      </c>
      <c r="C1471" s="2" t="s">
        <v>573</v>
      </c>
      <c r="D1471" s="2" t="str">
        <f t="shared" ref="D1471:D1534" si="22">IF(ISBLANK(B1471),"OK",IF(A1471-B1471=0,"OK","Error?"))</f>
        <v>Error?</v>
      </c>
    </row>
    <row r="1472" spans="1:4" x14ac:dyDescent="0.2">
      <c r="A1472" s="5">
        <v>1411</v>
      </c>
      <c r="B1472" s="138">
        <f>'Expenditures 15-22'!K223</f>
        <v>2</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64762</v>
      </c>
      <c r="C1474" s="2" t="s">
        <v>573</v>
      </c>
      <c r="D1474" s="2" t="str">
        <f t="shared" si="22"/>
        <v>Error?</v>
      </c>
    </row>
    <row r="1475" spans="1:4" x14ac:dyDescent="0.2">
      <c r="A1475" s="5">
        <v>1414</v>
      </c>
      <c r="B1475" s="138">
        <f>'Expenditures 15-22'!K232</f>
        <v>659</v>
      </c>
      <c r="C1475" s="2" t="s">
        <v>573</v>
      </c>
      <c r="D1475" s="2" t="str">
        <f t="shared" si="22"/>
        <v>Error?</v>
      </c>
    </row>
    <row r="1476" spans="1:4" x14ac:dyDescent="0.2">
      <c r="A1476" s="5">
        <v>1415</v>
      </c>
      <c r="B1476" s="138">
        <f>'Expenditures 15-22'!K233</f>
        <v>95</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65</v>
      </c>
      <c r="C1478" s="2" t="s">
        <v>573</v>
      </c>
      <c r="D1478" s="2" t="str">
        <f t="shared" si="22"/>
        <v>Error?</v>
      </c>
    </row>
    <row r="1479" spans="1:4" x14ac:dyDescent="0.2">
      <c r="A1479" s="5">
        <v>1418</v>
      </c>
      <c r="B1479" s="138">
        <f>'Expenditures 15-22'!K236</f>
        <v>3154</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3973</v>
      </c>
      <c r="C1481" s="2" t="s">
        <v>573</v>
      </c>
      <c r="D1481" s="2" t="str">
        <f t="shared" si="22"/>
        <v>Error?</v>
      </c>
    </row>
    <row r="1482" spans="1:4" x14ac:dyDescent="0.2">
      <c r="A1482" s="5">
        <v>1421</v>
      </c>
      <c r="B1482" s="138">
        <f>'Expenditures 15-22'!K240</f>
        <v>215</v>
      </c>
      <c r="C1482" s="2" t="s">
        <v>573</v>
      </c>
      <c r="D1482" s="2" t="str">
        <f t="shared" si="22"/>
        <v>Error?</v>
      </c>
    </row>
    <row r="1483" spans="1:4" x14ac:dyDescent="0.2">
      <c r="A1483" s="5">
        <v>1422</v>
      </c>
      <c r="B1483" s="138">
        <f>'Expenditures 15-22'!K241</f>
        <v>2918</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3133</v>
      </c>
      <c r="C1485" s="2" t="s">
        <v>573</v>
      </c>
      <c r="D1485" s="2" t="str">
        <f t="shared" si="22"/>
        <v>Error?</v>
      </c>
    </row>
    <row r="1486" spans="1:4" x14ac:dyDescent="0.2">
      <c r="A1486" s="5">
        <v>1425</v>
      </c>
      <c r="B1486" s="138">
        <f>'Expenditures 15-22'!K245</f>
        <v>92</v>
      </c>
      <c r="C1486" s="2" t="s">
        <v>573</v>
      </c>
      <c r="D1486" s="2" t="str">
        <f t="shared" si="22"/>
        <v>Error?</v>
      </c>
    </row>
    <row r="1487" spans="1:4" x14ac:dyDescent="0.2">
      <c r="A1487" s="5">
        <v>1426</v>
      </c>
      <c r="B1487" s="138">
        <f>'Expenditures 15-22'!K246</f>
        <v>938</v>
      </c>
      <c r="C1487" s="2" t="s">
        <v>573</v>
      </c>
      <c r="D1487" s="2" t="str">
        <f t="shared" si="22"/>
        <v>Error?</v>
      </c>
    </row>
    <row r="1488" spans="1:4" x14ac:dyDescent="0.2">
      <c r="A1488" s="5">
        <v>1427</v>
      </c>
      <c r="B1488" s="138">
        <f>'Expenditures 15-22'!K257</f>
        <v>1030</v>
      </c>
      <c r="C1488" s="2" t="s">
        <v>573</v>
      </c>
      <c r="D1488" s="2" t="str">
        <f t="shared" si="22"/>
        <v>Error?</v>
      </c>
    </row>
    <row r="1489" spans="1:4" x14ac:dyDescent="0.2">
      <c r="A1489" s="5">
        <v>1428</v>
      </c>
      <c r="B1489" s="138">
        <f>'Expenditures 15-22'!K259</f>
        <v>30507</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30507</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16799</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36250</v>
      </c>
      <c r="C1495" s="2" t="s">
        <v>573</v>
      </c>
      <c r="D1495" s="2" t="str">
        <f t="shared" si="22"/>
        <v>Error?</v>
      </c>
    </row>
    <row r="1496" spans="1:4" x14ac:dyDescent="0.2">
      <c r="A1496" s="5">
        <v>1435</v>
      </c>
      <c r="B1496" s="138">
        <f>'Expenditures 15-22'!K267</f>
        <v>31015</v>
      </c>
      <c r="C1496" s="2" t="s">
        <v>573</v>
      </c>
      <c r="D1496" s="2" t="str">
        <f t="shared" si="22"/>
        <v>Error?</v>
      </c>
    </row>
    <row r="1497" spans="1:4" x14ac:dyDescent="0.2">
      <c r="A1497" s="5">
        <v>1436</v>
      </c>
      <c r="B1497" s="138">
        <f>'Expenditures 15-22'!K268</f>
        <v>13040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97104</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135747</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200509</v>
      </c>
      <c r="C1517" s="2" t="s">
        <v>573</v>
      </c>
      <c r="D1517" s="2" t="str">
        <f t="shared" si="22"/>
        <v>Error?</v>
      </c>
    </row>
    <row r="1518" spans="1:4" x14ac:dyDescent="0.2">
      <c r="A1518" s="5">
        <v>1457</v>
      </c>
      <c r="B1518" s="138">
        <f>'Expenditures 15-22'!K296</f>
        <v>-79681</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450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450</v>
      </c>
      <c r="C1535" s="2" t="s">
        <v>573</v>
      </c>
      <c r="D1535" s="2" t="str">
        <f t="shared" ref="D1535:D1598" si="23">IF(ISBLANK(B1535),"OK",IF(A1535-B1535=0,"OK","Error?"))</f>
        <v>Error?</v>
      </c>
    </row>
    <row r="1536" spans="1:4" x14ac:dyDescent="0.2">
      <c r="A1536" s="5">
        <v>1475</v>
      </c>
      <c r="B1536" s="138">
        <f>'Expenditures 15-22'!E312</f>
        <v>450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143154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143154</v>
      </c>
      <c r="C1547" s="2" t="s">
        <v>573</v>
      </c>
      <c r="D1547" s="2" t="str">
        <f t="shared" si="23"/>
        <v>Error?</v>
      </c>
    </row>
    <row r="1548" spans="1:4" x14ac:dyDescent="0.2">
      <c r="A1548" s="5">
        <v>1487</v>
      </c>
      <c r="B1548" s="138">
        <f>'Expenditures 15-22'!G312</f>
        <v>143154</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143604</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143604</v>
      </c>
      <c r="C1559" s="2" t="s">
        <v>573</v>
      </c>
      <c r="D1559" s="2" t="str">
        <f t="shared" si="23"/>
        <v>Error?</v>
      </c>
    </row>
    <row r="1560" spans="1:4" x14ac:dyDescent="0.2">
      <c r="A1560" s="5">
        <v>1499</v>
      </c>
      <c r="B1560" s="138">
        <f>'Expenditures 15-22'!K312</f>
        <v>143604</v>
      </c>
      <c r="C1560" s="2" t="s">
        <v>573</v>
      </c>
      <c r="D1560" s="2" t="str">
        <f t="shared" si="23"/>
        <v>Error?</v>
      </c>
    </row>
    <row r="1561" spans="1:4" x14ac:dyDescent="0.2">
      <c r="A1561" s="5">
        <v>1500</v>
      </c>
      <c r="B1561" s="138">
        <f>'Expenditures 15-22'!K313</f>
        <v>8683</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1538515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961850</v>
      </c>
      <c r="C1630" s="2" t="s">
        <v>573</v>
      </c>
      <c r="D1630" s="2" t="str">
        <f t="shared" si="24"/>
        <v>Error?</v>
      </c>
    </row>
    <row r="1631" spans="1:4" x14ac:dyDescent="0.2">
      <c r="A1631" s="5">
        <v>1570</v>
      </c>
      <c r="B1631" s="138">
        <f>'Acct Summary 7-8'!D79</f>
        <v>163646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74892</v>
      </c>
      <c r="C1644" s="2" t="s">
        <v>573</v>
      </c>
      <c r="D1644" s="2" t="str">
        <f t="shared" si="24"/>
        <v>Error?</v>
      </c>
    </row>
    <row r="1645" spans="1:4" x14ac:dyDescent="0.2">
      <c r="A1645" s="5">
        <v>1584</v>
      </c>
      <c r="B1645" s="138">
        <f>'Acct Summary 7-8'!E79</f>
        <v>211440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12453</v>
      </c>
      <c r="C1658" s="2" t="s">
        <v>573</v>
      </c>
      <c r="D1658" s="2" t="str">
        <f t="shared" si="24"/>
        <v>Error?</v>
      </c>
    </row>
    <row r="1659" spans="1:4" x14ac:dyDescent="0.2">
      <c r="A1659" s="5">
        <v>1598</v>
      </c>
      <c r="B1659" s="138">
        <f>'Acct Summary 7-8'!F79</f>
        <v>200877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64450</v>
      </c>
      <c r="C1672" s="2" t="s">
        <v>573</v>
      </c>
      <c r="D1672" s="2" t="str">
        <f t="shared" si="25"/>
        <v>Error?</v>
      </c>
    </row>
    <row r="1673" spans="1:4" x14ac:dyDescent="0.2">
      <c r="A1673" s="5">
        <v>1612</v>
      </c>
      <c r="B1673" s="138">
        <f>'Acct Summary 7-8'!G79</f>
        <v>204401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124720</v>
      </c>
      <c r="C1686" s="2" t="s">
        <v>573</v>
      </c>
      <c r="D1686" s="2" t="str">
        <f t="shared" si="25"/>
        <v>Error?</v>
      </c>
    </row>
    <row r="1687" spans="1:4" x14ac:dyDescent="0.2">
      <c r="A1687" s="5">
        <v>1626</v>
      </c>
      <c r="B1687" s="138">
        <f>'Acct Summary 7-8'!H79</f>
        <v>207757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216440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661840</v>
      </c>
      <c r="C1744" s="2" t="s">
        <v>573</v>
      </c>
      <c r="D1744" s="2" t="str">
        <f t="shared" si="26"/>
        <v>Error?</v>
      </c>
    </row>
    <row r="1745" spans="1:5" x14ac:dyDescent="0.2">
      <c r="A1745" s="5">
        <v>1684</v>
      </c>
      <c r="B1745" s="138">
        <f>'Tax Sched 23'!B5</f>
        <v>101824</v>
      </c>
      <c r="C1745" s="2" t="s">
        <v>573</v>
      </c>
      <c r="D1745" s="2" t="str">
        <f t="shared" si="26"/>
        <v>Error?</v>
      </c>
    </row>
    <row r="1746" spans="1:5" x14ac:dyDescent="0.2">
      <c r="A1746" s="5">
        <v>1685</v>
      </c>
      <c r="B1746" s="138">
        <f>'Tax Sched 23'!B6</f>
        <v>158124</v>
      </c>
      <c r="C1746" s="2" t="s">
        <v>573</v>
      </c>
      <c r="D1746" s="2" t="str">
        <f t="shared" si="26"/>
        <v>Error?</v>
      </c>
    </row>
    <row r="1747" spans="1:5" x14ac:dyDescent="0.2">
      <c r="A1747" s="5">
        <v>1686</v>
      </c>
      <c r="B1747" s="138">
        <f>'Tax Sched 23'!B7</f>
        <v>40729</v>
      </c>
      <c r="C1747" s="2" t="s">
        <v>573</v>
      </c>
      <c r="D1747" s="2" t="str">
        <f t="shared" si="26"/>
        <v>Error?</v>
      </c>
    </row>
    <row r="1748" spans="1:5" x14ac:dyDescent="0.2">
      <c r="A1748" s="5">
        <v>1687</v>
      </c>
      <c r="B1748" s="138">
        <f>'Tax Sched 23'!B8</f>
        <v>49513</v>
      </c>
      <c r="C1748" s="2" t="s">
        <v>573</v>
      </c>
      <c r="D1748" s="2" t="str">
        <f t="shared" si="26"/>
        <v>Error?</v>
      </c>
    </row>
    <row r="1749" spans="1:5" x14ac:dyDescent="0.2">
      <c r="A1749" s="5">
        <v>1688</v>
      </c>
      <c r="B1749" s="138">
        <f>'Tax Sched 23'!B10</f>
        <v>10182</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78269</v>
      </c>
      <c r="C1752" s="2" t="s">
        <v>573</v>
      </c>
      <c r="D1752" s="2" t="str">
        <f t="shared" si="26"/>
        <v>Error?</v>
      </c>
    </row>
    <row r="1753" spans="1:5" x14ac:dyDescent="0.2">
      <c r="A1753" s="5">
        <v>1692</v>
      </c>
      <c r="B1753" s="138">
        <f>'Tax Sched 23'!B12</f>
        <v>10182</v>
      </c>
      <c r="C1753" s="2" t="s">
        <v>573</v>
      </c>
      <c r="D1753" s="2" t="str">
        <f t="shared" si="26"/>
        <v>Error?</v>
      </c>
    </row>
    <row r="1754" spans="1:5" x14ac:dyDescent="0.2">
      <c r="A1754" s="5">
        <v>1693</v>
      </c>
      <c r="B1754" s="138">
        <f>'Tax Sched 23'!B14</f>
        <v>8146</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1174087</v>
      </c>
      <c r="C1759" s="2" t="s">
        <v>573</v>
      </c>
      <c r="D1759" s="2" t="str">
        <f t="shared" si="26"/>
        <v>Error?</v>
      </c>
    </row>
    <row r="1760" spans="1:5" x14ac:dyDescent="0.2">
      <c r="A1760" s="5">
        <v>1699</v>
      </c>
      <c r="B1760" s="138">
        <f>'Tax Sched 23'!D4</f>
        <v>640576</v>
      </c>
      <c r="C1760" s="2" t="s">
        <v>573</v>
      </c>
      <c r="D1760" s="2" t="str">
        <f t="shared" si="26"/>
        <v>Error?</v>
      </c>
    </row>
    <row r="1761" spans="1:5" x14ac:dyDescent="0.2">
      <c r="A1761" s="5">
        <v>1700</v>
      </c>
      <c r="B1761" s="138">
        <f>'Tax Sched 23'!D5</f>
        <v>98552</v>
      </c>
      <c r="C1761" s="2" t="s">
        <v>573</v>
      </c>
      <c r="D1761" s="2" t="str">
        <f t="shared" si="26"/>
        <v>Error?</v>
      </c>
    </row>
    <row r="1762" spans="1:5" s="8" customFormat="1" x14ac:dyDescent="0.2">
      <c r="A1762" s="5">
        <v>1701</v>
      </c>
      <c r="B1762" s="138">
        <f>'Tax Sched 23'!D6</f>
        <v>153082</v>
      </c>
      <c r="C1762" s="2" t="s">
        <v>573</v>
      </c>
      <c r="D1762" s="2" t="str">
        <f t="shared" si="26"/>
        <v>Error?</v>
      </c>
      <c r="E1762" s="9"/>
    </row>
    <row r="1763" spans="1:5" x14ac:dyDescent="0.2">
      <c r="A1763" s="5">
        <v>1702</v>
      </c>
      <c r="B1763" s="138">
        <f>'Tax Sched 23'!D7</f>
        <v>39420</v>
      </c>
      <c r="C1763" s="2" t="s">
        <v>573</v>
      </c>
      <c r="D1763" s="2" t="str">
        <f t="shared" si="26"/>
        <v>Error?</v>
      </c>
    </row>
    <row r="1764" spans="1:5" x14ac:dyDescent="0.2">
      <c r="A1764" s="5">
        <v>1703</v>
      </c>
      <c r="B1764" s="138">
        <f>'Tax Sched 23'!D8</f>
        <v>47962</v>
      </c>
      <c r="C1764" s="2" t="s">
        <v>573</v>
      </c>
      <c r="D1764" s="2" t="str">
        <f t="shared" si="26"/>
        <v>Error?</v>
      </c>
    </row>
    <row r="1765" spans="1:5" x14ac:dyDescent="0.2">
      <c r="A1765" s="5">
        <v>1704</v>
      </c>
      <c r="B1765" s="138">
        <f>'Tax Sched 23'!D10</f>
        <v>9855</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74945</v>
      </c>
      <c r="C1768" s="2" t="s">
        <v>573</v>
      </c>
      <c r="D1768" s="2" t="str">
        <f t="shared" si="26"/>
        <v>Error?</v>
      </c>
    </row>
    <row r="1769" spans="1:5" x14ac:dyDescent="0.2">
      <c r="A1769" s="5">
        <v>1708</v>
      </c>
      <c r="B1769" s="138">
        <f>'Tax Sched 23'!D12</f>
        <v>9855</v>
      </c>
      <c r="C1769" s="2" t="s">
        <v>573</v>
      </c>
      <c r="D1769" s="2" t="str">
        <f t="shared" si="26"/>
        <v>Error?</v>
      </c>
    </row>
    <row r="1770" spans="1:5" x14ac:dyDescent="0.2">
      <c r="A1770" s="5">
        <v>1709</v>
      </c>
      <c r="B1770" s="138">
        <f>'Tax Sched 23'!D14</f>
        <v>7884</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1135669</v>
      </c>
      <c r="C1775" s="2" t="s">
        <v>573</v>
      </c>
      <c r="D1775" s="2" t="str">
        <f t="shared" si="26"/>
        <v>Error?</v>
      </c>
    </row>
    <row r="1776" spans="1:5" x14ac:dyDescent="0.2">
      <c r="A1776" s="5">
        <v>1715</v>
      </c>
      <c r="B1776" s="138">
        <f>'Tax Sched 23'!C4</f>
        <v>21264</v>
      </c>
      <c r="D1776" s="2" t="str">
        <f t="shared" si="26"/>
        <v>Error?</v>
      </c>
    </row>
    <row r="1777" spans="1:4" x14ac:dyDescent="0.2">
      <c r="A1777" s="5">
        <v>1716</v>
      </c>
      <c r="B1777" s="138">
        <f>'Tax Sched 23'!C5</f>
        <v>3272</v>
      </c>
      <c r="D1777" s="2" t="str">
        <f t="shared" si="26"/>
        <v>Error?</v>
      </c>
    </row>
    <row r="1778" spans="1:4" x14ac:dyDescent="0.2">
      <c r="A1778" s="5">
        <v>1717</v>
      </c>
      <c r="B1778" s="138">
        <f>'Tax Sched 23'!C6</f>
        <v>5042</v>
      </c>
      <c r="D1778" s="2" t="str">
        <f t="shared" si="26"/>
        <v>Error?</v>
      </c>
    </row>
    <row r="1779" spans="1:4" x14ac:dyDescent="0.2">
      <c r="A1779" s="5">
        <v>1718</v>
      </c>
      <c r="B1779" s="138">
        <f>'Tax Sched 23'!C7</f>
        <v>1309</v>
      </c>
      <c r="D1779" s="2" t="str">
        <f t="shared" si="26"/>
        <v>Error?</v>
      </c>
    </row>
    <row r="1780" spans="1:4" x14ac:dyDescent="0.2">
      <c r="A1780" s="5">
        <v>1719</v>
      </c>
      <c r="B1780" s="138">
        <f>'Tax Sched 23'!C8</f>
        <v>1551</v>
      </c>
      <c r="D1780" s="2" t="str">
        <f t="shared" si="26"/>
        <v>Error?</v>
      </c>
    </row>
    <row r="1781" spans="1:4" x14ac:dyDescent="0.2">
      <c r="A1781" s="5">
        <v>1720</v>
      </c>
      <c r="B1781" s="138">
        <f>'Tax Sched 23'!C10</f>
        <v>327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3324</v>
      </c>
      <c r="D1784" s="2" t="str">
        <f t="shared" si="26"/>
        <v>Error?</v>
      </c>
    </row>
    <row r="1785" spans="1:4" x14ac:dyDescent="0.2">
      <c r="A1785" s="5">
        <v>1724</v>
      </c>
      <c r="B1785" s="138">
        <f>'Tax Sched 23'!C12</f>
        <v>327</v>
      </c>
      <c r="D1785" s="2" t="str">
        <f t="shared" si="26"/>
        <v>Error?</v>
      </c>
    </row>
    <row r="1786" spans="1:4" x14ac:dyDescent="0.2">
      <c r="A1786" s="5">
        <v>1725</v>
      </c>
      <c r="B1786" s="138">
        <f>'Tax Sched 23'!C14</f>
        <v>262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38418</v>
      </c>
      <c r="C1791" s="2" t="s">
        <v>573</v>
      </c>
      <c r="D1791" s="2" t="str">
        <f t="shared" ref="D1791:D1854" si="27">IF(ISBLANK(B1791),"OK",IF(A1791-B1791=0,"OK","Error?"))</f>
        <v>Error?</v>
      </c>
    </row>
    <row r="1792" spans="1:4" x14ac:dyDescent="0.2">
      <c r="A1792" s="5">
        <v>1731</v>
      </c>
      <c r="B1792" s="138">
        <f>'Tax Sched 23'!F4</f>
        <v>1514125</v>
      </c>
      <c r="C1792" s="2" t="s">
        <v>573</v>
      </c>
      <c r="D1792" s="2" t="str">
        <f t="shared" si="27"/>
        <v>Error?</v>
      </c>
    </row>
    <row r="1793" spans="1:4" x14ac:dyDescent="0.2">
      <c r="A1793" s="5">
        <v>1732</v>
      </c>
      <c r="B1793" s="138">
        <f>'Tax Sched 23'!F5</f>
        <v>232942</v>
      </c>
      <c r="C1793" s="2" t="s">
        <v>573</v>
      </c>
      <c r="D1793" s="2" t="str">
        <f t="shared" si="27"/>
        <v>Error?</v>
      </c>
    </row>
    <row r="1794" spans="1:4" x14ac:dyDescent="0.2">
      <c r="A1794" s="5">
        <v>1733</v>
      </c>
      <c r="B1794" s="138">
        <f>'Tax Sched 23'!F6</f>
        <v>359011</v>
      </c>
      <c r="C1794" s="2" t="s">
        <v>573</v>
      </c>
      <c r="D1794" s="2" t="str">
        <f t="shared" si="27"/>
        <v>Error?</v>
      </c>
    </row>
    <row r="1795" spans="1:4" x14ac:dyDescent="0.2">
      <c r="A1795" s="5">
        <v>1734</v>
      </c>
      <c r="B1795" s="138">
        <f>'Tax Sched 23'!F7</f>
        <v>93176</v>
      </c>
      <c r="C1795" s="2" t="s">
        <v>573</v>
      </c>
      <c r="D1795" s="2" t="str">
        <f t="shared" si="27"/>
        <v>Error?</v>
      </c>
    </row>
    <row r="1796" spans="1:4" x14ac:dyDescent="0.2">
      <c r="A1796" s="5">
        <v>1735</v>
      </c>
      <c r="B1796" s="138">
        <f>'Tax Sched 23'!F8</f>
        <v>110462</v>
      </c>
      <c r="C1796" s="2" t="s">
        <v>573</v>
      </c>
      <c r="D1796" s="2" t="str">
        <f t="shared" si="27"/>
        <v>Error?</v>
      </c>
    </row>
    <row r="1797" spans="1:4" x14ac:dyDescent="0.2">
      <c r="A1797" s="5">
        <v>1736</v>
      </c>
      <c r="B1797" s="138">
        <f>'Tax Sched 23'!F10</f>
        <v>23294</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236716</v>
      </c>
      <c r="C1800" s="2" t="s">
        <v>573</v>
      </c>
      <c r="D1800" s="2" t="str">
        <f t="shared" si="27"/>
        <v>Error?</v>
      </c>
    </row>
    <row r="1801" spans="1:4" x14ac:dyDescent="0.2">
      <c r="A1801" s="5">
        <v>1740</v>
      </c>
      <c r="B1801" s="138">
        <f>'Tax Sched 23'!F12</f>
        <v>23294</v>
      </c>
      <c r="C1801" s="2" t="s">
        <v>573</v>
      </c>
      <c r="D1801" s="2" t="str">
        <f t="shared" si="27"/>
        <v>Error?</v>
      </c>
    </row>
    <row r="1802" spans="1:4" x14ac:dyDescent="0.2">
      <c r="A1802" s="5">
        <v>1741</v>
      </c>
      <c r="B1802" s="138">
        <f>'Tax Sched 23'!F14</f>
        <v>18635</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2735580</v>
      </c>
      <c r="C1807" s="2" t="s">
        <v>573</v>
      </c>
      <c r="D1807" s="2" t="str">
        <f t="shared" si="27"/>
        <v>Error?</v>
      </c>
    </row>
    <row r="1808" spans="1:4" x14ac:dyDescent="0.2">
      <c r="A1808" s="5">
        <v>1747</v>
      </c>
      <c r="B1808" s="138">
        <f>'Tax Sched 23'!E4</f>
        <v>1535389</v>
      </c>
      <c r="D1808" s="2" t="str">
        <f t="shared" si="27"/>
        <v>Error?</v>
      </c>
    </row>
    <row r="1809" spans="1:4" x14ac:dyDescent="0.2">
      <c r="A1809" s="5">
        <v>1748</v>
      </c>
      <c r="B1809" s="138">
        <f>'Tax Sched 23'!E5</f>
        <v>236214</v>
      </c>
      <c r="D1809" s="2" t="str">
        <f t="shared" si="27"/>
        <v>Error?</v>
      </c>
    </row>
    <row r="1810" spans="1:4" x14ac:dyDescent="0.2">
      <c r="A1810" s="5">
        <v>1749</v>
      </c>
      <c r="B1810" s="138">
        <f>'Tax Sched 23'!E6</f>
        <v>364053</v>
      </c>
      <c r="D1810" s="2" t="str">
        <f t="shared" si="27"/>
        <v>Error?</v>
      </c>
    </row>
    <row r="1811" spans="1:4" x14ac:dyDescent="0.2">
      <c r="A1811" s="5">
        <v>1750</v>
      </c>
      <c r="B1811" s="138">
        <f>'Tax Sched 23'!E7</f>
        <v>94485</v>
      </c>
      <c r="D1811" s="2" t="str">
        <f t="shared" si="27"/>
        <v>Error?</v>
      </c>
    </row>
    <row r="1812" spans="1:4" x14ac:dyDescent="0.2">
      <c r="A1812" s="5">
        <v>1751</v>
      </c>
      <c r="B1812" s="138">
        <f>'Tax Sched 23'!E8</f>
        <v>112013</v>
      </c>
      <c r="D1812" s="2" t="str">
        <f t="shared" si="27"/>
        <v>Error?</v>
      </c>
    </row>
    <row r="1813" spans="1:4" x14ac:dyDescent="0.2">
      <c r="A1813" s="5">
        <v>1752</v>
      </c>
      <c r="B1813" s="138">
        <f>'Tax Sched 23'!E10</f>
        <v>23621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240040</v>
      </c>
      <c r="D1816" s="2" t="str">
        <f t="shared" si="27"/>
        <v>Error?</v>
      </c>
    </row>
    <row r="1817" spans="1:4" x14ac:dyDescent="0.2">
      <c r="A1817" s="5">
        <v>1756</v>
      </c>
      <c r="B1817" s="138">
        <f>'Tax Sched 23'!E12</f>
        <v>23621</v>
      </c>
      <c r="D1817" s="2" t="str">
        <f t="shared" si="27"/>
        <v>Error?</v>
      </c>
    </row>
    <row r="1818" spans="1:4" x14ac:dyDescent="0.2">
      <c r="A1818" s="5">
        <v>1757</v>
      </c>
      <c r="B1818" s="138">
        <f>'Tax Sched 23'!E14</f>
        <v>18897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2773998</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1180000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8146</v>
      </c>
      <c r="D1972" s="2" t="str">
        <f t="shared" si="29"/>
        <v>Error?</v>
      </c>
    </row>
    <row r="1973" spans="1:5" x14ac:dyDescent="0.2">
      <c r="A1973" s="5">
        <v>1912</v>
      </c>
      <c r="B1973" s="138">
        <f>'Rest Tax Levies-Tort Im 25'!H6</f>
        <v>3</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8149</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8149</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140543</v>
      </c>
      <c r="D2008" s="2" t="str">
        <f t="shared" si="30"/>
        <v>Error?</v>
      </c>
    </row>
    <row r="2009" spans="1:4" x14ac:dyDescent="0.2">
      <c r="A2009" s="5">
        <v>1948</v>
      </c>
      <c r="B2009" s="138">
        <f>'Cap Outlay Deprec 26'!C8</f>
        <v>11386116</v>
      </c>
      <c r="D2009" s="2" t="str">
        <f t="shared" si="30"/>
        <v>Error?</v>
      </c>
    </row>
    <row r="2010" spans="1:4" x14ac:dyDescent="0.2">
      <c r="A2010" s="5">
        <v>1949</v>
      </c>
      <c r="B2010" s="138">
        <f>'Cap Outlay Deprec 26'!C10</f>
        <v>389805</v>
      </c>
      <c r="D2010" s="2" t="str">
        <f t="shared" si="30"/>
        <v>Error?</v>
      </c>
    </row>
    <row r="2011" spans="1:4" x14ac:dyDescent="0.2">
      <c r="A2011" s="5">
        <v>1950</v>
      </c>
      <c r="B2011" s="138">
        <f>'Cap Outlay Deprec 26'!C12</f>
        <v>578212</v>
      </c>
      <c r="D2011" s="2" t="str">
        <f t="shared" si="30"/>
        <v>Error?</v>
      </c>
    </row>
    <row r="2012" spans="1:4" x14ac:dyDescent="0.2">
      <c r="A2012" s="5">
        <v>1951</v>
      </c>
      <c r="B2012" s="138">
        <f>'Cap Outlay Deprec 26'!C13</f>
        <v>586814</v>
      </c>
      <c r="D2012" s="2" t="str">
        <f t="shared" si="30"/>
        <v>Error?</v>
      </c>
    </row>
    <row r="2013" spans="1:4" x14ac:dyDescent="0.2">
      <c r="A2013" s="5">
        <v>1952</v>
      </c>
      <c r="B2013" s="138">
        <f>'Cap Outlay Deprec 26'!C16</f>
        <v>13085290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11907</v>
      </c>
      <c r="D2015" s="2" t="str">
        <f t="shared" si="30"/>
        <v>Error?</v>
      </c>
    </row>
    <row r="2016" spans="1:4" x14ac:dyDescent="0.2">
      <c r="A2016" s="5">
        <v>1955</v>
      </c>
      <c r="B2016" s="138">
        <f>'Cap Outlay Deprec 26'!D10</f>
        <v>120406</v>
      </c>
      <c r="D2016" s="2" t="str">
        <f t="shared" si="30"/>
        <v>Error?</v>
      </c>
    </row>
    <row r="2017" spans="1:4" x14ac:dyDescent="0.2">
      <c r="A2017" s="5">
        <v>1956</v>
      </c>
      <c r="B2017" s="138">
        <f>'Cap Outlay Deprec 26'!D12</f>
        <v>50654</v>
      </c>
      <c r="D2017" s="2" t="str">
        <f t="shared" si="30"/>
        <v>Error?</v>
      </c>
    </row>
    <row r="2018" spans="1:4" x14ac:dyDescent="0.2">
      <c r="A2018" s="5">
        <v>1957</v>
      </c>
      <c r="B2018" s="138">
        <f>'Cap Outlay Deprec 26'!D13</f>
        <v>33130</v>
      </c>
      <c r="D2018" s="2" t="str">
        <f t="shared" si="30"/>
        <v>Error?</v>
      </c>
    </row>
    <row r="2019" spans="1:4" x14ac:dyDescent="0.2">
      <c r="A2019" s="5">
        <v>1958</v>
      </c>
      <c r="B2019" s="138">
        <f>'Cap Outlay Deprec 26'!D16</f>
        <v>216097</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4146</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4146</v>
      </c>
      <c r="C2025" s="2" t="s">
        <v>573</v>
      </c>
      <c r="D2025" s="2" t="str">
        <f t="shared" si="30"/>
        <v>Error?</v>
      </c>
    </row>
    <row r="2026" spans="1:4" x14ac:dyDescent="0.2">
      <c r="A2026" s="5">
        <v>1965</v>
      </c>
      <c r="B2026" s="138">
        <f>'Cap Outlay Deprec 26'!F5</f>
        <v>140543</v>
      </c>
      <c r="C2026" s="2" t="s">
        <v>573</v>
      </c>
      <c r="D2026" s="2" t="str">
        <f t="shared" si="30"/>
        <v>Error?</v>
      </c>
    </row>
    <row r="2027" spans="1:4" x14ac:dyDescent="0.2">
      <c r="A2027" s="5">
        <v>1966</v>
      </c>
      <c r="B2027" s="138">
        <f>'Cap Outlay Deprec 26'!F8</f>
        <v>11398023</v>
      </c>
      <c r="C2027" s="2" t="s">
        <v>573</v>
      </c>
      <c r="D2027" s="2" t="str">
        <f t="shared" si="30"/>
        <v>Error?</v>
      </c>
    </row>
    <row r="2028" spans="1:4" x14ac:dyDescent="0.2">
      <c r="A2028" s="5">
        <v>1967</v>
      </c>
      <c r="B2028" s="138">
        <f>'Cap Outlay Deprec 26'!F10</f>
        <v>510211</v>
      </c>
      <c r="C2028" s="2" t="s">
        <v>573</v>
      </c>
      <c r="D2028" s="2" t="str">
        <f t="shared" si="30"/>
        <v>Error?</v>
      </c>
    </row>
    <row r="2029" spans="1:4" x14ac:dyDescent="0.2">
      <c r="A2029" s="5">
        <v>1968</v>
      </c>
      <c r="B2029" s="138">
        <f>'Cap Outlay Deprec 26'!F12</f>
        <v>624720</v>
      </c>
      <c r="C2029" s="2" t="s">
        <v>573</v>
      </c>
      <c r="D2029" s="2" t="str">
        <f t="shared" si="30"/>
        <v>Error?</v>
      </c>
    </row>
    <row r="2030" spans="1:4" x14ac:dyDescent="0.2">
      <c r="A2030" s="5">
        <v>1969</v>
      </c>
      <c r="B2030" s="138">
        <f>'Cap Outlay Deprec 26'!F13</f>
        <v>619944</v>
      </c>
      <c r="C2030" s="2" t="s">
        <v>573</v>
      </c>
      <c r="D2030" s="2" t="str">
        <f t="shared" si="30"/>
        <v>Error?</v>
      </c>
    </row>
    <row r="2031" spans="1:4" x14ac:dyDescent="0.2">
      <c r="A2031" s="5">
        <v>1970</v>
      </c>
      <c r="B2031" s="138">
        <f>'Cap Outlay Deprec 26'!F16</f>
        <v>13297241</v>
      </c>
      <c r="C2031" s="2" t="s">
        <v>573</v>
      </c>
      <c r="D2031" s="2" t="str">
        <f t="shared" si="30"/>
        <v>Error?</v>
      </c>
    </row>
    <row r="2032" spans="1:4" x14ac:dyDescent="0.2">
      <c r="A2032" s="10">
        <v>1971</v>
      </c>
      <c r="D2032" s="2" t="str">
        <f t="shared" si="30"/>
        <v>OK</v>
      </c>
    </row>
    <row r="2033" spans="1:4" x14ac:dyDescent="0.2">
      <c r="A2033" s="5">
        <v>1972</v>
      </c>
      <c r="B2033" s="138">
        <f>'Cap Outlay Deprec 26'!H8</f>
        <v>4496903</v>
      </c>
      <c r="D2033" s="2" t="str">
        <f t="shared" si="30"/>
        <v>Error?</v>
      </c>
    </row>
    <row r="2034" spans="1:4" x14ac:dyDescent="0.2">
      <c r="A2034" s="5">
        <v>1973</v>
      </c>
      <c r="B2034" s="138">
        <f>'Cap Outlay Deprec 26'!H10</f>
        <v>148898</v>
      </c>
      <c r="D2034" s="2" t="str">
        <f t="shared" si="30"/>
        <v>Error?</v>
      </c>
    </row>
    <row r="2035" spans="1:4" x14ac:dyDescent="0.2">
      <c r="A2035" s="5">
        <v>1974</v>
      </c>
      <c r="B2035" s="138">
        <f>'Cap Outlay Deprec 26'!H12</f>
        <v>310540</v>
      </c>
      <c r="D2035" s="2" t="str">
        <f t="shared" si="30"/>
        <v>Error?</v>
      </c>
    </row>
    <row r="2036" spans="1:4" x14ac:dyDescent="0.2">
      <c r="A2036" s="5">
        <v>1975</v>
      </c>
      <c r="B2036" s="138">
        <f>'Cap Outlay Deprec 26'!H13</f>
        <v>584306</v>
      </c>
      <c r="D2036" s="2" t="str">
        <f t="shared" si="30"/>
        <v>Error?</v>
      </c>
    </row>
    <row r="2037" spans="1:4" x14ac:dyDescent="0.2">
      <c r="A2037" s="5">
        <v>1976</v>
      </c>
      <c r="B2037" s="138">
        <f>'Cap Outlay Deprec 26'!H16</f>
        <v>5541914</v>
      </c>
      <c r="C2037" s="2" t="s">
        <v>573</v>
      </c>
      <c r="D2037" s="2" t="str">
        <f t="shared" si="30"/>
        <v>Error?</v>
      </c>
    </row>
    <row r="2038" spans="1:4" x14ac:dyDescent="0.2">
      <c r="A2038" s="10">
        <v>1977</v>
      </c>
      <c r="D2038" s="2" t="str">
        <f t="shared" si="30"/>
        <v>OK</v>
      </c>
    </row>
    <row r="2039" spans="1:4" x14ac:dyDescent="0.2">
      <c r="A2039" s="5">
        <v>1978</v>
      </c>
      <c r="B2039" s="138">
        <f>'Cap Outlay Deprec 26'!I8</f>
        <v>218736</v>
      </c>
      <c r="D2039" s="2" t="str">
        <f t="shared" si="30"/>
        <v>Error?</v>
      </c>
    </row>
    <row r="2040" spans="1:4" x14ac:dyDescent="0.2">
      <c r="A2040" s="5">
        <v>1979</v>
      </c>
      <c r="B2040" s="138">
        <f>'Cap Outlay Deprec 26'!I10</f>
        <v>25316</v>
      </c>
      <c r="D2040" s="2" t="str">
        <f t="shared" si="30"/>
        <v>Error?</v>
      </c>
    </row>
    <row r="2041" spans="1:4" x14ac:dyDescent="0.2">
      <c r="A2041" s="5">
        <v>1980</v>
      </c>
      <c r="B2041" s="138">
        <f>'Cap Outlay Deprec 26'!I12</f>
        <v>62468</v>
      </c>
      <c r="D2041" s="2" t="str">
        <f t="shared" si="30"/>
        <v>Error?</v>
      </c>
    </row>
    <row r="2042" spans="1:4" x14ac:dyDescent="0.2">
      <c r="A2042" s="5">
        <v>1981</v>
      </c>
      <c r="B2042" s="138">
        <f>'Cap Outlay Deprec 26'!I13</f>
        <v>7253</v>
      </c>
      <c r="D2042" s="2" t="str">
        <f t="shared" si="30"/>
        <v>Error?</v>
      </c>
    </row>
    <row r="2043" spans="1:4" x14ac:dyDescent="0.2">
      <c r="A2043" s="5">
        <v>1982</v>
      </c>
      <c r="B2043" s="138">
        <f>'Cap Outlay Deprec 26'!I16</f>
        <v>315040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4146</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4146</v>
      </c>
      <c r="C2049" s="2" t="s">
        <v>573</v>
      </c>
      <c r="D2049" s="2" t="str">
        <f t="shared" si="31"/>
        <v>Error?</v>
      </c>
    </row>
    <row r="2050" spans="1:4" x14ac:dyDescent="0.2">
      <c r="A2050" s="10">
        <v>1989</v>
      </c>
      <c r="D2050" s="2" t="str">
        <f t="shared" si="31"/>
        <v>OK</v>
      </c>
    </row>
    <row r="2051" spans="1:4" x14ac:dyDescent="0.2">
      <c r="A2051" s="5">
        <v>1990</v>
      </c>
      <c r="B2051" s="138">
        <f>'Cap Outlay Deprec 26'!K8</f>
        <v>4715639</v>
      </c>
      <c r="C2051" s="2" t="s">
        <v>573</v>
      </c>
      <c r="D2051" s="2" t="str">
        <f t="shared" si="31"/>
        <v>Error?</v>
      </c>
    </row>
    <row r="2052" spans="1:4" x14ac:dyDescent="0.2">
      <c r="A2052" s="5">
        <v>1991</v>
      </c>
      <c r="B2052" s="138">
        <f>'Cap Outlay Deprec 26'!K10</f>
        <v>174214</v>
      </c>
      <c r="C2052" s="2" t="s">
        <v>573</v>
      </c>
      <c r="D2052" s="2" t="str">
        <f t="shared" si="31"/>
        <v>Error?</v>
      </c>
    </row>
    <row r="2053" spans="1:4" x14ac:dyDescent="0.2">
      <c r="A2053" s="5">
        <v>1992</v>
      </c>
      <c r="B2053" s="138">
        <f>'Cap Outlay Deprec 26'!K12</f>
        <v>368862</v>
      </c>
      <c r="C2053" s="2" t="s">
        <v>573</v>
      </c>
      <c r="D2053" s="2" t="str">
        <f t="shared" si="31"/>
        <v>Error?</v>
      </c>
    </row>
    <row r="2054" spans="1:4" x14ac:dyDescent="0.2">
      <c r="A2054" s="5">
        <v>1993</v>
      </c>
      <c r="B2054" s="138">
        <f>'Cap Outlay Deprec 26'!K13</f>
        <v>591559</v>
      </c>
      <c r="C2054" s="2" t="s">
        <v>573</v>
      </c>
      <c r="D2054" s="2" t="str">
        <f t="shared" si="31"/>
        <v>Error?</v>
      </c>
    </row>
    <row r="2055" spans="1:4" x14ac:dyDescent="0.2">
      <c r="A2055" s="5">
        <v>1994</v>
      </c>
      <c r="B2055" s="138">
        <f>'Cap Outlay Deprec 26'!K16</f>
        <v>5852808</v>
      </c>
      <c r="C2055" s="2" t="s">
        <v>573</v>
      </c>
      <c r="D2055" s="2" t="str">
        <f t="shared" si="31"/>
        <v>Error?</v>
      </c>
    </row>
    <row r="2056" spans="1:4" x14ac:dyDescent="0.2">
      <c r="A2056" s="5">
        <v>1995</v>
      </c>
      <c r="B2056" s="138">
        <f>'Cap Outlay Deprec 26'!L5</f>
        <v>140543</v>
      </c>
      <c r="C2056" s="2" t="s">
        <v>573</v>
      </c>
      <c r="D2056" s="2" t="str">
        <f t="shared" si="31"/>
        <v>Error?</v>
      </c>
    </row>
    <row r="2057" spans="1:4" x14ac:dyDescent="0.2">
      <c r="A2057" s="5">
        <v>1996</v>
      </c>
      <c r="B2057" s="138">
        <f>'Cap Outlay Deprec 26'!L8</f>
        <v>6682384</v>
      </c>
      <c r="C2057" s="2" t="s">
        <v>573</v>
      </c>
      <c r="D2057" s="2" t="str">
        <f t="shared" si="31"/>
        <v>Error?</v>
      </c>
    </row>
    <row r="2058" spans="1:4" x14ac:dyDescent="0.2">
      <c r="A2058" s="5">
        <v>1997</v>
      </c>
      <c r="B2058" s="138">
        <f>'Cap Outlay Deprec 26'!L10</f>
        <v>335997</v>
      </c>
      <c r="C2058" s="2" t="s">
        <v>573</v>
      </c>
      <c r="D2058" s="2" t="str">
        <f t="shared" si="31"/>
        <v>Error?</v>
      </c>
    </row>
    <row r="2059" spans="1:4" x14ac:dyDescent="0.2">
      <c r="A2059" s="5">
        <v>1998</v>
      </c>
      <c r="B2059" s="138">
        <f>'Cap Outlay Deprec 26'!L12</f>
        <v>255858</v>
      </c>
      <c r="C2059" s="2" t="s">
        <v>573</v>
      </c>
      <c r="D2059" s="2" t="str">
        <f t="shared" si="31"/>
        <v>Error?</v>
      </c>
    </row>
    <row r="2060" spans="1:4" x14ac:dyDescent="0.2">
      <c r="A2060" s="5">
        <v>1999</v>
      </c>
      <c r="B2060" s="138">
        <f>'Cap Outlay Deprec 26'!L13</f>
        <v>28385</v>
      </c>
      <c r="C2060" s="2" t="s">
        <v>573</v>
      </c>
      <c r="D2060" s="2" t="str">
        <f t="shared" si="31"/>
        <v>Error?</v>
      </c>
    </row>
    <row r="2061" spans="1:4" x14ac:dyDescent="0.2">
      <c r="A2061" s="5">
        <v>2000</v>
      </c>
      <c r="B2061" s="138">
        <f>'Cap Outlay Deprec 26'!L16</f>
        <v>7444433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2339</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32439</v>
      </c>
      <c r="C2088" s="2" t="s">
        <v>573</v>
      </c>
      <c r="D2088" s="2" t="str">
        <f t="shared" si="31"/>
        <v>Error?</v>
      </c>
    </row>
    <row r="2089" spans="1:4" x14ac:dyDescent="0.2">
      <c r="A2089" s="5">
        <v>2028</v>
      </c>
      <c r="B2089" s="138">
        <f>'Expenditures 15-22'!K92</f>
        <v>59715</v>
      </c>
      <c r="C2089" s="2" t="s">
        <v>573</v>
      </c>
      <c r="D2089" s="2" t="str">
        <f t="shared" si="31"/>
        <v>Error?</v>
      </c>
    </row>
    <row r="2090" spans="1:4" x14ac:dyDescent="0.2">
      <c r="A2090" s="10">
        <v>2029</v>
      </c>
      <c r="D2090" s="2" t="str">
        <f t="shared" si="31"/>
        <v>OK</v>
      </c>
    </row>
    <row r="2091" spans="1:4" x14ac:dyDescent="0.2">
      <c r="A2091" s="5">
        <v>2030</v>
      </c>
      <c r="B2091" s="138">
        <f>'Expenditures 15-22'!H137</f>
        <v>150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150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20751</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91188</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216440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905660</v>
      </c>
      <c r="C2551" s="2" t="s">
        <v>573</v>
      </c>
      <c r="D2551" s="2" t="str">
        <f t="shared" si="38"/>
        <v>Error?</v>
      </c>
    </row>
    <row r="2552" spans="1:4" x14ac:dyDescent="0.2">
      <c r="A2552" s="10">
        <v>2491</v>
      </c>
      <c r="D2552" s="2" t="str">
        <f t="shared" si="38"/>
        <v>OK</v>
      </c>
    </row>
    <row r="2553" spans="1:4" x14ac:dyDescent="0.2">
      <c r="A2553" s="5">
        <v>2492</v>
      </c>
      <c r="B2553" s="138">
        <f>'Acct Summary 7-8'!C6</f>
        <v>1838698</v>
      </c>
      <c r="C2553" s="2" t="s">
        <v>573</v>
      </c>
      <c r="D2553" s="2" t="str">
        <f t="shared" si="38"/>
        <v>Error?</v>
      </c>
    </row>
    <row r="2554" spans="1:4" x14ac:dyDescent="0.2">
      <c r="A2554" s="5">
        <v>2493</v>
      </c>
      <c r="B2554" s="138">
        <f>'Acct Summary 7-8'!C7</f>
        <v>321809</v>
      </c>
      <c r="C2554" s="2" t="s">
        <v>573</v>
      </c>
      <c r="D2554" s="2" t="str">
        <f t="shared" si="38"/>
        <v>Error?</v>
      </c>
    </row>
    <row r="2555" spans="1:4" x14ac:dyDescent="0.2">
      <c r="A2555" s="5">
        <v>2494</v>
      </c>
      <c r="B2555" s="138">
        <f>'Acct Summary 7-8'!C8</f>
        <v>3066167</v>
      </c>
      <c r="C2555" s="2" t="s">
        <v>573</v>
      </c>
      <c r="D2555" s="2" t="str">
        <f t="shared" si="38"/>
        <v>Error?</v>
      </c>
    </row>
    <row r="2556" spans="1:4" x14ac:dyDescent="0.2">
      <c r="A2556" s="5">
        <v>2495</v>
      </c>
      <c r="B2556" s="138">
        <f>'Acct Summary 7-8'!C12</f>
        <v>2516578</v>
      </c>
      <c r="C2556" s="2" t="s">
        <v>573</v>
      </c>
      <c r="D2556" s="2" t="str">
        <f t="shared" si="38"/>
        <v>Error?</v>
      </c>
    </row>
    <row r="2557" spans="1:4" x14ac:dyDescent="0.2">
      <c r="A2557" s="5">
        <v>2496</v>
      </c>
      <c r="B2557" s="138">
        <f>'Acct Summary 7-8'!C13</f>
        <v>1034100</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92154</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3642832</v>
      </c>
      <c r="C2561" s="2" t="s">
        <v>573</v>
      </c>
      <c r="D2561" s="2" t="str">
        <f t="shared" si="39"/>
        <v>Error?</v>
      </c>
    </row>
    <row r="2562" spans="1:4" x14ac:dyDescent="0.2">
      <c r="A2562" s="5">
        <v>2501</v>
      </c>
      <c r="B2562" s="138">
        <f>'Acct Summary 7-8'!C20</f>
        <v>-576665</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265504</v>
      </c>
      <c r="C2564" s="2" t="s">
        <v>573</v>
      </c>
      <c r="D2564" s="2" t="str">
        <f t="shared" si="39"/>
        <v>Error?</v>
      </c>
    </row>
    <row r="2565" spans="1:4" x14ac:dyDescent="0.2">
      <c r="A2565" s="10">
        <v>2504</v>
      </c>
      <c r="D2565" s="2" t="str">
        <f t="shared" si="39"/>
        <v>OK</v>
      </c>
    </row>
    <row r="2566" spans="1:4" x14ac:dyDescent="0.2">
      <c r="A2566" s="5">
        <v>2505</v>
      </c>
      <c r="B2566" s="138">
        <f>'Acct Summary 7-8'!D6</f>
        <v>100000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365504</v>
      </c>
      <c r="C2568" s="2" t="s">
        <v>573</v>
      </c>
      <c r="D2568" s="2" t="str">
        <f t="shared" si="39"/>
        <v>Error?</v>
      </c>
    </row>
    <row r="2569" spans="1:4" x14ac:dyDescent="0.2">
      <c r="A2569" s="5">
        <v>2508</v>
      </c>
      <c r="B2569" s="138">
        <f>'Acct Summary 7-8'!D13</f>
        <v>424883</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150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425033</v>
      </c>
      <c r="C2573" s="2" t="s">
        <v>573</v>
      </c>
      <c r="D2573" s="2" t="str">
        <f t="shared" si="39"/>
        <v>Error?</v>
      </c>
    </row>
    <row r="2574" spans="1:4" x14ac:dyDescent="0.2">
      <c r="A2574" s="5">
        <v>2513</v>
      </c>
      <c r="B2574" s="138">
        <f>'Acct Summary 7-8'!D20</f>
        <v>-59529</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41719</v>
      </c>
      <c r="C2591" s="2" t="s">
        <v>573</v>
      </c>
      <c r="D2591" s="2" t="str">
        <f t="shared" si="39"/>
        <v>Error?</v>
      </c>
    </row>
    <row r="2592" spans="1:4" x14ac:dyDescent="0.2">
      <c r="A2592" s="10">
        <v>2531</v>
      </c>
      <c r="D2592" s="2" t="str">
        <f t="shared" si="39"/>
        <v>OK</v>
      </c>
    </row>
    <row r="2593" spans="1:4" x14ac:dyDescent="0.2">
      <c r="A2593" s="5">
        <v>2532</v>
      </c>
      <c r="B2593" s="138">
        <f>'Acct Summary 7-8'!F6</f>
        <v>164562</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206281</v>
      </c>
      <c r="C2595" s="2" t="s">
        <v>573</v>
      </c>
      <c r="D2595" s="2" t="str">
        <f t="shared" si="39"/>
        <v>Error?</v>
      </c>
    </row>
    <row r="2596" spans="1:4" x14ac:dyDescent="0.2">
      <c r="A2596" s="5">
        <v>2535</v>
      </c>
      <c r="B2596" s="138">
        <f>'Acct Summary 7-8'!F13</f>
        <v>342708</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342708</v>
      </c>
      <c r="C2600" s="2" t="s">
        <v>573</v>
      </c>
      <c r="D2600" s="2" t="str">
        <f t="shared" si="39"/>
        <v>Error?</v>
      </c>
    </row>
    <row r="2601" spans="1:4" x14ac:dyDescent="0.2">
      <c r="A2601" s="5">
        <v>2540</v>
      </c>
      <c r="B2601" s="138">
        <f>'Acct Summary 7-8'!F20</f>
        <v>-136427</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120828</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120828</v>
      </c>
      <c r="C2606" s="2" t="s">
        <v>573</v>
      </c>
      <c r="D2606" s="2" t="str">
        <f t="shared" si="39"/>
        <v>Error?</v>
      </c>
    </row>
    <row r="2607" spans="1:4" x14ac:dyDescent="0.2">
      <c r="A2607" s="5">
        <v>2546</v>
      </c>
      <c r="B2607" s="138">
        <f>'Acct Summary 7-8'!G12</f>
        <v>64762</v>
      </c>
      <c r="C2607" s="2" t="s">
        <v>573</v>
      </c>
      <c r="D2607" s="2" t="str">
        <f t="shared" si="39"/>
        <v>Error?</v>
      </c>
    </row>
    <row r="2608" spans="1:4" x14ac:dyDescent="0.2">
      <c r="A2608" s="5">
        <v>2547</v>
      </c>
      <c r="B2608" s="138">
        <f>'Acct Summary 7-8'!G13</f>
        <v>135747</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200509</v>
      </c>
      <c r="C2612" s="2" t="s">
        <v>573</v>
      </c>
      <c r="D2612" s="2" t="str">
        <f t="shared" si="39"/>
        <v>Error?</v>
      </c>
    </row>
    <row r="2613" spans="1:4" x14ac:dyDescent="0.2">
      <c r="A2613" s="5">
        <v>2552</v>
      </c>
      <c r="B2613" s="138">
        <f>'Acct Summary 7-8'!G20</f>
        <v>-79681</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188509</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188509</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416721</v>
      </c>
      <c r="C2634" s="2" t="s">
        <v>573</v>
      </c>
      <c r="D2634" s="2" t="str">
        <f t="shared" si="40"/>
        <v>Error?</v>
      </c>
    </row>
    <row r="2635" spans="1:4" x14ac:dyDescent="0.2">
      <c r="A2635" s="5">
        <v>2574</v>
      </c>
      <c r="B2635" s="138">
        <f>'Acct Summary 7-8'!E17</f>
        <v>416721</v>
      </c>
      <c r="C2635" s="2" t="s">
        <v>573</v>
      </c>
      <c r="D2635" s="2" t="str">
        <f t="shared" si="40"/>
        <v>Error?</v>
      </c>
    </row>
    <row r="2636" spans="1:4" x14ac:dyDescent="0.2">
      <c r="A2636" s="5">
        <v>2575</v>
      </c>
      <c r="B2636" s="138">
        <f>'Acct Summary 7-8'!E20</f>
        <v>-228212</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152287</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152287</v>
      </c>
      <c r="C2658" s="2" t="s">
        <v>573</v>
      </c>
      <c r="D2658" s="2" t="str">
        <f t="shared" si="40"/>
        <v>Error?</v>
      </c>
    </row>
    <row r="2659" spans="1:4" x14ac:dyDescent="0.2">
      <c r="A2659" s="5">
        <v>2598</v>
      </c>
      <c r="B2659" s="138">
        <f>'Acct Summary 7-8'!H13</f>
        <v>143604</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143604</v>
      </c>
      <c r="C2661" s="2" t="s">
        <v>573</v>
      </c>
      <c r="D2661" s="2" t="str">
        <f t="shared" si="40"/>
        <v>Error?</v>
      </c>
    </row>
    <row r="2662" spans="1:4" x14ac:dyDescent="0.2">
      <c r="A2662" s="5">
        <v>2601</v>
      </c>
      <c r="B2662" s="138">
        <f>'Acct Summary 7-8'!H20</f>
        <v>8683</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30100</v>
      </c>
      <c r="C2789" s="2" t="s">
        <v>573</v>
      </c>
      <c r="D2789" s="2" t="str">
        <f t="shared" si="42"/>
        <v>Error?</v>
      </c>
    </row>
    <row r="2790" spans="1:4" x14ac:dyDescent="0.2">
      <c r="A2790" s="5">
        <v>2729</v>
      </c>
      <c r="B2790" s="138">
        <f>'Expenditures 15-22'!E102</f>
        <v>30100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72797</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25000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131081</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72797</v>
      </c>
      <c r="D2912" s="2" t="str">
        <f t="shared" si="44"/>
        <v>Error?</v>
      </c>
    </row>
    <row r="2913" spans="1:4" x14ac:dyDescent="0.2">
      <c r="A2913" s="5">
        <v>2852</v>
      </c>
      <c r="B2913" s="138">
        <f>'Assets-Liab 5-6'!I41</f>
        <v>72797</v>
      </c>
      <c r="C2913" s="2" t="s">
        <v>573</v>
      </c>
      <c r="D2913" s="2" t="str">
        <f t="shared" si="44"/>
        <v>Error?</v>
      </c>
    </row>
    <row r="2914" spans="1:4" x14ac:dyDescent="0.2">
      <c r="A2914" s="5">
        <v>2853</v>
      </c>
      <c r="B2914" s="138">
        <f>'Assets-Liab 5-6'!L33</f>
        <v>84011</v>
      </c>
      <c r="D2914" s="2" t="str">
        <f t="shared" si="44"/>
        <v>Error?</v>
      </c>
    </row>
    <row r="2915" spans="1:4" x14ac:dyDescent="0.2">
      <c r="A2915" s="10">
        <v>2854</v>
      </c>
      <c r="D2915" s="2" t="str">
        <f t="shared" si="44"/>
        <v>OK</v>
      </c>
    </row>
    <row r="2916" spans="1:4" x14ac:dyDescent="0.2">
      <c r="A2916" s="5">
        <v>2855</v>
      </c>
      <c r="B2916" s="138">
        <f>'Assets-Liab 5-6'!L34</f>
        <v>84011</v>
      </c>
      <c r="C2916" s="2" t="s">
        <v>573</v>
      </c>
      <c r="D2916" s="2" t="str">
        <f t="shared" si="44"/>
        <v>Error?</v>
      </c>
    </row>
    <row r="2917" spans="1:4" x14ac:dyDescent="0.2">
      <c r="A2917" s="5">
        <v>2856</v>
      </c>
      <c r="B2917" s="138">
        <f>'Assets-Liab 5-6'!L41</f>
        <v>131081</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5625</v>
      </c>
      <c r="D2949" s="2" t="str">
        <f t="shared" si="45"/>
        <v>Error?</v>
      </c>
    </row>
    <row r="2950" spans="1:4" x14ac:dyDescent="0.2">
      <c r="A2950" s="5">
        <v>2889</v>
      </c>
      <c r="B2950" s="138">
        <f>'Expenditures 15-22'!E79</f>
        <v>24475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2339</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7964</v>
      </c>
      <c r="C2973" s="2" t="s">
        <v>573</v>
      </c>
      <c r="D2973" s="2" t="str">
        <f t="shared" si="45"/>
        <v>Error?</v>
      </c>
    </row>
    <row r="2974" spans="1:4" x14ac:dyDescent="0.2">
      <c r="A2974" s="5">
        <v>2913</v>
      </c>
      <c r="B2974" s="138">
        <f>'Expenditures 15-22'!K79</f>
        <v>24475</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150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150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77609</v>
      </c>
      <c r="D3055" s="2" t="str">
        <f t="shared" si="46"/>
        <v>Error?</v>
      </c>
    </row>
    <row r="3056" spans="1:4" x14ac:dyDescent="0.2">
      <c r="A3056" s="5">
        <v>2995</v>
      </c>
      <c r="B3056" s="138">
        <f>'Expenditures 15-22'!D10</f>
        <v>14506</v>
      </c>
      <c r="D3056" s="2" t="str">
        <f t="shared" si="46"/>
        <v>Error?</v>
      </c>
    </row>
    <row r="3057" spans="1:4" x14ac:dyDescent="0.2">
      <c r="A3057" s="5">
        <v>2996</v>
      </c>
      <c r="B3057" s="138">
        <f>'Expenditures 15-22'!E10</f>
        <v>14332</v>
      </c>
      <c r="D3057" s="2" t="str">
        <f t="shared" si="46"/>
        <v>Error?</v>
      </c>
    </row>
    <row r="3058" spans="1:4" x14ac:dyDescent="0.2">
      <c r="A3058" s="5">
        <v>2997</v>
      </c>
      <c r="B3058" s="138">
        <f>'Expenditures 15-22'!F10</f>
        <v>39120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145567</v>
      </c>
      <c r="C3062" s="2" t="s">
        <v>573</v>
      </c>
      <c r="D3062" s="2" t="str">
        <f t="shared" si="46"/>
        <v>Error?</v>
      </c>
    </row>
    <row r="3063" spans="1:4" x14ac:dyDescent="0.2">
      <c r="A3063" s="10">
        <v>3002</v>
      </c>
      <c r="D3063" s="2" t="str">
        <f t="shared" si="46"/>
        <v>OK</v>
      </c>
    </row>
    <row r="3064" spans="1:4" x14ac:dyDescent="0.2">
      <c r="A3064" s="5">
        <v>3003</v>
      </c>
      <c r="B3064" s="138">
        <f>'Expenditures 15-22'!D219</f>
        <v>9758</v>
      </c>
      <c r="D3064" s="2" t="str">
        <f t="shared" si="46"/>
        <v>Error?</v>
      </c>
    </row>
    <row r="3065" spans="1:4" x14ac:dyDescent="0.2">
      <c r="A3065" s="5">
        <v>3004</v>
      </c>
      <c r="B3065" s="138">
        <f>'Expenditures 15-22'!K219</f>
        <v>9758</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47070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10281</v>
      </c>
      <c r="C3225" s="2" t="s">
        <v>573</v>
      </c>
      <c r="D3225" s="2" t="str">
        <f t="shared" si="49"/>
        <v>Error?</v>
      </c>
    </row>
    <row r="3226" spans="1:4" x14ac:dyDescent="0.2">
      <c r="A3226" s="5">
        <v>3165</v>
      </c>
      <c r="B3226" s="138">
        <f>'Acct Summary 7-8'!I8</f>
        <v>10281</v>
      </c>
      <c r="C3226" s="2" t="s">
        <v>573</v>
      </c>
      <c r="D3226" s="2" t="str">
        <f t="shared" si="49"/>
        <v>Error?</v>
      </c>
    </row>
    <row r="3227" spans="1:4" x14ac:dyDescent="0.2">
      <c r="A3227" s="5">
        <v>3166</v>
      </c>
      <c r="B3227" s="138">
        <f>'Acct Summary 7-8'!I20</f>
        <v>10281</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-576665</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29225</v>
      </c>
      <c r="D3236" s="2" t="str">
        <f t="shared" si="49"/>
        <v>Error?</v>
      </c>
    </row>
    <row r="3237" spans="1:4" x14ac:dyDescent="0.2">
      <c r="A3237" s="5">
        <v>3176</v>
      </c>
      <c r="B3237" s="138">
        <f>'Acct Summary 7-8'!D76</f>
        <v>29225</v>
      </c>
      <c r="C3237" s="2" t="s">
        <v>573</v>
      </c>
      <c r="D3237" s="2" t="str">
        <f t="shared" si="49"/>
        <v>Error?</v>
      </c>
    </row>
    <row r="3238" spans="1:4" x14ac:dyDescent="0.2">
      <c r="A3238" s="5">
        <v>3177</v>
      </c>
      <c r="B3238" s="138">
        <f>'Acct Summary 7-8'!D77</f>
        <v>-29225</v>
      </c>
      <c r="C3238" s="2" t="s">
        <v>573</v>
      </c>
      <c r="D3238" s="2" t="str">
        <f t="shared" si="49"/>
        <v>Error?</v>
      </c>
    </row>
    <row r="3239" spans="1:4" x14ac:dyDescent="0.2">
      <c r="A3239" s="5">
        <v>3178</v>
      </c>
      <c r="B3239" s="138">
        <f>'Acct Summary 7-8'!D78</f>
        <v>-88754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-136427</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-79681</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29225</v>
      </c>
      <c r="D3273" s="2" t="str">
        <f t="shared" si="50"/>
        <v>Error?</v>
      </c>
    </row>
    <row r="3274" spans="1:4" x14ac:dyDescent="0.2">
      <c r="A3274" s="5">
        <v>3213</v>
      </c>
      <c r="B3274" s="138">
        <f>'Acct Summary 7-8'!E44</f>
        <v>29225</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29225</v>
      </c>
      <c r="C3277" s="2" t="s">
        <v>573</v>
      </c>
      <c r="D3277" s="2" t="str">
        <f t="shared" si="50"/>
        <v>Error?</v>
      </c>
    </row>
    <row r="3278" spans="1:4" x14ac:dyDescent="0.2">
      <c r="A3278" s="5">
        <v>3217</v>
      </c>
      <c r="B3278" s="138">
        <f>'Acct Summary 7-8'!E78</f>
        <v>-198987</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8683</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10281</v>
      </c>
      <c r="C3320" s="2" t="s">
        <v>573</v>
      </c>
      <c r="D3320" s="2" t="str">
        <f t="shared" si="50"/>
        <v>Error?</v>
      </c>
    </row>
    <row r="3321" spans="1:4" x14ac:dyDescent="0.2">
      <c r="A3321" s="5">
        <v>3260</v>
      </c>
      <c r="B3321" s="138">
        <f>'Acct Summary 7-8'!I79</f>
        <v>62516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72797</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402050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64446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503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466999</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16968</v>
      </c>
      <c r="D3387" s="2" t="str">
        <f t="shared" si="51"/>
        <v>Error?</v>
      </c>
    </row>
    <row r="3388" spans="1:4" x14ac:dyDescent="0.2">
      <c r="A3388" s="5">
        <v>3327</v>
      </c>
      <c r="B3388" s="138">
        <f>'Expenditures 15-22'!D217</f>
        <v>32763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16968</v>
      </c>
      <c r="C3390" s="2" t="s">
        <v>573</v>
      </c>
      <c r="D3390" s="2" t="str">
        <f t="shared" si="51"/>
        <v>Error?</v>
      </c>
    </row>
    <row r="3391" spans="1:4" x14ac:dyDescent="0.2">
      <c r="A3391" s="5">
        <v>3330</v>
      </c>
      <c r="B3391" s="138">
        <f>'Expenditures 15-22'!K217</f>
        <v>32763</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964205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74892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12453</v>
      </c>
      <c r="D3417" s="2" t="str">
        <f t="shared" si="52"/>
        <v>Error?</v>
      </c>
    </row>
    <row r="3418" spans="1:4" x14ac:dyDescent="0.2">
      <c r="A3418" s="10">
        <v>3357</v>
      </c>
      <c r="D3418" s="2" t="str">
        <f t="shared" si="52"/>
        <v>OK</v>
      </c>
    </row>
    <row r="3419" spans="1:4" x14ac:dyDescent="0.2">
      <c r="A3419" s="5">
        <v>3358</v>
      </c>
      <c r="B3419" s="138">
        <f>'Assets-Liab 5-6'!F4</f>
        <v>64450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124720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216440</v>
      </c>
      <c r="D3425" s="2" t="str">
        <f t="shared" si="52"/>
        <v>Error?</v>
      </c>
    </row>
    <row r="3426" spans="1:4" x14ac:dyDescent="0.2">
      <c r="A3426" s="10">
        <v>3365</v>
      </c>
      <c r="D3426" s="2" t="str">
        <f t="shared" si="52"/>
        <v>OK</v>
      </c>
    </row>
    <row r="3427" spans="1:4" x14ac:dyDescent="0.2">
      <c r="A3427" s="5">
        <v>3366</v>
      </c>
      <c r="B3427" s="138">
        <f>'Assets-Liab 5-6'!I4</f>
        <v>72797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106081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45096</v>
      </c>
      <c r="C3446" s="2" t="s">
        <v>573</v>
      </c>
      <c r="D3446" s="2" t="str">
        <f t="shared" si="52"/>
        <v>Error?</v>
      </c>
    </row>
    <row r="3447" spans="1:4" x14ac:dyDescent="0.2">
      <c r="A3447" s="5">
        <v>3386</v>
      </c>
      <c r="B3447" s="138">
        <f>'Tax Sched 23'!D16</f>
        <v>43683</v>
      </c>
      <c r="C3447" s="2" t="s">
        <v>573</v>
      </c>
      <c r="D3447" s="2" t="str">
        <f t="shared" si="52"/>
        <v>Error?</v>
      </c>
    </row>
    <row r="3448" spans="1:4" x14ac:dyDescent="0.2">
      <c r="A3448" s="5">
        <v>3387</v>
      </c>
      <c r="B3448" s="138">
        <f>'Tax Sched 23'!C16</f>
        <v>1413</v>
      </c>
      <c r="D3448" s="2" t="str">
        <f t="shared" si="52"/>
        <v>Error?</v>
      </c>
    </row>
    <row r="3449" spans="1:4" x14ac:dyDescent="0.2">
      <c r="A3449" s="5">
        <v>3388</v>
      </c>
      <c r="B3449" s="138">
        <f>'Tax Sched 23'!F16</f>
        <v>100631</v>
      </c>
      <c r="C3449" s="2" t="s">
        <v>573</v>
      </c>
      <c r="D3449" s="2" t="str">
        <f t="shared" si="52"/>
        <v>Error?</v>
      </c>
    </row>
    <row r="3450" spans="1:4" x14ac:dyDescent="0.2">
      <c r="A3450" s="5">
        <v>3389</v>
      </c>
      <c r="B3450" s="138">
        <f>'Tax Sched 23'!E16</f>
        <v>102044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1900</v>
      </c>
      <c r="D3484" s="2" t="str">
        <f t="shared" si="53"/>
        <v>Error?</v>
      </c>
    </row>
    <row r="3485" spans="1:4" x14ac:dyDescent="0.2">
      <c r="A3485" s="5">
        <v>3424</v>
      </c>
      <c r="B3485" s="138">
        <f>'Expenditures 15-22'!F125</f>
        <v>4870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6770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124044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124044</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124044</v>
      </c>
      <c r="D3567" s="2" t="str">
        <f t="shared" si="54"/>
        <v>Error?</v>
      </c>
    </row>
    <row r="3568" spans="1:4" x14ac:dyDescent="0.2">
      <c r="A3568" s="5">
        <v>3507</v>
      </c>
      <c r="B3568" s="138">
        <f>'Assets-Liab 5-6'!K41</f>
        <v>124044</v>
      </c>
      <c r="C3568" s="2" t="s">
        <v>573</v>
      </c>
      <c r="D3568" s="2" t="str">
        <f t="shared" si="54"/>
        <v>Error?</v>
      </c>
    </row>
    <row r="3569" spans="1:4" x14ac:dyDescent="0.2">
      <c r="A3569" s="5">
        <v>3508</v>
      </c>
      <c r="B3569" s="138">
        <f>'Acct Summary 7-8'!K4</f>
        <v>10361</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10361</v>
      </c>
      <c r="C3571" s="2" t="s">
        <v>573</v>
      </c>
      <c r="D3571" s="2" t="str">
        <f t="shared" si="54"/>
        <v>Error?</v>
      </c>
    </row>
    <row r="3572" spans="1:4" x14ac:dyDescent="0.2">
      <c r="A3572" s="5">
        <v>3511</v>
      </c>
      <c r="B3572" s="138">
        <f>'Acct Summary 7-8'!K13</f>
        <v>1307</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1307</v>
      </c>
      <c r="C3575" s="2" t="s">
        <v>573</v>
      </c>
      <c r="D3575" s="2" t="str">
        <f t="shared" si="54"/>
        <v>Error?</v>
      </c>
    </row>
    <row r="3576" spans="1:4" x14ac:dyDescent="0.2">
      <c r="A3576" s="5">
        <v>3515</v>
      </c>
      <c r="B3576" s="138">
        <f>'Acct Summary 7-8'!K20</f>
        <v>9054</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9054</v>
      </c>
      <c r="C3588" s="2" t="s">
        <v>573</v>
      </c>
      <c r="D3588" s="2" t="str">
        <f t="shared" si="55"/>
        <v>Error?</v>
      </c>
    </row>
    <row r="3589" spans="1:4" x14ac:dyDescent="0.2">
      <c r="A3589" s="5">
        <v>3528</v>
      </c>
      <c r="B3589" s="138">
        <f>'Acct Summary 7-8'!K79</f>
        <v>114990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124044</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713</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713</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713</v>
      </c>
      <c r="C3636" s="2" t="s">
        <v>573</v>
      </c>
      <c r="D3636" s="2" t="str">
        <f t="shared" si="55"/>
        <v>Error?</v>
      </c>
    </row>
    <row r="3637" spans="1:4" x14ac:dyDescent="0.2">
      <c r="A3637" s="10">
        <v>3576</v>
      </c>
      <c r="D3637" s="2" t="str">
        <f t="shared" si="55"/>
        <v>OK</v>
      </c>
    </row>
    <row r="3638" spans="1:4" x14ac:dyDescent="0.2">
      <c r="A3638" s="5">
        <v>3577</v>
      </c>
      <c r="B3638" s="138">
        <f>'Expenditures 15-22'!F348</f>
        <v>594</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594</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594</v>
      </c>
      <c r="C3642" s="2" t="s">
        <v>573</v>
      </c>
      <c r="D3642" s="2" t="str">
        <f t="shared" si="55"/>
        <v>Error?</v>
      </c>
    </row>
    <row r="3643" spans="1:4" x14ac:dyDescent="0.2">
      <c r="A3643" s="5">
        <v>3582</v>
      </c>
      <c r="B3643" s="138">
        <f>'Expenditures 15-22'!F367</f>
        <v>594</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1307</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1307</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1307</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1307</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9054</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10182</v>
      </c>
      <c r="C3725" s="2" t="s">
        <v>573</v>
      </c>
      <c r="D3725" s="2" t="str">
        <f t="shared" si="57"/>
        <v>Error?</v>
      </c>
    </row>
    <row r="3726" spans="1:4" x14ac:dyDescent="0.2">
      <c r="A3726" s="5">
        <v>3665</v>
      </c>
      <c r="B3726" s="138">
        <f>'Tax Sched 23'!D13</f>
        <v>9855</v>
      </c>
      <c r="C3726" s="2" t="s">
        <v>573</v>
      </c>
      <c r="D3726" s="2" t="str">
        <f t="shared" si="57"/>
        <v>Error?</v>
      </c>
    </row>
    <row r="3727" spans="1:4" x14ac:dyDescent="0.2">
      <c r="A3727" s="5">
        <v>3666</v>
      </c>
      <c r="B3727" s="138">
        <f>'Tax Sched 23'!C13</f>
        <v>327</v>
      </c>
      <c r="D3727" s="2" t="str">
        <f t="shared" si="57"/>
        <v>Error?</v>
      </c>
    </row>
    <row r="3728" spans="1:4" x14ac:dyDescent="0.2">
      <c r="A3728" s="5">
        <v>3667</v>
      </c>
      <c r="B3728" s="138">
        <f>'Tax Sched 23'!F13</f>
        <v>23294</v>
      </c>
      <c r="C3728" s="2" t="s">
        <v>573</v>
      </c>
      <c r="D3728" s="2" t="str">
        <f t="shared" si="57"/>
        <v>Error?</v>
      </c>
    </row>
    <row r="3729" spans="1:4" x14ac:dyDescent="0.2">
      <c r="A3729" s="5">
        <v>3668</v>
      </c>
      <c r="B3729" s="138">
        <f>'Tax Sched 23'!E13</f>
        <v>23621</v>
      </c>
      <c r="D3729" s="2" t="str">
        <f t="shared" si="57"/>
        <v>Error?</v>
      </c>
    </row>
    <row r="3730" spans="1:4" x14ac:dyDescent="0.2">
      <c r="A3730" s="5">
        <v>3669</v>
      </c>
      <c r="B3730" s="138">
        <f>'ICR Computation 30'!E10</f>
        <v>68433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1539937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4606104</v>
      </c>
      <c r="C4122" s="2" t="s">
        <v>573</v>
      </c>
      <c r="D4122" s="2" t="str">
        <f t="shared" si="63"/>
        <v>Error?</v>
      </c>
    </row>
    <row r="4123" spans="1:4" x14ac:dyDescent="0.2">
      <c r="A4123" s="5">
        <v>4062</v>
      </c>
      <c r="B4123" s="138">
        <f>'Acct Summary 7-8'!D10</f>
        <v>365504</v>
      </c>
      <c r="C4123" s="2" t="s">
        <v>573</v>
      </c>
      <c r="D4123" s="2" t="str">
        <f t="shared" si="63"/>
        <v>Error?</v>
      </c>
    </row>
    <row r="4124" spans="1:4" x14ac:dyDescent="0.2">
      <c r="A4124" s="5">
        <v>4063</v>
      </c>
      <c r="B4124" s="138">
        <f>'Acct Summary 7-8'!E10</f>
        <v>188509</v>
      </c>
      <c r="C4124" s="2" t="s">
        <v>573</v>
      </c>
      <c r="D4124" s="2" t="str">
        <f t="shared" si="63"/>
        <v>Error?</v>
      </c>
    </row>
    <row r="4125" spans="1:4" x14ac:dyDescent="0.2">
      <c r="A4125" s="5">
        <v>4064</v>
      </c>
      <c r="B4125" s="138">
        <f>'Acct Summary 7-8'!F10</f>
        <v>206281</v>
      </c>
      <c r="C4125" s="2" t="s">
        <v>573</v>
      </c>
      <c r="D4125" s="2" t="str">
        <f t="shared" si="63"/>
        <v>Error?</v>
      </c>
    </row>
    <row r="4126" spans="1:4" x14ac:dyDescent="0.2">
      <c r="A4126" s="5">
        <v>4065</v>
      </c>
      <c r="B4126" s="138">
        <f>'Acct Summary 7-8'!G10</f>
        <v>120828</v>
      </c>
      <c r="C4126" s="2" t="s">
        <v>573</v>
      </c>
      <c r="D4126" s="2" t="str">
        <f t="shared" si="63"/>
        <v>Error?</v>
      </c>
    </row>
    <row r="4127" spans="1:4" x14ac:dyDescent="0.2">
      <c r="A4127" s="5">
        <v>4066</v>
      </c>
      <c r="B4127" s="138">
        <f>'Acct Summary 7-8'!H10</f>
        <v>152287</v>
      </c>
      <c r="C4127" s="2" t="s">
        <v>573</v>
      </c>
      <c r="D4127" s="2" t="str">
        <f t="shared" si="63"/>
        <v>Error?</v>
      </c>
    </row>
    <row r="4128" spans="1:4" x14ac:dyDescent="0.2">
      <c r="A4128" s="5">
        <v>4067</v>
      </c>
      <c r="B4128" s="138">
        <f>'Acct Summary 7-8'!I10</f>
        <v>10281</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10361</v>
      </c>
      <c r="C4130" s="2" t="s">
        <v>573</v>
      </c>
      <c r="D4130" s="2" t="str">
        <f t="shared" si="63"/>
        <v>Error?</v>
      </c>
    </row>
    <row r="4131" spans="1:4" x14ac:dyDescent="0.2">
      <c r="A4131" s="5">
        <v>4070</v>
      </c>
      <c r="B4131" s="138">
        <f>'Acct Summary 7-8'!C18</f>
        <v>1539937</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5182769</v>
      </c>
      <c r="C4136" s="2" t="s">
        <v>573</v>
      </c>
      <c r="D4136" s="2" t="str">
        <f t="shared" si="63"/>
        <v>Error?</v>
      </c>
    </row>
    <row r="4137" spans="1:4" x14ac:dyDescent="0.2">
      <c r="A4137" s="5">
        <v>4076</v>
      </c>
      <c r="B4137" s="138">
        <f>'Acct Summary 7-8'!D19</f>
        <v>425033</v>
      </c>
      <c r="C4137" s="2" t="s">
        <v>573</v>
      </c>
      <c r="D4137" s="2" t="str">
        <f t="shared" si="63"/>
        <v>Error?</v>
      </c>
    </row>
    <row r="4138" spans="1:4" x14ac:dyDescent="0.2">
      <c r="A4138" s="5">
        <v>4077</v>
      </c>
      <c r="B4138" s="138">
        <f>'Acct Summary 7-8'!E19</f>
        <v>416721</v>
      </c>
      <c r="C4138" s="2" t="s">
        <v>573</v>
      </c>
      <c r="D4138" s="2" t="str">
        <f t="shared" si="63"/>
        <v>Error?</v>
      </c>
    </row>
    <row r="4139" spans="1:4" x14ac:dyDescent="0.2">
      <c r="A4139" s="5">
        <v>4078</v>
      </c>
      <c r="B4139" s="138">
        <f>'Acct Summary 7-8'!F19</f>
        <v>342708</v>
      </c>
      <c r="C4139" s="2" t="s">
        <v>573</v>
      </c>
      <c r="D4139" s="2" t="str">
        <f t="shared" si="63"/>
        <v>Error?</v>
      </c>
    </row>
    <row r="4140" spans="1:4" x14ac:dyDescent="0.2">
      <c r="A4140" s="5">
        <v>4079</v>
      </c>
      <c r="B4140" s="138">
        <f>'Acct Summary 7-8'!G19</f>
        <v>200509</v>
      </c>
      <c r="C4140" s="2" t="s">
        <v>573</v>
      </c>
      <c r="D4140" s="2" t="str">
        <f t="shared" si="63"/>
        <v>Error?</v>
      </c>
    </row>
    <row r="4141" spans="1:4" x14ac:dyDescent="0.2">
      <c r="A4141" s="5">
        <v>4080</v>
      </c>
      <c r="B4141" s="138">
        <f>'Acct Summary 7-8'!H19</f>
        <v>143604</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1307</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800000</v>
      </c>
      <c r="C4171" s="2" t="s">
        <v>573</v>
      </c>
      <c r="D4171" s="2" t="str">
        <f t="shared" si="64"/>
        <v>Error?</v>
      </c>
    </row>
    <row r="4172" spans="1:4" x14ac:dyDescent="0.2">
      <c r="A4172" s="5">
        <v>4111</v>
      </c>
      <c r="B4172" s="138">
        <f>'Short-Term Long-Term Debt 24'!J49</f>
        <v>787547</v>
      </c>
      <c r="C4172" s="2" t="s">
        <v>573</v>
      </c>
      <c r="D4172" s="2" t="str">
        <f t="shared" si="64"/>
        <v>Error?</v>
      </c>
    </row>
    <row r="4173" spans="1:4" x14ac:dyDescent="0.2">
      <c r="A4173" s="5">
        <v>4112</v>
      </c>
      <c r="B4173" s="138">
        <f>'Short-Term Long-Term Debt 24'!H49</f>
        <v>380000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3250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3950</v>
      </c>
      <c r="C4268" s="2" t="s">
        <v>573</v>
      </c>
      <c r="D4268" s="2" t="str">
        <f t="shared" si="65"/>
        <v>Error?</v>
      </c>
    </row>
    <row r="4269" spans="1:5" x14ac:dyDescent="0.2">
      <c r="A4269" s="12">
        <v>4208</v>
      </c>
      <c r="B4269" s="138">
        <f>'FP Info 3'!J16</f>
        <v>1173989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4837</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6726</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18736</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38670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6726</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17169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1226</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23268</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47242747</v>
      </c>
      <c r="D4995" s="2" t="str">
        <f t="shared" si="77"/>
        <v>Error?</v>
      </c>
    </row>
    <row r="4996" spans="1:4" x14ac:dyDescent="0.2">
      <c r="A4996" s="12">
        <v>4935</v>
      </c>
      <c r="B4996" s="138">
        <f>'FP Info 3'!H31</f>
        <v>6519499.0860000001</v>
      </c>
      <c r="D4996" s="2" t="str">
        <f t="shared" si="77"/>
        <v>Error?</v>
      </c>
    </row>
    <row r="4997" spans="1:4" x14ac:dyDescent="0.2">
      <c r="A4997" s="12">
        <v>4936</v>
      </c>
      <c r="B4997" s="138">
        <f>'FP Info 3'!H37</f>
        <v>800000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661840</v>
      </c>
      <c r="D5061" s="2" t="str">
        <f t="shared" si="78"/>
        <v>Error?</v>
      </c>
    </row>
    <row r="5062" spans="1:4" x14ac:dyDescent="0.2">
      <c r="A5062" s="10">
        <v>5001</v>
      </c>
      <c r="D5062" s="2" t="str">
        <f t="shared" si="78"/>
        <v>OK</v>
      </c>
    </row>
    <row r="5063" spans="1:4" x14ac:dyDescent="0.2">
      <c r="A5063" s="5">
        <v>5002</v>
      </c>
      <c r="B5063" s="138">
        <f>'Revenues 9-14'!C7</f>
        <v>8146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669986</v>
      </c>
      <c r="C5066" s="2" t="s">
        <v>573</v>
      </c>
      <c r="D5066" s="2" t="str">
        <f t="shared" si="78"/>
        <v>Error?</v>
      </c>
    </row>
    <row r="5067" spans="1:4" x14ac:dyDescent="0.2">
      <c r="A5067" s="5">
        <v>5006</v>
      </c>
      <c r="B5067" s="138">
        <f>'Revenues 9-14'!C14</f>
        <v>1383</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110846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112229</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17739</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17739</v>
      </c>
      <c r="C5087" s="2" t="s">
        <v>573</v>
      </c>
      <c r="D5087" s="2" t="str">
        <f t="shared" si="78"/>
        <v>Error?</v>
      </c>
    </row>
    <row r="5088" spans="1:4" x14ac:dyDescent="0.2">
      <c r="A5088" s="5">
        <v>5027</v>
      </c>
      <c r="B5088" s="138">
        <f>'Revenues 9-14'!C65</f>
        <v>1617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1617</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831</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61899</v>
      </c>
      <c r="C5096" s="2" t="s">
        <v>573</v>
      </c>
      <c r="D5096" s="2" t="str">
        <f t="shared" si="78"/>
        <v>Error?</v>
      </c>
    </row>
    <row r="5097" spans="1:4" x14ac:dyDescent="0.2">
      <c r="A5097" s="5">
        <v>5036</v>
      </c>
      <c r="B5097" s="138">
        <f>'Revenues 9-14'!C77</f>
        <v>4924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3725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8649</v>
      </c>
      <c r="C5102" s="2" t="s">
        <v>573</v>
      </c>
      <c r="D5102" s="2" t="str">
        <f t="shared" si="78"/>
        <v>Error?</v>
      </c>
    </row>
    <row r="5103" spans="1:4" x14ac:dyDescent="0.2">
      <c r="A5103" s="5">
        <v>5042</v>
      </c>
      <c r="B5103" s="138">
        <f>'Revenues 9-14'!C84</f>
        <v>7717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7717</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7985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17117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722</v>
      </c>
      <c r="D5119" s="2" t="str">
        <f t="shared" ref="D5119:D5182" si="79">IF(ISBLANK(B5119),"OK",IF(A5119-B5119=0,"OK","Error?"))</f>
        <v>Error?</v>
      </c>
    </row>
    <row r="5120" spans="1:4" x14ac:dyDescent="0.2">
      <c r="A5120" s="5">
        <v>5059</v>
      </c>
      <c r="B5120" s="138">
        <f>'Revenues 9-14'!C108</f>
        <v>25824</v>
      </c>
      <c r="C5120" s="2" t="s">
        <v>573</v>
      </c>
      <c r="D5120" s="2" t="str">
        <f t="shared" si="79"/>
        <v>Error?</v>
      </c>
    </row>
    <row r="5121" spans="1:4" x14ac:dyDescent="0.2">
      <c r="A5121" s="5">
        <v>5060</v>
      </c>
      <c r="B5121" s="138">
        <f>'Revenues 9-14'!C109</f>
        <v>905660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1666136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1666136</v>
      </c>
      <c r="C5132" s="2" t="s">
        <v>573</v>
      </c>
      <c r="D5132" s="2" t="str">
        <f t="shared" si="79"/>
        <v>Error?</v>
      </c>
    </row>
    <row r="5133" spans="1:4" x14ac:dyDescent="0.2">
      <c r="A5133" s="5">
        <v>5072</v>
      </c>
      <c r="B5133" s="138">
        <f>'Revenues 9-14'!C125</f>
        <v>7236</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24871</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32107</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24755</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38517</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1686</v>
      </c>
      <c r="D5167" s="2" t="str">
        <f t="shared" si="79"/>
        <v>Error?</v>
      </c>
    </row>
    <row r="5168" spans="1:4" x14ac:dyDescent="0.2">
      <c r="A5168" s="5">
        <v>5107</v>
      </c>
      <c r="B5168" s="138">
        <f>'Revenues 9-14'!C148</f>
        <v>5946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93080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172562</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1838698</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23268</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79761</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19267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99028</v>
      </c>
      <c r="C5246" s="2" t="s">
        <v>573</v>
      </c>
      <c r="D5246" s="2" t="str">
        <f t="shared" si="80"/>
        <v>Error?</v>
      </c>
    </row>
    <row r="5247" spans="1:4" x14ac:dyDescent="0.2">
      <c r="A5247" s="5">
        <v>5186</v>
      </c>
      <c r="B5247" s="138">
        <f>'Revenues 9-14'!C200</f>
        <v>113375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118212</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298541</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321809</v>
      </c>
      <c r="C5326" s="2" t="s">
        <v>573</v>
      </c>
      <c r="D5326" s="2" t="str">
        <f t="shared" si="82"/>
        <v>Error?</v>
      </c>
    </row>
    <row r="5327" spans="1:5" x14ac:dyDescent="0.2">
      <c r="A5327" s="5">
        <v>5266</v>
      </c>
      <c r="B5327" s="138">
        <f>'Revenues 9-14'!C268</f>
        <v>3066167</v>
      </c>
      <c r="C5327" s="2" t="s">
        <v>573</v>
      </c>
      <c r="D5327" s="2" t="str">
        <f t="shared" si="82"/>
        <v>Error?</v>
      </c>
    </row>
    <row r="5328" spans="1:5" x14ac:dyDescent="0.2">
      <c r="A5328" s="5">
        <v>5267</v>
      </c>
      <c r="B5328" s="138">
        <f>'Revenues 9-14'!D5</f>
        <v>101824</v>
      </c>
      <c r="D5328" s="2" t="str">
        <f t="shared" si="82"/>
        <v>Error?</v>
      </c>
    </row>
    <row r="5329" spans="1:4" x14ac:dyDescent="0.2">
      <c r="A5329" s="10">
        <v>5268</v>
      </c>
      <c r="D5329" s="2" t="str">
        <f t="shared" si="82"/>
        <v>OK</v>
      </c>
    </row>
    <row r="5330" spans="1:4" x14ac:dyDescent="0.2">
      <c r="A5330" s="5">
        <v>5269</v>
      </c>
      <c r="B5330" s="138">
        <f>'Revenues 9-14'!D6</f>
        <v>10182</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112006</v>
      </c>
      <c r="C5334" s="2" t="s">
        <v>573</v>
      </c>
      <c r="D5334" s="2" t="str">
        <f t="shared" si="82"/>
        <v>Error?</v>
      </c>
    </row>
    <row r="5335" spans="1:4" x14ac:dyDescent="0.2">
      <c r="A5335" s="5">
        <v>5274</v>
      </c>
      <c r="B5335" s="138">
        <f>'Revenues 9-14'!D14</f>
        <v>207</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150000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150207</v>
      </c>
      <c r="C5339" s="2" t="s">
        <v>573</v>
      </c>
      <c r="D5339" s="2" t="str">
        <f t="shared" si="82"/>
        <v>Error?</v>
      </c>
    </row>
    <row r="5340" spans="1:4" x14ac:dyDescent="0.2">
      <c r="A5340" s="5">
        <v>5279</v>
      </c>
      <c r="B5340" s="138">
        <f>'Revenues 9-14'!D65</f>
        <v>1372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1372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346</v>
      </c>
      <c r="D5347" s="2" t="str">
        <f t="shared" si="82"/>
        <v>Error?</v>
      </c>
    </row>
    <row r="5348" spans="1:4" x14ac:dyDescent="0.2">
      <c r="A5348" s="5">
        <v>5287</v>
      </c>
      <c r="B5348" s="138">
        <f>'Revenues 9-14'!D82</f>
        <v>346</v>
      </c>
      <c r="C5348" s="2" t="s">
        <v>573</v>
      </c>
      <c r="D5348" s="2" t="str">
        <f t="shared" si="82"/>
        <v>Error?</v>
      </c>
    </row>
    <row r="5349" spans="1:4" x14ac:dyDescent="0.2">
      <c r="A5349" s="5">
        <v>5288</v>
      </c>
      <c r="B5349" s="138">
        <f>'Revenues 9-14'!D95</f>
        <v>1573</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1573</v>
      </c>
      <c r="C5355" s="2" t="s">
        <v>573</v>
      </c>
      <c r="D5355" s="2" t="str">
        <f t="shared" si="82"/>
        <v>Error?</v>
      </c>
    </row>
    <row r="5356" spans="1:4" x14ac:dyDescent="0.2">
      <c r="A5356" s="5">
        <v>5295</v>
      </c>
      <c r="B5356" s="138">
        <f>'Revenues 9-14'!D109</f>
        <v>265504</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100000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100000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100000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365504</v>
      </c>
      <c r="C5508" s="2" t="s">
        <v>573</v>
      </c>
      <c r="D5508" s="2" t="str">
        <f t="shared" si="85"/>
        <v>Error?</v>
      </c>
    </row>
    <row r="5509" spans="1:4" x14ac:dyDescent="0.2">
      <c r="A5509" s="5">
        <v>5448</v>
      </c>
      <c r="B5509" s="138">
        <f>'Revenues 9-14'!E5</f>
        <v>158124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158124</v>
      </c>
      <c r="C5513" s="2" t="s">
        <v>573</v>
      </c>
      <c r="D5513" s="2" t="str">
        <f t="shared" si="85"/>
        <v>Error?</v>
      </c>
    </row>
    <row r="5514" spans="1:4" x14ac:dyDescent="0.2">
      <c r="A5514" s="5">
        <v>5453</v>
      </c>
      <c r="B5514" s="138">
        <f>'Revenues 9-14'!E14</f>
        <v>322</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322</v>
      </c>
      <c r="C5518" s="2" t="s">
        <v>573</v>
      </c>
      <c r="D5518" s="2" t="str">
        <f t="shared" si="85"/>
        <v>Error?</v>
      </c>
    </row>
    <row r="5519" spans="1:4" x14ac:dyDescent="0.2">
      <c r="A5519" s="5">
        <v>5458</v>
      </c>
      <c r="B5519" s="138">
        <f>'Revenues 9-14'!E65</f>
        <v>63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63</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30000</v>
      </c>
      <c r="C5526" s="2" t="s">
        <v>573</v>
      </c>
      <c r="D5526" s="2" t="str">
        <f t="shared" si="85"/>
        <v>Error?</v>
      </c>
    </row>
    <row r="5527" spans="1:4" x14ac:dyDescent="0.2">
      <c r="A5527" s="5">
        <v>5466</v>
      </c>
      <c r="B5527" s="138">
        <f>'Revenues 9-14'!E109</f>
        <v>188509</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188509</v>
      </c>
      <c r="C5552" s="2" t="s">
        <v>573</v>
      </c>
      <c r="D5552" s="2" t="str">
        <f t="shared" si="85"/>
        <v>Error?</v>
      </c>
    </row>
    <row r="5553" spans="1:4" x14ac:dyDescent="0.2">
      <c r="A5553" s="5">
        <v>5492</v>
      </c>
      <c r="B5553" s="138">
        <f>'Revenues 9-14'!F5</f>
        <v>40729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40729</v>
      </c>
      <c r="C5557" s="2" t="s">
        <v>573</v>
      </c>
      <c r="D5557" s="2" t="str">
        <f t="shared" si="85"/>
        <v>Error?</v>
      </c>
    </row>
    <row r="5558" spans="1:4" x14ac:dyDescent="0.2">
      <c r="A5558" s="5">
        <v>5497</v>
      </c>
      <c r="B5558" s="138">
        <f>'Revenues 9-14'!F14</f>
        <v>83</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83</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117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117</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790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790</v>
      </c>
      <c r="C5587" s="2" t="s">
        <v>573</v>
      </c>
      <c r="D5587" s="2" t="str">
        <f t="shared" si="86"/>
        <v>Error?</v>
      </c>
    </row>
    <row r="5588" spans="1:4" x14ac:dyDescent="0.2">
      <c r="A5588" s="5">
        <v>5527</v>
      </c>
      <c r="B5588" s="138">
        <f>'Revenues 9-14'!F109</f>
        <v>41719</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106876</v>
      </c>
      <c r="D5615" s="2" t="str">
        <f t="shared" si="86"/>
        <v>Error?</v>
      </c>
    </row>
    <row r="5616" spans="1:4" x14ac:dyDescent="0.2">
      <c r="A5616" s="10">
        <v>5555</v>
      </c>
      <c r="D5616" s="2" t="str">
        <f t="shared" si="86"/>
        <v>OK</v>
      </c>
    </row>
    <row r="5617" spans="1:5" x14ac:dyDescent="0.2">
      <c r="A5617" s="5">
        <v>5556</v>
      </c>
      <c r="B5617" s="138">
        <f>'Revenues 9-14'!F153</f>
        <v>57686</v>
      </c>
      <c r="D5617" s="2" t="str">
        <f t="shared" si="86"/>
        <v>Error?</v>
      </c>
    </row>
    <row r="5618" spans="1:5" x14ac:dyDescent="0.2">
      <c r="A5618" s="5">
        <v>5557</v>
      </c>
      <c r="B5618" s="138">
        <f>'Revenues 9-14'!F155</f>
        <v>164562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164562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164562</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206281</v>
      </c>
      <c r="C5720" s="2" t="s">
        <v>573</v>
      </c>
      <c r="D5720" s="2" t="str">
        <f t="shared" si="88"/>
        <v>Error?</v>
      </c>
    </row>
    <row r="5721" spans="1:4" x14ac:dyDescent="0.2">
      <c r="A5721" s="5">
        <v>5660</v>
      </c>
      <c r="B5721" s="138">
        <f>'Revenues 9-14'!G5</f>
        <v>49513</v>
      </c>
      <c r="D5721" s="2" t="str">
        <f t="shared" si="88"/>
        <v>Error?</v>
      </c>
    </row>
    <row r="5722" spans="1:4" x14ac:dyDescent="0.2">
      <c r="A5722" s="5">
        <v>5661</v>
      </c>
      <c r="B5722" s="138">
        <f>'Revenues 9-14'!G7</f>
        <v>0</v>
      </c>
      <c r="D5722" s="2" t="str">
        <f t="shared" si="88"/>
        <v>Error?</v>
      </c>
    </row>
    <row r="5723" spans="1:4" x14ac:dyDescent="0.2">
      <c r="A5723" s="5">
        <v>5662</v>
      </c>
      <c r="B5723" s="138">
        <f>'Revenues 9-14'!G8</f>
        <v>45096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94609</v>
      </c>
      <c r="C5725" s="2" t="s">
        <v>573</v>
      </c>
      <c r="D5725" s="2" t="str">
        <f t="shared" si="88"/>
        <v>Error?</v>
      </c>
    </row>
    <row r="5726" spans="1:4" x14ac:dyDescent="0.2">
      <c r="A5726" s="5">
        <v>5665</v>
      </c>
      <c r="B5726" s="138">
        <f>'Revenues 9-14'!G14</f>
        <v>192</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25900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26092</v>
      </c>
      <c r="C5730" s="2" t="s">
        <v>573</v>
      </c>
      <c r="D5730" s="2" t="str">
        <f t="shared" si="88"/>
        <v>Error?</v>
      </c>
    </row>
    <row r="5731" spans="1:4" x14ac:dyDescent="0.2">
      <c r="A5731" s="5">
        <v>5670</v>
      </c>
      <c r="B5731" s="138">
        <f>'Revenues 9-14'!G65</f>
        <v>127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127</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120828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224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224</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152063</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152287</v>
      </c>
      <c r="C5915" s="2" t="s">
        <v>573</v>
      </c>
      <c r="D5915" s="2" t="str">
        <f t="shared" si="91"/>
        <v>Error?</v>
      </c>
    </row>
    <row r="5916" spans="1:4" x14ac:dyDescent="0.2">
      <c r="A5916" s="5">
        <v>5855</v>
      </c>
      <c r="B5916" s="138">
        <f>'Revenues 9-14'!I5</f>
        <v>10182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10182</v>
      </c>
      <c r="C5918" s="2" t="s">
        <v>573</v>
      </c>
      <c r="D5918" s="2" t="str">
        <f t="shared" si="91"/>
        <v>Error?</v>
      </c>
    </row>
    <row r="5919" spans="1:4" x14ac:dyDescent="0.2">
      <c r="A5919" s="5">
        <v>5858</v>
      </c>
      <c r="B5919" s="138">
        <f>'Revenues 9-14'!I14</f>
        <v>21</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21</v>
      </c>
      <c r="C5923" s="2" t="s">
        <v>573</v>
      </c>
      <c r="D5923" s="2" t="str">
        <f t="shared" si="91"/>
        <v>Error?</v>
      </c>
    </row>
    <row r="5924" spans="1:4" x14ac:dyDescent="0.2">
      <c r="A5924" s="5">
        <v>5863</v>
      </c>
      <c r="B5924" s="138">
        <f>'Revenues 9-14'!I65</f>
        <v>78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78</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10281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10182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10182</v>
      </c>
      <c r="C5987" s="2" t="s">
        <v>573</v>
      </c>
      <c r="D5987" s="2" t="str">
        <f t="shared" si="92"/>
        <v>Error?</v>
      </c>
    </row>
    <row r="5988" spans="1:4" x14ac:dyDescent="0.2">
      <c r="A5988" s="5">
        <v>5927</v>
      </c>
      <c r="B5988" s="138">
        <f>'Revenues 9-14'!K14</f>
        <v>21</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21</v>
      </c>
      <c r="C5992" s="2" t="s">
        <v>573</v>
      </c>
      <c r="D5992" s="2" t="str">
        <f t="shared" si="92"/>
        <v>Error?</v>
      </c>
    </row>
    <row r="5993" spans="1:4" x14ac:dyDescent="0.2">
      <c r="A5993" s="5">
        <v>5932</v>
      </c>
      <c r="B5993" s="138">
        <f>'Revenues 9-14'!K65</f>
        <v>158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158</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10361</v>
      </c>
      <c r="C6023" s="2" t="s">
        <v>573</v>
      </c>
      <c r="D6023" s="2" t="str">
        <f t="shared" si="93"/>
        <v>Error?</v>
      </c>
    </row>
    <row r="6024" spans="1:5" x14ac:dyDescent="0.2">
      <c r="A6024" s="5">
        <v>5963</v>
      </c>
      <c r="B6024" s="138">
        <f>'Revenues 9-14'!G109</f>
        <v>120828</v>
      </c>
      <c r="C6024" s="2" t="s">
        <v>573</v>
      </c>
      <c r="D6024" s="2" t="str">
        <f t="shared" si="93"/>
        <v>Error?</v>
      </c>
    </row>
    <row r="6025" spans="1:5" x14ac:dyDescent="0.2">
      <c r="A6025" s="5">
        <v>5964</v>
      </c>
      <c r="B6025" s="138">
        <f>'Revenues 9-14'!H109</f>
        <v>152287</v>
      </c>
      <c r="C6025" s="2" t="s">
        <v>573</v>
      </c>
      <c r="D6025" s="2" t="str">
        <f t="shared" si="93"/>
        <v>Error?</v>
      </c>
    </row>
    <row r="6026" spans="1:5" x14ac:dyDescent="0.2">
      <c r="A6026" s="5">
        <v>5965</v>
      </c>
      <c r="B6026" s="138">
        <f>'Revenues 9-14'!I109</f>
        <v>10281</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10361</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61068</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14898</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387.3</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45820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45820</v>
      </c>
      <c r="D6215" s="2" t="str">
        <f t="shared" si="96"/>
        <v>Error?</v>
      </c>
      <c r="E6215" s="2" t="s">
        <v>190</v>
      </c>
    </row>
    <row r="6216" spans="1:5" x14ac:dyDescent="0.2">
      <c r="A6216">
        <v>6155</v>
      </c>
      <c r="B6216" s="138">
        <f>'Assets-Liab 5-6'!J41</f>
        <v>45820</v>
      </c>
      <c r="D6216" s="2" t="str">
        <f t="shared" si="96"/>
        <v>Error?</v>
      </c>
      <c r="E6216" s="2" t="s">
        <v>190</v>
      </c>
    </row>
    <row r="6217" spans="1:5" x14ac:dyDescent="0.2">
      <c r="A6217">
        <v>6156</v>
      </c>
      <c r="B6217" s="138">
        <f>'Assets-Liab 5-6'!J4</f>
        <v>45820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78501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78501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78501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153635</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153635</v>
      </c>
      <c r="D6229" s="2" t="str">
        <f t="shared" si="96"/>
        <v>Error?</v>
      </c>
      <c r="E6229" s="2" t="s">
        <v>190</v>
      </c>
    </row>
    <row r="6230" spans="1:5" x14ac:dyDescent="0.2">
      <c r="A6230">
        <v>6169</v>
      </c>
      <c r="B6230" s="138">
        <f>'Acct Summary 7-8'!J20</f>
        <v>-75134</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-75134</v>
      </c>
      <c r="D6263" s="2" t="str">
        <f t="shared" si="96"/>
        <v>Error?</v>
      </c>
      <c r="E6263" s="2" t="s">
        <v>190</v>
      </c>
    </row>
    <row r="6264" spans="1:5" x14ac:dyDescent="0.2">
      <c r="A6264">
        <v>6203</v>
      </c>
      <c r="B6264" s="138">
        <f>'Acct Summary 7-8'!J79</f>
        <v>120954</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45820</v>
      </c>
      <c r="D6266" s="2" t="str">
        <f t="shared" si="96"/>
        <v>Error?</v>
      </c>
      <c r="E6266" s="2" t="s">
        <v>190</v>
      </c>
    </row>
    <row r="6267" spans="1:5" x14ac:dyDescent="0.2">
      <c r="A6267">
        <v>6206</v>
      </c>
      <c r="B6267" s="138">
        <f>'Acct Summary 7-8'!C82</f>
        <v>-576665</v>
      </c>
      <c r="D6267" s="2" t="str">
        <f t="shared" si="96"/>
        <v>Error?</v>
      </c>
      <c r="E6267" s="2" t="s">
        <v>190</v>
      </c>
    </row>
    <row r="6268" spans="1:5" x14ac:dyDescent="0.2">
      <c r="A6268">
        <v>6207</v>
      </c>
      <c r="B6268" s="138">
        <f>'Acct Summary 7-8'!D82</f>
        <v>-88754</v>
      </c>
      <c r="D6268" s="2" t="str">
        <f t="shared" si="96"/>
        <v>Error?</v>
      </c>
      <c r="E6268" s="2" t="s">
        <v>190</v>
      </c>
    </row>
    <row r="6269" spans="1:5" x14ac:dyDescent="0.2">
      <c r="A6269">
        <v>6208</v>
      </c>
      <c r="B6269" s="138">
        <f>'Acct Summary 7-8'!E82</f>
        <v>-198987</v>
      </c>
      <c r="D6269" s="2" t="str">
        <f t="shared" si="96"/>
        <v>Error?</v>
      </c>
      <c r="E6269" s="2" t="s">
        <v>190</v>
      </c>
    </row>
    <row r="6270" spans="1:5" x14ac:dyDescent="0.2">
      <c r="A6270">
        <v>6209</v>
      </c>
      <c r="B6270" s="138">
        <f>'Acct Summary 7-8'!F82</f>
        <v>-136427</v>
      </c>
      <c r="D6270" s="2" t="str">
        <f t="shared" si="96"/>
        <v>Error?</v>
      </c>
      <c r="E6270" s="2" t="s">
        <v>190</v>
      </c>
    </row>
    <row r="6271" spans="1:5" x14ac:dyDescent="0.2">
      <c r="A6271">
        <v>6210</v>
      </c>
      <c r="B6271" s="138">
        <f>'Acct Summary 7-8'!G82</f>
        <v>-79681</v>
      </c>
      <c r="D6271" s="2" t="str">
        <f t="shared" ref="D6271:D6334" si="97">IF(ISBLANK(B6271),"OK",IF(A6271-B6271=0,"OK","Error?"))</f>
        <v>Error?</v>
      </c>
      <c r="E6271" s="2" t="s">
        <v>190</v>
      </c>
    </row>
    <row r="6272" spans="1:5" x14ac:dyDescent="0.2">
      <c r="A6272">
        <v>6211</v>
      </c>
      <c r="B6272" s="138">
        <f>'Acct Summary 7-8'!H82</f>
        <v>8683</v>
      </c>
      <c r="D6272" s="2" t="str">
        <f t="shared" si="97"/>
        <v>Error?</v>
      </c>
      <c r="E6272" s="2" t="s">
        <v>190</v>
      </c>
    </row>
    <row r="6273" spans="1:5" x14ac:dyDescent="0.2">
      <c r="A6273">
        <v>6212</v>
      </c>
      <c r="B6273" s="138">
        <f>'Acct Summary 7-8'!I82</f>
        <v>10281</v>
      </c>
      <c r="D6273" s="2" t="str">
        <f t="shared" si="97"/>
        <v>Error?</v>
      </c>
      <c r="E6273" s="2" t="s">
        <v>190</v>
      </c>
    </row>
    <row r="6274" spans="1:5" x14ac:dyDescent="0.2">
      <c r="A6274">
        <v>6213</v>
      </c>
      <c r="B6274" s="138">
        <f>'Acct Summary 7-8'!J82</f>
        <v>-75134</v>
      </c>
      <c r="D6274" s="2" t="str">
        <f t="shared" si="97"/>
        <v>Error?</v>
      </c>
      <c r="E6274" s="2" t="s">
        <v>190</v>
      </c>
    </row>
    <row r="6275" spans="1:5" x14ac:dyDescent="0.2">
      <c r="A6275">
        <v>6214</v>
      </c>
      <c r="B6275" s="138">
        <f>'Acct Summary 7-8'!K82</f>
        <v>9054</v>
      </c>
      <c r="D6275" s="2" t="str">
        <f t="shared" si="97"/>
        <v>Error?</v>
      </c>
      <c r="E6275" s="2" t="s">
        <v>190</v>
      </c>
    </row>
    <row r="6276" spans="1:5" x14ac:dyDescent="0.2">
      <c r="A6276">
        <v>6215</v>
      </c>
      <c r="B6276" s="138">
        <f>'Acct Summary 7-8'!C83</f>
        <v>-0.59953734989863283</v>
      </c>
      <c r="D6276" s="2" t="str">
        <f t="shared" si="97"/>
        <v>Error?</v>
      </c>
      <c r="E6276" s="2" t="s">
        <v>190</v>
      </c>
    </row>
    <row r="6277" spans="1:5" x14ac:dyDescent="0.2">
      <c r="A6277">
        <v>6216</v>
      </c>
      <c r="B6277" s="138">
        <f>'Acct Summary 7-8'!D83</f>
        <v>-1.1850932008759281</v>
      </c>
      <c r="D6277" s="2" t="str">
        <f t="shared" si="97"/>
        <v>Error?</v>
      </c>
      <c r="E6277" s="2" t="s">
        <v>190</v>
      </c>
    </row>
    <row r="6278" spans="1:5" x14ac:dyDescent="0.2">
      <c r="A6278">
        <v>6217</v>
      </c>
      <c r="B6278" s="138">
        <f>'Acct Summary 7-8'!E83</f>
        <v>-15.979041194892798</v>
      </c>
      <c r="D6278" s="2" t="str">
        <f t="shared" si="97"/>
        <v>Error?</v>
      </c>
      <c r="E6278" s="2" t="s">
        <v>190</v>
      </c>
    </row>
    <row r="6279" spans="1:5" x14ac:dyDescent="0.2">
      <c r="A6279">
        <v>6218</v>
      </c>
      <c r="B6279" s="138">
        <f>'Acct Summary 7-8'!F83</f>
        <v>-2.1167882079131108</v>
      </c>
      <c r="D6279" s="2" t="str">
        <f t="shared" si="97"/>
        <v>Error?</v>
      </c>
      <c r="E6279" s="2" t="s">
        <v>190</v>
      </c>
    </row>
    <row r="6280" spans="1:5" x14ac:dyDescent="0.2">
      <c r="A6280">
        <v>6219</v>
      </c>
      <c r="B6280" s="138">
        <f>'Acct Summary 7-8'!G83</f>
        <v>-0.63887908915971781</v>
      </c>
      <c r="D6280" s="2" t="str">
        <f t="shared" si="97"/>
        <v>Error?</v>
      </c>
      <c r="E6280" s="2" t="s">
        <v>190</v>
      </c>
    </row>
    <row r="6281" spans="1:5" x14ac:dyDescent="0.2">
      <c r="A6281">
        <v>6220</v>
      </c>
      <c r="B6281" s="138">
        <f>'Acct Summary 7-8'!H83</f>
        <v>4.0117353539087047E-2</v>
      </c>
      <c r="D6281" s="2" t="str">
        <f t="shared" si="97"/>
        <v>Error?</v>
      </c>
      <c r="E6281" s="2" t="s">
        <v>190</v>
      </c>
    </row>
    <row r="6282" spans="1:5" x14ac:dyDescent="0.2">
      <c r="A6282">
        <v>6221</v>
      </c>
      <c r="B6282" s="138">
        <f>'Acct Summary 7-8'!I83</f>
        <v>0.14122834732200504</v>
      </c>
      <c r="D6282" s="2" t="str">
        <f t="shared" si="97"/>
        <v>Error?</v>
      </c>
      <c r="E6282" s="2" t="s">
        <v>190</v>
      </c>
    </row>
    <row r="6283" spans="1:5" x14ac:dyDescent="0.2">
      <c r="A6283">
        <v>6222</v>
      </c>
      <c r="B6283" s="138">
        <f>'Acct Summary 7-8'!J83</f>
        <v>-1.6397642950676561</v>
      </c>
      <c r="D6283" s="2" t="str">
        <f t="shared" si="97"/>
        <v>Error?</v>
      </c>
      <c r="E6283" s="2" t="s">
        <v>190</v>
      </c>
    </row>
    <row r="6284" spans="1:5" x14ac:dyDescent="0.2">
      <c r="A6284">
        <v>6223</v>
      </c>
      <c r="B6284" s="138">
        <f>'Acct Summary 7-8'!K83</f>
        <v>7.2990229273483601E-2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78269</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78269</v>
      </c>
      <c r="D6301" s="2" t="str">
        <f t="shared" si="97"/>
        <v>Error?</v>
      </c>
      <c r="E6301" s="2" t="s">
        <v>190</v>
      </c>
    </row>
    <row r="6302" spans="1:5" x14ac:dyDescent="0.2">
      <c r="A6302">
        <v>6241</v>
      </c>
      <c r="B6302" s="138">
        <f>'Revenues 9-14'!J14</f>
        <v>157</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157</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75</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75</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78501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13762</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62253</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88327</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17916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50001</v>
      </c>
      <c r="D6880" s="2" t="str">
        <f t="shared" si="106"/>
        <v>Error?</v>
      </c>
    </row>
    <row r="6881" spans="1:4" x14ac:dyDescent="0.2">
      <c r="A6881">
        <v>6820</v>
      </c>
      <c r="B6881" s="138">
        <f>'Expenditures 15-22'!K22</f>
        <v>50001</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59715</v>
      </c>
      <c r="D6983" s="2" t="str">
        <f t="shared" si="108"/>
        <v>Error?</v>
      </c>
    </row>
    <row r="6984" spans="1:4" x14ac:dyDescent="0.2">
      <c r="A6984">
        <v>6923</v>
      </c>
      <c r="B6984" s="138">
        <f>'Expenditures 15-22'!K86</f>
        <v>59715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59715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153635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78501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4034</v>
      </c>
      <c r="D7073" s="2" t="str">
        <f t="shared" si="109"/>
        <v>Error?</v>
      </c>
    </row>
    <row r="7074" spans="1:4" x14ac:dyDescent="0.2">
      <c r="A7074">
        <v>7013</v>
      </c>
      <c r="B7074" s="138">
        <f>'Expenditures 15-22'!K216</f>
        <v>4034</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36743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36743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46795</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46795</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56151</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2966</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59117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10980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10980</v>
      </c>
      <c r="D7198" s="2" t="str">
        <f t="shared" si="111"/>
        <v>Error?</v>
      </c>
    </row>
    <row r="7199" spans="1:4" x14ac:dyDescent="0.2">
      <c r="A7199">
        <v>7138</v>
      </c>
      <c r="B7199" s="138">
        <f>'Expenditures 15-22'!C330</f>
        <v>56151</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97484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153635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56151</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97484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153635</v>
      </c>
      <c r="D7224" s="2" t="str">
        <f t="shared" si="111"/>
        <v>Error?</v>
      </c>
    </row>
    <row r="7225" spans="1:4" x14ac:dyDescent="0.2">
      <c r="A7225">
        <v>7164</v>
      </c>
      <c r="B7225" s="138">
        <f>'Expenditures 15-22'!K343</f>
        <v>-75134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14295</v>
      </c>
      <c r="D7246" s="2" t="str">
        <f t="shared" si="112"/>
        <v>Error?</v>
      </c>
    </row>
    <row r="7247" spans="1:4" x14ac:dyDescent="0.2">
      <c r="A7247">
        <f t="shared" si="113"/>
        <v>7186</v>
      </c>
      <c r="B7247" s="138">
        <f>'Expenditures 15-22'!E7</f>
        <v>1265</v>
      </c>
      <c r="D7247" s="2" t="str">
        <f t="shared" si="112"/>
        <v>Error?</v>
      </c>
    </row>
    <row r="7248" spans="1:4" x14ac:dyDescent="0.2">
      <c r="A7248">
        <f t="shared" si="113"/>
        <v>7187</v>
      </c>
      <c r="B7248" s="138">
        <f>'Expenditures 15-22'!F7</f>
        <v>6136</v>
      </c>
      <c r="D7248" s="2" t="str">
        <f t="shared" si="112"/>
        <v>Error?</v>
      </c>
    </row>
    <row r="7249" spans="1:4" x14ac:dyDescent="0.2">
      <c r="A7249">
        <f t="shared" si="113"/>
        <v>7188</v>
      </c>
      <c r="B7249" s="138">
        <f>'Expenditures 15-22'!G7</f>
        <v>4378</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16603</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701</v>
      </c>
      <c r="D7265" s="2" t="str">
        <f t="shared" si="112"/>
        <v>Error?</v>
      </c>
    </row>
    <row r="7266" spans="1:5" x14ac:dyDescent="0.2">
      <c r="A7266">
        <f t="shared" si="113"/>
        <v>7205</v>
      </c>
      <c r="B7266" s="138">
        <f>'Expenditures 15-22'!F17</f>
        <v>612</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3800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3800</v>
      </c>
      <c r="D7618" s="2" t="str">
        <f t="shared" si="124"/>
        <v>Error?</v>
      </c>
      <c r="E7618" s="2" t="s">
        <v>19</v>
      </c>
    </row>
    <row r="7619" spans="1:5" x14ac:dyDescent="0.2">
      <c r="A7619">
        <f t="shared" si="123"/>
        <v>7558</v>
      </c>
      <c r="B7619" s="138">
        <f>'Cap Outlay Deprec 26'!H14</f>
        <v>1267</v>
      </c>
      <c r="D7619" s="2" t="str">
        <f t="shared" si="124"/>
        <v>Error?</v>
      </c>
      <c r="E7619" s="2" t="s">
        <v>19</v>
      </c>
    </row>
    <row r="7620" spans="1:5" x14ac:dyDescent="0.2">
      <c r="A7620">
        <f t="shared" si="123"/>
        <v>7559</v>
      </c>
      <c r="B7620" s="138">
        <f>'Cap Outlay Deprec 26'!I14</f>
        <v>1267</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2534</v>
      </c>
      <c r="D7622" s="2" t="str">
        <f t="shared" si="124"/>
        <v>Error?</v>
      </c>
      <c r="E7622" s="2" t="s">
        <v>19</v>
      </c>
    </row>
    <row r="7623" spans="1:5" x14ac:dyDescent="0.2">
      <c r="A7623">
        <f t="shared" si="123"/>
        <v>7562</v>
      </c>
      <c r="B7623" s="138">
        <f>'Cap Outlay Deprec 26'!L14</f>
        <v>1266</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315040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207757</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223</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152063</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152286</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8149</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143603</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30000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143603</v>
      </c>
      <c r="D7730" s="2" t="str">
        <f t="shared" si="126"/>
        <v>Error?</v>
      </c>
      <c r="E7730" s="2" t="s">
        <v>827</v>
      </c>
    </row>
    <row r="7731" spans="1:6" x14ac:dyDescent="0.2">
      <c r="A7731">
        <v>7670</v>
      </c>
      <c r="B7731" s="138">
        <f>'Revenues 9-14'!H103</f>
        <v>152063</v>
      </c>
      <c r="D7731" s="2" t="str">
        <f t="shared" si="126"/>
        <v>Error?</v>
      </c>
      <c r="E7731" s="2" t="s">
        <v>827</v>
      </c>
    </row>
    <row r="7732" spans="1:6" x14ac:dyDescent="0.2">
      <c r="A7732">
        <v>7671</v>
      </c>
      <c r="B7732" s="138">
        <f>'Rest Tax Levies-Tort Im 25'!J24</f>
        <v>216440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216440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59745</v>
      </c>
      <c r="D7797" s="2" t="str">
        <f t="shared" si="127"/>
        <v>Error?</v>
      </c>
      <c r="E7797" s="4" t="s">
        <v>1904</v>
      </c>
    </row>
    <row r="7798" spans="1:5" x14ac:dyDescent="0.2">
      <c r="A7798">
        <v>7737</v>
      </c>
      <c r="B7798" s="138">
        <f>'Contracts Paid in CY 29'!F141</f>
        <v>25000</v>
      </c>
      <c r="D7798" s="2" t="str">
        <f t="shared" si="127"/>
        <v>Error?</v>
      </c>
      <c r="E7798" s="4" t="s">
        <v>1904</v>
      </c>
    </row>
    <row r="7799" spans="1:5" x14ac:dyDescent="0.2">
      <c r="A7799">
        <v>7738</v>
      </c>
      <c r="B7799" s="138">
        <f>'Contracts Paid in CY 29'!G141</f>
        <v>34745</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399" t="s">
        <v>1191</v>
      </c>
      <c r="B2" s="2399"/>
      <c r="C2" s="2399"/>
      <c r="D2" s="2399"/>
      <c r="E2" s="2399"/>
      <c r="F2" s="2399"/>
      <c r="G2" s="2399"/>
      <c r="H2" s="2399"/>
      <c r="I2" s="2399"/>
      <c r="J2" s="2399"/>
      <c r="K2" s="2399"/>
      <c r="L2" s="2399"/>
    </row>
    <row r="3" spans="1:29" ht="13.5" customHeight="1" x14ac:dyDescent="0.2">
      <c r="A3" s="2430" t="s">
        <v>1190</v>
      </c>
      <c r="B3" s="2430"/>
      <c r="C3" s="2430"/>
      <c r="D3" s="2430"/>
      <c r="E3" s="2430"/>
      <c r="F3" s="2430"/>
      <c r="G3" s="2430"/>
      <c r="H3" s="2430"/>
      <c r="I3" s="2430"/>
      <c r="J3" s="2430"/>
      <c r="K3" s="2430"/>
      <c r="L3" s="2430"/>
    </row>
    <row r="4" spans="1:29" ht="13.5" customHeight="1" x14ac:dyDescent="0.2">
      <c r="A4" s="2399" t="s">
        <v>1989</v>
      </c>
      <c r="B4" s="2420"/>
      <c r="C4" s="2420"/>
      <c r="D4" s="2420"/>
      <c r="E4" s="2420"/>
      <c r="F4" s="2420"/>
      <c r="G4" s="2420"/>
      <c r="H4" s="2420"/>
      <c r="I4" s="2420"/>
      <c r="J4" s="2420"/>
      <c r="K4" s="2420"/>
      <c r="L4" s="2420"/>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421" t="str">
        <f>COVER!A17</f>
        <v>CUSD 3 Fulton County</v>
      </c>
      <c r="B7" s="2422"/>
      <c r="C7" s="2422"/>
      <c r="D7" s="2423"/>
      <c r="E7" s="2424">
        <f>COVER!A13</f>
        <v>26029003026</v>
      </c>
      <c r="F7" s="2425"/>
      <c r="G7" s="2431" t="str">
        <f>COVER!T23</f>
        <v>066-005027</v>
      </c>
      <c r="H7" s="2432"/>
      <c r="I7" s="2432"/>
      <c r="J7" s="2432"/>
      <c r="K7" s="2432"/>
      <c r="L7" s="2433"/>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434"/>
      <c r="B9" s="2435"/>
      <c r="C9" s="2435"/>
      <c r="D9" s="2435"/>
      <c r="E9" s="2435"/>
      <c r="F9" s="2436"/>
      <c r="G9" s="2405" t="str">
        <f>COVER!T13</f>
        <v>Gorenz and Associates, Ltd.</v>
      </c>
      <c r="H9" s="2437"/>
      <c r="I9" s="2437"/>
      <c r="J9" s="2437"/>
      <c r="K9" s="2437"/>
      <c r="L9" s="2438"/>
    </row>
    <row r="10" spans="1:29" ht="13.5" customHeight="1" x14ac:dyDescent="0.2">
      <c r="A10" s="2411" t="str">
        <f>COVER!A38</f>
        <v>Angela Simmons</v>
      </c>
      <c r="B10" s="2412"/>
      <c r="C10" s="2412"/>
      <c r="D10" s="2412"/>
      <c r="E10" s="2412"/>
      <c r="F10" s="2413"/>
      <c r="G10" s="2405" t="str">
        <f>COVER!T17</f>
        <v>4200 N Knoxville Ave</v>
      </c>
      <c r="H10" s="2406"/>
      <c r="I10" s="2406"/>
      <c r="J10" s="2406"/>
      <c r="K10" s="2406"/>
      <c r="L10" s="2407"/>
    </row>
    <row r="11" spans="1:29" ht="13.5" customHeight="1" x14ac:dyDescent="0.2">
      <c r="A11" s="1181" t="s">
        <v>1519</v>
      </c>
      <c r="B11" s="1182"/>
      <c r="C11" s="1183"/>
      <c r="D11" s="1188"/>
      <c r="E11" s="1183"/>
      <c r="F11" s="1187"/>
      <c r="G11" s="2405" t="str">
        <f>COVER!T19</f>
        <v>Peoria</v>
      </c>
      <c r="H11" s="2406"/>
      <c r="I11" s="2406"/>
      <c r="J11" s="2406"/>
      <c r="K11" s="2406"/>
      <c r="L11" s="2407"/>
    </row>
    <row r="12" spans="1:29" ht="13.5" customHeight="1" x14ac:dyDescent="0.2">
      <c r="A12" s="2414" t="s">
        <v>1518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1520</v>
      </c>
      <c r="H13" s="2401"/>
      <c r="I13" s="2417" t="str">
        <f>COVER!T25</f>
        <v>jhohulin@gorenzcpa.com</v>
      </c>
      <c r="J13" s="2418"/>
      <c r="K13" s="2418"/>
      <c r="L13" s="2419"/>
    </row>
    <row r="14" spans="1:29" ht="13.5" customHeight="1" x14ac:dyDescent="0.2">
      <c r="A14" s="2405" t="str">
        <f>COVER!A19</f>
        <v>652 East Main Street</v>
      </c>
      <c r="B14" s="2406"/>
      <c r="C14" s="2406"/>
      <c r="D14" s="2406"/>
      <c r="E14" s="2406"/>
      <c r="F14" s="2407"/>
      <c r="G14" s="1192" t="s">
        <v>1185</v>
      </c>
      <c r="H14" s="1190"/>
      <c r="I14" s="1190"/>
      <c r="J14" s="1190"/>
      <c r="K14" s="1190"/>
      <c r="L14" s="1191"/>
    </row>
    <row r="15" spans="1:29" ht="13.5" customHeight="1" x14ac:dyDescent="0.2">
      <c r="A15" s="2405" t="str">
        <f>COVER!A21</f>
        <v>Cuba</v>
      </c>
      <c r="B15" s="2406"/>
      <c r="C15" s="2406"/>
      <c r="D15" s="2406"/>
      <c r="E15" s="2406"/>
      <c r="F15" s="2407"/>
      <c r="G15" s="2402" t="str">
        <f>COVER!T15</f>
        <v>Jason Hohulin, CPA</v>
      </c>
      <c r="H15" s="2403"/>
      <c r="I15" s="2403"/>
      <c r="J15" s="2403"/>
      <c r="K15" s="2403"/>
      <c r="L15" s="2404"/>
    </row>
    <row r="16" spans="1:29" ht="12.2" customHeight="1" x14ac:dyDescent="0.2">
      <c r="A16" s="2427">
        <f>COVER!A25</f>
        <v>61427</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2" t="s">
        <v>1184</v>
      </c>
      <c r="H17" s="1190"/>
      <c r="I17" s="1190"/>
      <c r="J17" s="1190"/>
      <c r="K17" s="1194" t="s">
        <v>1183</v>
      </c>
      <c r="L17" s="1187"/>
      <c r="M17" s="1180"/>
    </row>
    <row r="18" spans="1:13" ht="12.2" customHeight="1" x14ac:dyDescent="0.2">
      <c r="A18" s="2411"/>
      <c r="B18" s="2412"/>
      <c r="C18" s="2412"/>
      <c r="D18" s="2412"/>
      <c r="E18" s="2412"/>
      <c r="F18" s="2413"/>
      <c r="G18" s="2421" t="str">
        <f>COVER!T21</f>
        <v>309-685-7621</v>
      </c>
      <c r="H18" s="2422"/>
      <c r="I18" s="2422"/>
      <c r="J18" s="2422"/>
      <c r="K18" s="2421" t="str">
        <f>COVER!X21</f>
        <v>309-685-4758</v>
      </c>
      <c r="L18" s="2426"/>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1836</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3"/>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43" t="str">
        <f>'Single Audit Cover'!A7</f>
        <v>CUSD 3 Fulton County</v>
      </c>
      <c r="B1" s="2420"/>
      <c r="C1" s="2420"/>
      <c r="D1" s="2420"/>
    </row>
    <row r="2" spans="1:11" s="1209" customFormat="1" ht="12.75" x14ac:dyDescent="0.2">
      <c r="A2" s="2444">
        <f>'Single Audit Cover'!E7</f>
        <v>26029003026</v>
      </c>
      <c r="B2" s="2445"/>
      <c r="C2" s="2445"/>
      <c r="D2" s="2445"/>
    </row>
    <row r="3" spans="1:11" s="1209" customFormat="1" ht="12.75" x14ac:dyDescent="0.2">
      <c r="A3" s="2443" t="s">
        <v>1513</v>
      </c>
      <c r="B3" s="2420"/>
      <c r="C3" s="2420"/>
      <c r="D3" s="2420"/>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1837</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47" t="str">
        <f>'Single Audit Cover'!A7</f>
        <v>CUSD 3 Fulton County</v>
      </c>
      <c r="B1" s="2447"/>
      <c r="C1" s="2447"/>
      <c r="D1" s="2447"/>
      <c r="E1" s="2447"/>
    </row>
    <row r="2" spans="1:5" x14ac:dyDescent="0.2">
      <c r="A2" s="2448">
        <f>'Single Audit Cover'!E7</f>
        <v>26029003026</v>
      </c>
      <c r="B2" s="2448"/>
      <c r="C2" s="2448"/>
      <c r="D2" s="2448"/>
      <c r="E2" s="2448"/>
    </row>
    <row r="3" spans="1:5" ht="4.5" customHeight="1" x14ac:dyDescent="0.2"/>
    <row r="4" spans="1:5" x14ac:dyDescent="0.2">
      <c r="A4" s="2447" t="s">
        <v>1245</v>
      </c>
      <c r="B4" s="2447"/>
      <c r="C4" s="2447"/>
      <c r="D4" s="2447"/>
      <c r="E4" s="2447"/>
    </row>
    <row r="5" spans="1:5" x14ac:dyDescent="0.2">
      <c r="A5" s="2450" t="str">
        <f>'Single Audit Cover'!A4</f>
        <v>Year Ending June 30, 2019</v>
      </c>
      <c r="B5" s="2450"/>
      <c r="C5" s="2450"/>
      <c r="D5" s="2450"/>
      <c r="E5" s="2450"/>
    </row>
    <row r="6" spans="1:5" x14ac:dyDescent="0.2">
      <c r="A6" s="2447" t="s">
        <v>1244</v>
      </c>
      <c r="B6" s="2447"/>
      <c r="C6" s="2447"/>
      <c r="D6" s="2447"/>
      <c r="E6" s="2447"/>
    </row>
    <row r="8" spans="1:5" x14ac:dyDescent="0.2">
      <c r="A8" s="1254" t="s">
        <v>1243</v>
      </c>
    </row>
    <row r="10" spans="1:5" x14ac:dyDescent="0.2">
      <c r="A10" s="1255" t="s">
        <v>1242</v>
      </c>
      <c r="B10" s="1256" t="s">
        <v>1241</v>
      </c>
      <c r="C10" s="1256"/>
      <c r="D10" s="1257">
        <f>SUM('Acct Summary 7-8'!C7:K7)</f>
        <v>321809</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14898</v>
      </c>
    </row>
    <row r="15" spans="1:5" x14ac:dyDescent="0.2">
      <c r="A15" s="1255"/>
      <c r="B15" s="1256"/>
      <c r="C15" s="1256"/>
    </row>
    <row r="16" spans="1:5" x14ac:dyDescent="0.2">
      <c r="A16" s="1255" t="s">
        <v>1844</v>
      </c>
      <c r="B16" s="1256"/>
      <c r="C16" s="1256"/>
    </row>
    <row r="17" spans="1:4" x14ac:dyDescent="0.2">
      <c r="A17" s="1255" t="s">
        <v>2061</v>
      </c>
      <c r="B17" s="1256" t="s">
        <v>1236</v>
      </c>
      <c r="C17" s="1256"/>
      <c r="D17" s="1258">
        <f>-SUM('Revenues 9-14'!C264:D264,'Revenues 9-14'!F264:G264)</f>
        <v>-38670</v>
      </c>
    </row>
    <row r="19" spans="1:4" ht="13.5" thickBot="1" x14ac:dyDescent="0.25">
      <c r="A19" s="1259" t="s">
        <v>1235</v>
      </c>
      <c r="D19" s="1260">
        <f>SUM(D10:D17)</f>
        <v>298037</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49"/>
      <c r="B24" s="2449"/>
      <c r="D24" s="1262"/>
    </row>
    <row r="25" spans="1:4" x14ac:dyDescent="0.2">
      <c r="A25" s="2446"/>
      <c r="B25" s="2446"/>
      <c r="D25" s="1262"/>
    </row>
    <row r="26" spans="1:4" x14ac:dyDescent="0.2">
      <c r="A26" s="2446"/>
      <c r="B26" s="2446"/>
      <c r="D26" s="1262"/>
    </row>
    <row r="27" spans="1:4" x14ac:dyDescent="0.2">
      <c r="A27" s="2446"/>
      <c r="B27" s="2446"/>
      <c r="D27" s="1262"/>
    </row>
    <row r="28" spans="1:4" x14ac:dyDescent="0.2">
      <c r="A28" s="2446"/>
      <c r="B28" s="2446"/>
      <c r="D28" s="1262"/>
    </row>
    <row r="29" spans="1:4" x14ac:dyDescent="0.2">
      <c r="A29" s="2446"/>
      <c r="B29" s="2446"/>
      <c r="D29" s="1262"/>
    </row>
    <row r="30" spans="1:4" x14ac:dyDescent="0.2">
      <c r="A30" s="2446"/>
      <c r="B30" s="2446"/>
      <c r="D30" s="1262"/>
    </row>
    <row r="32" spans="1:4" x14ac:dyDescent="0.2">
      <c r="A32" s="1254" t="s">
        <v>1233</v>
      </c>
      <c r="D32" s="1257">
        <f>SUM(D19:D30)</f>
        <v>298037</v>
      </c>
    </row>
    <row r="33" spans="1:4" x14ac:dyDescent="0.2">
      <c r="D33" s="1263"/>
    </row>
    <row r="34" spans="1:4" x14ac:dyDescent="0.2">
      <c r="A34" s="317" t="s">
        <v>1232</v>
      </c>
    </row>
    <row r="35" spans="1:4" x14ac:dyDescent="0.2">
      <c r="A35" s="317" t="s">
        <v>1231</v>
      </c>
      <c r="B35" s="1252" t="s">
        <v>1230</v>
      </c>
      <c r="D35" s="1264"/>
    </row>
    <row r="37" spans="1:4" x14ac:dyDescent="0.2">
      <c r="A37" s="1254" t="s">
        <v>1229</v>
      </c>
    </row>
    <row r="39" spans="1:4" ht="13.35" customHeight="1" x14ac:dyDescent="0.2">
      <c r="A39" s="1261" t="s">
        <v>1228</v>
      </c>
    </row>
    <row r="40" spans="1:4" x14ac:dyDescent="0.2">
      <c r="A40" s="2446"/>
      <c r="B40" s="2446"/>
      <c r="D40" s="1262"/>
    </row>
    <row r="41" spans="1:4" x14ac:dyDescent="0.2">
      <c r="A41" s="2446"/>
      <c r="B41" s="2446"/>
      <c r="D41" s="1265"/>
    </row>
    <row r="42" spans="1:4" x14ac:dyDescent="0.2">
      <c r="A42" s="2446"/>
      <c r="B42" s="2446"/>
      <c r="D42" s="1265"/>
    </row>
    <row r="43" spans="1:4" x14ac:dyDescent="0.2">
      <c r="A43" s="2446"/>
      <c r="B43" s="2446"/>
      <c r="D43" s="1265"/>
    </row>
    <row r="44" spans="1:4" x14ac:dyDescent="0.2">
      <c r="A44" s="2446"/>
      <c r="B44" s="2446"/>
      <c r="D44" s="1265"/>
    </row>
    <row r="45" spans="1:4" x14ac:dyDescent="0.2">
      <c r="A45" s="2446"/>
      <c r="B45" s="2446"/>
      <c r="D45" s="1265"/>
    </row>
    <row r="47" spans="1:4" x14ac:dyDescent="0.2">
      <c r="B47" s="1266" t="s">
        <v>1227</v>
      </c>
      <c r="C47" s="1266"/>
      <c r="D47" s="1267">
        <f>SUM(D35:D45)</f>
        <v>0</v>
      </c>
    </row>
    <row r="49" spans="2:4" x14ac:dyDescent="0.2">
      <c r="B49" s="1266" t="s">
        <v>1226</v>
      </c>
      <c r="C49" s="1266"/>
      <c r="D49" s="1267">
        <f>D32-D47</f>
        <v>298037</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30" t="str">
        <f>'Single Audit Cover'!A7</f>
        <v>CUSD 3 Fulton County</v>
      </c>
      <c r="C1" s="2451"/>
      <c r="D1" s="2451"/>
      <c r="E1" s="2451"/>
      <c r="F1" s="2451"/>
      <c r="G1" s="2451"/>
      <c r="H1" s="2451"/>
      <c r="I1" s="2451"/>
      <c r="J1" s="2451"/>
      <c r="K1" s="2451"/>
      <c r="L1" s="2451"/>
      <c r="M1" s="2451"/>
    </row>
    <row r="2" spans="2:14" ht="15" x14ac:dyDescent="0.2">
      <c r="B2" s="2452">
        <f>'Single Audit Cover'!E7</f>
        <v>26029003026</v>
      </c>
      <c r="C2" s="2452"/>
      <c r="D2" s="2452"/>
      <c r="E2" s="2452"/>
      <c r="F2" s="2452"/>
      <c r="G2" s="2452"/>
      <c r="H2" s="2452"/>
      <c r="I2" s="2452"/>
      <c r="J2" s="2452"/>
      <c r="K2" s="2452"/>
      <c r="L2" s="2452"/>
      <c r="M2" s="2452"/>
      <c r="N2" s="1296"/>
    </row>
    <row r="3" spans="2:14" ht="15" x14ac:dyDescent="0.2">
      <c r="B3" s="2453" t="s">
        <v>1219</v>
      </c>
      <c r="C3" s="2453"/>
      <c r="D3" s="2453"/>
      <c r="E3" s="2453"/>
      <c r="F3" s="2453"/>
      <c r="G3" s="2453"/>
      <c r="H3" s="2453"/>
      <c r="I3" s="2453"/>
      <c r="J3" s="2453"/>
      <c r="K3" s="2453"/>
      <c r="L3" s="2453"/>
      <c r="M3" s="2453"/>
      <c r="N3" s="1296"/>
    </row>
    <row r="4" spans="2:14" ht="15" x14ac:dyDescent="0.2">
      <c r="B4" s="2454" t="str">
        <f>'Single Audit Cover'!A4</f>
        <v>Year Ending June 30, 2019</v>
      </c>
      <c r="C4" s="2454"/>
      <c r="D4" s="2454"/>
      <c r="E4" s="2454"/>
      <c r="F4" s="2454"/>
      <c r="G4" s="2454"/>
      <c r="H4" s="2454"/>
      <c r="I4" s="2454"/>
      <c r="J4" s="2454"/>
      <c r="K4" s="2454"/>
      <c r="L4" s="2454"/>
      <c r="M4" s="2454"/>
      <c r="N4" s="1296"/>
    </row>
    <row r="6" spans="2:14" x14ac:dyDescent="0.2">
      <c r="B6" s="1297"/>
      <c r="C6" s="1298"/>
      <c r="D6" s="1299" t="s">
        <v>1265</v>
      </c>
      <c r="E6" s="1300" t="s">
        <v>527</v>
      </c>
      <c r="F6" s="1301"/>
      <c r="G6" s="1302" t="s">
        <v>1734</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1839</v>
      </c>
      <c r="I8" s="1313" t="s">
        <v>1262</v>
      </c>
      <c r="J8" s="1312" t="s">
        <v>1990</v>
      </c>
      <c r="K8" s="1313" t="s">
        <v>1261</v>
      </c>
      <c r="L8" s="1314" t="s">
        <v>1257</v>
      </c>
      <c r="M8" s="1315" t="s">
        <v>30</v>
      </c>
    </row>
    <row r="9" spans="2:14" ht="14.25" x14ac:dyDescent="0.2">
      <c r="B9" s="1319" t="s">
        <v>1259</v>
      </c>
      <c r="C9" s="1307" t="s">
        <v>1735</v>
      </c>
      <c r="D9" s="1308" t="s">
        <v>1736</v>
      </c>
      <c r="E9" s="1316" t="s">
        <v>1839</v>
      </c>
      <c r="F9" s="1317" t="s">
        <v>1990</v>
      </c>
      <c r="G9" s="1318" t="s">
        <v>1839</v>
      </c>
      <c r="H9" s="1311" t="s">
        <v>1582</v>
      </c>
      <c r="I9" s="1313" t="s">
        <v>1990</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t="s">
        <v>2071</v>
      </c>
      <c r="C12" s="1335"/>
      <c r="D12" s="1336"/>
      <c r="E12" s="1337"/>
      <c r="F12" s="1337"/>
      <c r="G12" s="1337"/>
      <c r="H12" s="1337"/>
      <c r="I12" s="1337"/>
      <c r="J12" s="1337"/>
      <c r="K12" s="1337"/>
      <c r="L12" s="1334">
        <f t="shared" ref="L12:L27" si="0">+G12+I12+K12</f>
        <v>0</v>
      </c>
      <c r="M12" s="1337"/>
    </row>
    <row r="13" spans="2:14" ht="20.100000000000001" customHeight="1" x14ac:dyDescent="0.2">
      <c r="B13" s="1331"/>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1737</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1840</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1738</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1739</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1741</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64" t="str">
        <f>'Single Audit Cover'!A7</f>
        <v>CUSD 3 Fulton County</v>
      </c>
      <c r="B1" s="2464"/>
      <c r="C1" s="2464"/>
      <c r="D1" s="2464"/>
      <c r="E1" s="2464"/>
      <c r="F1" s="2464"/>
    </row>
    <row r="2" spans="1:7" ht="13.5" customHeight="1" x14ac:dyDescent="0.2">
      <c r="A2" s="2452">
        <f>'Single Audit Cover'!E7</f>
        <v>26029003026</v>
      </c>
      <c r="B2" s="2452"/>
      <c r="C2" s="2452"/>
      <c r="D2" s="2452"/>
      <c r="E2" s="2452"/>
      <c r="F2" s="2452"/>
      <c r="G2" s="1269"/>
    </row>
    <row r="3" spans="1:7" ht="15.75" customHeight="1" x14ac:dyDescent="0.2">
      <c r="A3" s="2465" t="s">
        <v>1271</v>
      </c>
      <c r="B3" s="2465"/>
      <c r="C3" s="2465"/>
      <c r="D3" s="2465"/>
      <c r="E3" s="2465"/>
      <c r="F3" s="2465"/>
    </row>
    <row r="4" spans="1:7" ht="13.5" customHeight="1" x14ac:dyDescent="0.2">
      <c r="A4" s="2466" t="str">
        <f>'Single Audit Cover'!A4</f>
        <v>Year Ending June 30, 2019</v>
      </c>
      <c r="B4" s="2466"/>
      <c r="C4" s="2466"/>
      <c r="D4" s="2466"/>
      <c r="E4" s="2466"/>
      <c r="F4" s="2466"/>
    </row>
    <row r="5" spans="1:7" ht="8.25" customHeight="1" x14ac:dyDescent="0.2">
      <c r="C5" s="317"/>
      <c r="D5" s="317"/>
    </row>
    <row r="6" spans="1:7" ht="13.5" customHeight="1" x14ac:dyDescent="0.2">
      <c r="A6" s="1270" t="s">
        <v>1728</v>
      </c>
      <c r="C6" s="317"/>
      <c r="D6" s="317"/>
    </row>
    <row r="7" spans="1:7" ht="60.95" customHeight="1" x14ac:dyDescent="0.2">
      <c r="A7" s="2463" t="s">
        <v>1729</v>
      </c>
      <c r="B7" s="2463"/>
      <c r="C7" s="2463"/>
      <c r="D7" s="2463"/>
      <c r="E7" s="2463"/>
      <c r="F7" s="2463"/>
    </row>
    <row r="8" spans="1:7" ht="12" customHeight="1" x14ac:dyDescent="0.2">
      <c r="A8" s="1270"/>
      <c r="B8" s="1276"/>
      <c r="C8" s="1276"/>
      <c r="D8" s="1276"/>
    </row>
    <row r="9" spans="1:7" ht="15" customHeight="1" x14ac:dyDescent="0.2">
      <c r="A9" s="1271" t="s">
        <v>1730</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15" customHeight="1" x14ac:dyDescent="0.2">
      <c r="A13" s="2463" t="s">
        <v>1731</v>
      </c>
      <c r="B13" s="2463"/>
      <c r="C13" s="2463"/>
      <c r="D13" s="2463"/>
      <c r="E13" s="2463"/>
      <c r="F13" s="2463"/>
    </row>
    <row r="14" spans="1:7" ht="9.75" customHeight="1" x14ac:dyDescent="0.2">
      <c r="C14" s="1254"/>
      <c r="D14" s="1254"/>
    </row>
    <row r="15" spans="1:7" ht="13.5" customHeight="1" x14ac:dyDescent="0.2">
      <c r="C15" s="1843" t="s">
        <v>1270</v>
      </c>
      <c r="D15" s="2461" t="s">
        <v>1269</v>
      </c>
      <c r="E15" s="2461"/>
      <c r="F15" s="2461"/>
    </row>
    <row r="16" spans="1:7" ht="13.5" customHeight="1" x14ac:dyDescent="0.2">
      <c r="A16" s="1276"/>
      <c r="B16" s="1270" t="s">
        <v>1268</v>
      </c>
      <c r="C16" s="1843" t="s">
        <v>1267</v>
      </c>
      <c r="D16" s="2462" t="s">
        <v>1588</v>
      </c>
      <c r="E16" s="2462"/>
      <c r="F16" s="2462"/>
    </row>
    <row r="17" spans="1:6" ht="20.45" customHeight="1" x14ac:dyDescent="0.2">
      <c r="A17" s="1277"/>
      <c r="B17" s="1278"/>
      <c r="C17" s="1279"/>
      <c r="D17" s="2456"/>
      <c r="E17" s="2456"/>
      <c r="F17" s="2456"/>
    </row>
    <row r="18" spans="1:6" ht="20.65" customHeight="1" x14ac:dyDescent="0.2">
      <c r="A18" s="1277"/>
      <c r="B18" s="1278"/>
      <c r="C18" s="1279"/>
      <c r="D18" s="2456"/>
      <c r="E18" s="2456"/>
      <c r="F18" s="2456"/>
    </row>
    <row r="19" spans="1:6" ht="20.65" customHeight="1" x14ac:dyDescent="0.2">
      <c r="A19" s="1277"/>
      <c r="B19" s="1278"/>
      <c r="C19" s="1279"/>
      <c r="D19" s="2456"/>
      <c r="E19" s="2456"/>
      <c r="F19" s="2456"/>
    </row>
    <row r="20" spans="1:6" ht="20.65" customHeight="1" x14ac:dyDescent="0.2">
      <c r="A20" s="1277"/>
      <c r="B20" s="1278"/>
      <c r="C20" s="1279"/>
      <c r="D20" s="2456"/>
      <c r="E20" s="2456"/>
      <c r="F20" s="2456"/>
    </row>
    <row r="21" spans="1:6" ht="20.65" customHeight="1" x14ac:dyDescent="0.2">
      <c r="A21" s="1277"/>
      <c r="B21" s="1278"/>
      <c r="C21" s="1279"/>
      <c r="D21" s="2456"/>
      <c r="E21" s="2456"/>
      <c r="F21" s="2456"/>
    </row>
    <row r="22" spans="1:6" ht="20.65" customHeight="1" x14ac:dyDescent="0.2">
      <c r="A22" s="1277"/>
      <c r="B22" s="1278"/>
      <c r="C22" s="1279"/>
      <c r="D22" s="2456"/>
      <c r="E22" s="2456"/>
      <c r="F22" s="2456"/>
    </row>
    <row r="23" spans="1:6" ht="20.65" customHeight="1" x14ac:dyDescent="0.2">
      <c r="A23" s="1277"/>
      <c r="B23" s="1278"/>
      <c r="C23" s="1279"/>
      <c r="D23" s="2456"/>
      <c r="E23" s="2456"/>
      <c r="F23" s="2456"/>
    </row>
    <row r="24" spans="1:6" ht="20.65" customHeight="1" x14ac:dyDescent="0.2">
      <c r="A24" s="1277"/>
      <c r="B24" s="1278"/>
      <c r="C24" s="1279"/>
      <c r="D24" s="2456"/>
      <c r="E24" s="2456"/>
      <c r="F24" s="2456"/>
    </row>
    <row r="25" spans="1:6" ht="20.65" customHeight="1" x14ac:dyDescent="0.2">
      <c r="A25" s="1277"/>
      <c r="B25" s="1278"/>
      <c r="C25" s="1279"/>
      <c r="D25" s="2456"/>
      <c r="E25" s="2456"/>
      <c r="F25" s="2456"/>
    </row>
    <row r="26" spans="1:6" ht="20.65" customHeight="1" x14ac:dyDescent="0.2">
      <c r="A26" s="1277"/>
      <c r="B26" s="1278"/>
      <c r="C26" s="1279"/>
      <c r="D26" s="2456"/>
      <c r="E26" s="2456"/>
      <c r="F26" s="2456"/>
    </row>
    <row r="27" spans="1:6" ht="20.65" customHeight="1" x14ac:dyDescent="0.2">
      <c r="A27" s="1277"/>
      <c r="B27" s="1278"/>
      <c r="C27" s="1279"/>
      <c r="D27" s="2456"/>
      <c r="E27" s="2456"/>
      <c r="F27" s="2456"/>
    </row>
    <row r="28" spans="1:6" ht="20.65" customHeight="1" x14ac:dyDescent="0.2">
      <c r="A28" s="1277"/>
      <c r="B28" s="1278"/>
      <c r="C28" s="1279"/>
      <c r="D28" s="2456"/>
      <c r="E28" s="2456"/>
      <c r="F28" s="2456"/>
    </row>
    <row r="29" spans="1:6" ht="20.65" customHeight="1" x14ac:dyDescent="0.2">
      <c r="A29" s="1277"/>
      <c r="B29" s="1278"/>
      <c r="C29" s="1279"/>
      <c r="D29" s="2456"/>
      <c r="E29" s="2456"/>
      <c r="F29" s="2456"/>
    </row>
    <row r="30" spans="1:6" ht="12" customHeight="1" x14ac:dyDescent="0.2">
      <c r="A30" s="328"/>
      <c r="B30" s="328"/>
      <c r="C30" s="1459"/>
      <c r="D30" s="1900"/>
      <c r="E30" s="1280"/>
    </row>
    <row r="31" spans="1:6" ht="12" customHeight="1" x14ac:dyDescent="0.2">
      <c r="A31" s="1281" t="s">
        <v>1549</v>
      </c>
      <c r="B31" s="328"/>
      <c r="C31" s="1459"/>
      <c r="D31" s="1900"/>
      <c r="E31" s="1280"/>
    </row>
    <row r="32" spans="1:6" ht="30" customHeight="1" x14ac:dyDescent="0.2">
      <c r="A32" s="2457" t="s">
        <v>1732</v>
      </c>
      <c r="B32" s="2457"/>
      <c r="C32" s="2457"/>
      <c r="D32" s="2457"/>
      <c r="E32" s="2457"/>
      <c r="F32" s="2457"/>
    </row>
    <row r="33" spans="1:6" ht="13.5" customHeight="1" x14ac:dyDescent="0.2">
      <c r="A33" s="328" t="s">
        <v>1434</v>
      </c>
      <c r="B33" s="328"/>
      <c r="C33" s="1282">
        <v>0</v>
      </c>
      <c r="D33" s="1900"/>
      <c r="E33" s="1280"/>
    </row>
    <row r="34" spans="1:6" ht="13.5" customHeight="1" x14ac:dyDescent="0.2">
      <c r="A34" s="328" t="s">
        <v>1838</v>
      </c>
      <c r="B34" s="328"/>
      <c r="C34" s="1283">
        <v>0</v>
      </c>
      <c r="D34" s="1900" t="s">
        <v>1589</v>
      </c>
      <c r="E34" s="2458">
        <f>+C33+C34</f>
        <v>0</v>
      </c>
      <c r="F34" s="2459"/>
    </row>
    <row r="35" spans="1:6" ht="12" customHeight="1" x14ac:dyDescent="0.2">
      <c r="A35" s="328"/>
      <c r="B35" s="328"/>
      <c r="C35" s="1901"/>
      <c r="D35" s="1900"/>
      <c r="E35" s="1284"/>
      <c r="F35" s="1285"/>
    </row>
    <row r="36" spans="1:6" ht="13.5" customHeight="1" x14ac:dyDescent="0.2">
      <c r="A36" s="1281" t="s">
        <v>1550</v>
      </c>
      <c r="B36" s="328"/>
      <c r="C36" s="1459"/>
      <c r="D36" s="1900"/>
      <c r="E36" s="1280"/>
    </row>
    <row r="37" spans="1:6" ht="14.25" customHeight="1" x14ac:dyDescent="0.2">
      <c r="A37" s="328" t="s">
        <v>1484</v>
      </c>
      <c r="B37" s="328"/>
      <c r="C37" s="1902"/>
      <c r="D37" s="1900"/>
      <c r="E37" s="1280"/>
    </row>
    <row r="38" spans="1:6" ht="14.25" customHeight="1" x14ac:dyDescent="0.2">
      <c r="A38" s="328"/>
      <c r="B38" s="328" t="s">
        <v>1435</v>
      </c>
      <c r="C38" s="1286"/>
      <c r="D38" s="1900"/>
      <c r="E38" s="1280"/>
    </row>
    <row r="39" spans="1:6" ht="14.25" customHeight="1" x14ac:dyDescent="0.2">
      <c r="A39" s="328"/>
      <c r="B39" s="328" t="s">
        <v>1436</v>
      </c>
      <c r="C39" s="1286"/>
      <c r="D39" s="1900"/>
      <c r="E39" s="1280"/>
    </row>
    <row r="40" spans="1:6" ht="14.25" customHeight="1" x14ac:dyDescent="0.2">
      <c r="A40" s="328"/>
      <c r="B40" s="328" t="s">
        <v>1437</v>
      </c>
      <c r="C40" s="1286"/>
      <c r="D40" s="1900"/>
      <c r="E40" s="1280"/>
    </row>
    <row r="41" spans="1:6" ht="14.25" customHeight="1" x14ac:dyDescent="0.2">
      <c r="A41" s="328"/>
      <c r="B41" s="328" t="s">
        <v>1438</v>
      </c>
      <c r="C41" s="1286"/>
      <c r="D41" s="1900"/>
      <c r="E41" s="1280"/>
    </row>
    <row r="42" spans="1:6" ht="14.25" customHeight="1" x14ac:dyDescent="0.2">
      <c r="A42" s="328" t="s">
        <v>1439</v>
      </c>
      <c r="B42" s="328"/>
      <c r="C42" s="1898"/>
      <c r="D42" s="1900"/>
      <c r="E42" s="1280"/>
    </row>
    <row r="43" spans="1:6" ht="14.25" customHeight="1" x14ac:dyDescent="0.2">
      <c r="A43" s="328" t="s">
        <v>1440</v>
      </c>
      <c r="B43" s="328"/>
      <c r="C43" s="1287"/>
      <c r="D43" s="1900"/>
      <c r="E43" s="1280"/>
    </row>
    <row r="44" spans="1:6" ht="14.25" customHeight="1" x14ac:dyDescent="0.2">
      <c r="A44" s="328"/>
      <c r="B44" s="328"/>
      <c r="C44" s="1902" t="s">
        <v>1441</v>
      </c>
      <c r="D44" s="1900"/>
      <c r="E44" s="1280"/>
    </row>
    <row r="45" spans="1:6" ht="13.5" customHeight="1" x14ac:dyDescent="0.2">
      <c r="B45" s="322"/>
      <c r="C45" s="1288"/>
      <c r="D45" s="1288"/>
    </row>
    <row r="46" spans="1:6" x14ac:dyDescent="0.2">
      <c r="A46" s="1289" t="s">
        <v>1733</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60" t="s">
        <v>1590</v>
      </c>
      <c r="C49" s="2460"/>
      <c r="D49" s="2460"/>
      <c r="E49" s="1393"/>
    </row>
    <row r="50" spans="1:5" s="1294" customFormat="1" ht="3.75" customHeight="1" x14ac:dyDescent="0.2">
      <c r="A50" s="1293"/>
      <c r="B50" s="1842"/>
      <c r="C50" s="1842"/>
      <c r="D50" s="1842"/>
      <c r="E50" s="1393"/>
    </row>
    <row r="51" spans="1:5" s="1294" customFormat="1" ht="20.25" customHeight="1" x14ac:dyDescent="0.2">
      <c r="A51" s="1295">
        <v>6</v>
      </c>
      <c r="B51" s="2455" t="s">
        <v>1551</v>
      </c>
      <c r="C51" s="2455"/>
      <c r="D51" s="2455"/>
    </row>
    <row r="52" spans="1:5" ht="14.25" customHeight="1" x14ac:dyDescent="0.2">
      <c r="A52" s="1295"/>
      <c r="B52" s="2455"/>
      <c r="C52" s="2455"/>
      <c r="D52" s="2455"/>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1168</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6" t="s">
        <v>1633</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6" t="s">
        <v>313</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2070</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1323</v>
      </c>
      <c r="B70" s="2089"/>
      <c r="C70" s="2089"/>
      <c r="D70" s="2089"/>
      <c r="E70" s="2090"/>
      <c r="F70" s="2090"/>
      <c r="G70" s="2090"/>
      <c r="H70" s="2090"/>
      <c r="I70" s="209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1320</v>
      </c>
      <c r="B83" s="2091"/>
      <c r="C83" s="2091"/>
      <c r="D83" s="209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3" t="s">
        <v>2118</v>
      </c>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2072</v>
      </c>
      <c r="D114" s="208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1330</v>
      </c>
      <c r="D117" s="2084"/>
      <c r="E117" s="2085"/>
      <c r="F117" s="2085"/>
      <c r="G117" s="2085"/>
      <c r="H117" s="2085"/>
      <c r="I117" s="304"/>
    </row>
    <row r="118" spans="1:9" s="181" customFormat="1" ht="24" customHeight="1" x14ac:dyDescent="0.2">
      <c r="A118" s="316"/>
      <c r="B118" s="316"/>
      <c r="C118" s="316"/>
      <c r="D118" s="323" t="s">
        <v>2130</v>
      </c>
      <c r="E118" s="322"/>
      <c r="F118" s="324"/>
      <c r="G118" s="1837"/>
      <c r="H118" s="322"/>
      <c r="I118" s="304"/>
    </row>
    <row r="119" spans="1:9" s="181" customFormat="1" ht="11.25" customHeight="1" x14ac:dyDescent="0.2">
      <c r="A119" s="325"/>
      <c r="B119" s="325"/>
      <c r="C119" s="326"/>
      <c r="D119" s="327" t="s">
        <v>361</v>
      </c>
      <c r="E119" s="310"/>
      <c r="F119" s="1836" t="s">
        <v>1906</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CUSD 3 Fulton County</v>
      </c>
      <c r="C1" s="2479"/>
      <c r="D1" s="2479"/>
      <c r="E1" s="2479"/>
      <c r="F1" s="2479"/>
      <c r="G1" s="2479"/>
      <c r="H1" s="2479"/>
      <c r="I1" s="2479"/>
      <c r="J1" s="1403"/>
    </row>
    <row r="2" spans="2:10" s="317" customFormat="1" ht="12.75" customHeight="1" x14ac:dyDescent="0.2">
      <c r="B2" s="2480">
        <f>'Single Audit Cover'!E7</f>
        <v>26029003026</v>
      </c>
      <c r="C2" s="2481"/>
      <c r="D2" s="2481"/>
      <c r="E2" s="2481"/>
      <c r="F2" s="2481"/>
      <c r="G2" s="2481"/>
      <c r="H2" s="2481"/>
      <c r="I2" s="2481"/>
      <c r="J2" s="1403"/>
    </row>
    <row r="3" spans="2:10" s="317" customFormat="1" ht="12.75" customHeight="1" x14ac:dyDescent="0.2">
      <c r="B3" s="2482" t="s">
        <v>1285</v>
      </c>
      <c r="C3" s="2483"/>
      <c r="D3" s="2483"/>
      <c r="E3" s="2483"/>
      <c r="F3" s="2483"/>
      <c r="G3" s="2483"/>
      <c r="H3" s="2483"/>
      <c r="I3" s="2483"/>
      <c r="J3" s="1404"/>
    </row>
    <row r="4" spans="2:10" s="317" customFormat="1" ht="12.75" customHeight="1" x14ac:dyDescent="0.2">
      <c r="B4" s="2482" t="str">
        <f>'Single Audit Cover'!A4</f>
        <v>Year Ending June 30, 2019</v>
      </c>
      <c r="C4" s="2483"/>
      <c r="D4" s="2483"/>
      <c r="E4" s="2483"/>
      <c r="F4" s="2483"/>
      <c r="G4" s="2483"/>
      <c r="H4" s="2483"/>
      <c r="I4" s="2483"/>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82" t="s">
        <v>1284</v>
      </c>
      <c r="C7" s="2483"/>
      <c r="D7" s="2483"/>
      <c r="E7" s="2483"/>
      <c r="F7" s="2483"/>
      <c r="G7" s="2483"/>
      <c r="H7" s="2483"/>
      <c r="I7" s="2483"/>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484"/>
      <c r="D11" s="2484"/>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c r="H27" s="1294" t="s">
        <v>1276</v>
      </c>
      <c r="I27" s="1294"/>
    </row>
    <row r="28" spans="2:9" s="317" customFormat="1" ht="12.75" customHeight="1" x14ac:dyDescent="0.2">
      <c r="B28" s="1362"/>
      <c r="C28" s="1276"/>
      <c r="E28" s="1252"/>
    </row>
    <row r="29" spans="2:9" s="317" customFormat="1" ht="12.75" customHeight="1" x14ac:dyDescent="0.2">
      <c r="B29" s="1362" t="s">
        <v>1275</v>
      </c>
      <c r="C29" s="1276"/>
      <c r="D29" s="2485"/>
      <c r="E29" s="2485"/>
      <c r="F29" s="2485"/>
      <c r="G29" s="2485"/>
      <c r="H29" s="2485"/>
      <c r="I29" s="2485"/>
    </row>
    <row r="30" spans="2:9" s="317" customFormat="1" x14ac:dyDescent="0.2">
      <c r="B30" s="1362"/>
      <c r="C30" s="322"/>
      <c r="D30" s="1414" t="s">
        <v>1748</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c r="H33" s="1294" t="s">
        <v>99</v>
      </c>
    </row>
    <row r="35" spans="2:9" x14ac:dyDescent="0.2">
      <c r="B35" s="1422" t="s">
        <v>1749</v>
      </c>
      <c r="C35" s="1423"/>
      <c r="D35" s="1261"/>
    </row>
    <row r="36" spans="2:9" ht="6" customHeight="1" x14ac:dyDescent="0.2">
      <c r="B36" s="1422"/>
      <c r="C36" s="1423"/>
      <c r="D36" s="1261"/>
    </row>
    <row r="37" spans="2:9" ht="17.25" customHeight="1" x14ac:dyDescent="0.2">
      <c r="B37" s="1424" t="s">
        <v>1750</v>
      </c>
      <c r="C37" s="2486" t="s">
        <v>1751</v>
      </c>
      <c r="D37" s="2487"/>
      <c r="E37" s="2487"/>
      <c r="F37" s="2488"/>
      <c r="G37" s="2486" t="s">
        <v>1592</v>
      </c>
      <c r="H37" s="2487"/>
      <c r="I37" s="2488"/>
    </row>
    <row r="38" spans="2:9" ht="16.5" customHeight="1" x14ac:dyDescent="0.2">
      <c r="B38" s="1425"/>
      <c r="C38" s="2474"/>
      <c r="D38" s="2475"/>
      <c r="E38" s="2475"/>
      <c r="F38" s="2476"/>
      <c r="G38" s="2489"/>
      <c r="H38" s="2490"/>
      <c r="I38" s="2491"/>
    </row>
    <row r="39" spans="2:9" ht="16.5" customHeight="1" x14ac:dyDescent="0.2">
      <c r="B39" s="1425"/>
      <c r="C39" s="2474"/>
      <c r="D39" s="2475"/>
      <c r="E39" s="2475"/>
      <c r="F39" s="2476"/>
      <c r="G39" s="2477"/>
      <c r="H39" s="2477"/>
      <c r="I39" s="2477"/>
    </row>
    <row r="40" spans="2:9" ht="16.5" customHeight="1" x14ac:dyDescent="0.2">
      <c r="B40" s="1425"/>
      <c r="C40" s="2474"/>
      <c r="D40" s="2475"/>
      <c r="E40" s="2475"/>
      <c r="F40" s="2476"/>
      <c r="G40" s="2477"/>
      <c r="H40" s="2477"/>
      <c r="I40" s="2477"/>
    </row>
    <row r="41" spans="2:9" ht="16.5" customHeight="1" x14ac:dyDescent="0.2">
      <c r="B41" s="1425"/>
      <c r="C41" s="2474"/>
      <c r="D41" s="2475"/>
      <c r="E41" s="2475"/>
      <c r="F41" s="2476"/>
      <c r="G41" s="2477"/>
      <c r="H41" s="2477"/>
      <c r="I41" s="2477"/>
    </row>
    <row r="42" spans="2:9" ht="16.5" customHeight="1" x14ac:dyDescent="0.2">
      <c r="B42" s="1425"/>
      <c r="C42" s="2474"/>
      <c r="D42" s="2475"/>
      <c r="E42" s="2475"/>
      <c r="F42" s="2476"/>
      <c r="G42" s="2477"/>
      <c r="H42" s="2477"/>
      <c r="I42" s="2477"/>
    </row>
    <row r="43" spans="2:9" ht="16.5" customHeight="1" x14ac:dyDescent="0.2">
      <c r="B43" s="1425"/>
      <c r="C43" s="2467" t="s">
        <v>1593</v>
      </c>
      <c r="D43" s="2468"/>
      <c r="E43" s="2468"/>
      <c r="F43" s="2469"/>
      <c r="G43" s="2470">
        <f>SUM(G38:I42)</f>
        <v>0</v>
      </c>
      <c r="H43" s="2470"/>
      <c r="I43" s="2470"/>
    </row>
    <row r="44" spans="2:9" ht="12.75" customHeight="1" x14ac:dyDescent="0.2"/>
    <row r="45" spans="2:9" ht="12.75" customHeight="1" x14ac:dyDescent="0.2">
      <c r="B45" s="1416" t="s">
        <v>1841</v>
      </c>
      <c r="D45" s="2471">
        <v>0</v>
      </c>
      <c r="E45" s="2472"/>
    </row>
    <row r="46" spans="2:9" ht="5.25" customHeight="1" x14ac:dyDescent="0.2">
      <c r="B46" s="1426"/>
      <c r="D46" s="1427"/>
      <c r="E46" s="1428"/>
    </row>
    <row r="47" spans="2:9" ht="12.75" customHeight="1" x14ac:dyDescent="0.2">
      <c r="B47" s="1294" t="s">
        <v>1594</v>
      </c>
      <c r="C47" s="1294"/>
      <c r="D47" s="1429" t="e">
        <f>+G43/D45</f>
        <v>#DIV/0!</v>
      </c>
      <c r="E47" s="1430"/>
      <c r="F47" s="1431"/>
      <c r="I47" s="1432"/>
    </row>
    <row r="48" spans="2:9" ht="9.9499999999999993" customHeight="1" x14ac:dyDescent="0.2"/>
    <row r="49" spans="1:9" x14ac:dyDescent="0.2">
      <c r="B49" s="1362" t="s">
        <v>1273</v>
      </c>
      <c r="C49" s="1276"/>
      <c r="D49" s="1276"/>
      <c r="E49" s="2473"/>
      <c r="F49" s="2473"/>
      <c r="G49" s="2473"/>
      <c r="H49" s="322"/>
    </row>
    <row r="51" spans="1:9" ht="13.5" customHeight="1" x14ac:dyDescent="0.2">
      <c r="B51" s="1362" t="s">
        <v>1272</v>
      </c>
      <c r="C51" s="1276"/>
      <c r="E51" s="1419"/>
      <c r="F51" s="1294" t="s">
        <v>885</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1752</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1753</v>
      </c>
      <c r="C58" s="1445"/>
      <c r="D58" s="1445"/>
    </row>
    <row r="59" spans="1:9" s="1442" customFormat="1" ht="3.95" customHeight="1" x14ac:dyDescent="0.2">
      <c r="A59" s="1439"/>
      <c r="B59" s="1444"/>
      <c r="C59" s="1445"/>
      <c r="D59" s="1445"/>
    </row>
    <row r="60" spans="1:9" s="1442" customFormat="1" ht="13.5" customHeight="1" x14ac:dyDescent="0.2">
      <c r="A60" s="1439"/>
      <c r="B60" s="1444" t="s">
        <v>1754</v>
      </c>
      <c r="C60" s="1445"/>
      <c r="D60" s="1445"/>
    </row>
    <row r="61" spans="1:9" s="1442" customFormat="1" ht="3.95" customHeight="1" x14ac:dyDescent="0.2">
      <c r="A61" s="1439"/>
      <c r="B61" s="1444"/>
      <c r="C61" s="1445"/>
      <c r="D61" s="1445"/>
    </row>
    <row r="62" spans="1:9" s="1442" customFormat="1" ht="12.75" customHeight="1" x14ac:dyDescent="0.2">
      <c r="A62" s="1439"/>
      <c r="B62" s="1444" t="s">
        <v>1755</v>
      </c>
      <c r="C62" s="1445"/>
      <c r="D62" s="1445"/>
    </row>
    <row r="63" spans="1:9" s="1442" customFormat="1" ht="13.5" customHeight="1" x14ac:dyDescent="0.2">
      <c r="A63" s="1439"/>
      <c r="B63" s="1443" t="s">
        <v>1597</v>
      </c>
      <c r="C63" s="1439"/>
      <c r="D63" s="1439"/>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CUSD 3 Fulton County</v>
      </c>
      <c r="C1" s="2478"/>
      <c r="D1" s="2478"/>
      <c r="E1" s="2478"/>
      <c r="F1" s="2478"/>
      <c r="G1" s="2478"/>
      <c r="H1" s="2478"/>
      <c r="I1" s="2478"/>
      <c r="J1" s="2478"/>
      <c r="K1" s="2478"/>
      <c r="L1" s="1368"/>
      <c r="M1" s="1368"/>
    </row>
    <row r="2" spans="1:13" ht="12" customHeight="1" x14ac:dyDescent="0.2">
      <c r="B2" s="2480">
        <f>'Single Audit Cover'!E7</f>
        <v>26029003026</v>
      </c>
      <c r="C2" s="2480"/>
      <c r="D2" s="2480"/>
      <c r="E2" s="2480"/>
      <c r="F2" s="2480"/>
      <c r="G2" s="2480"/>
      <c r="H2" s="2480"/>
      <c r="I2" s="2480"/>
      <c r="J2" s="2480"/>
      <c r="K2" s="2480"/>
      <c r="L2" s="1369"/>
      <c r="M2" s="1370"/>
    </row>
    <row r="3" spans="1:13" ht="10.35" customHeight="1" x14ac:dyDescent="0.2">
      <c r="B3" s="2494" t="s">
        <v>1285</v>
      </c>
      <c r="C3" s="2494"/>
      <c r="D3" s="2494"/>
      <c r="E3" s="2494"/>
      <c r="F3" s="2494"/>
      <c r="G3" s="2494"/>
      <c r="H3" s="2494"/>
      <c r="I3" s="2494"/>
      <c r="J3" s="2494"/>
      <c r="K3" s="2494"/>
      <c r="L3" s="1371"/>
      <c r="M3" s="1371"/>
    </row>
    <row r="4" spans="1:13" ht="14.25" customHeight="1" x14ac:dyDescent="0.2">
      <c r="B4" s="2495" t="str">
        <f>'Single Audit Cover'!A4</f>
        <v>Year Ending June 30, 2019</v>
      </c>
      <c r="C4" s="2495"/>
      <c r="D4" s="2495"/>
      <c r="E4" s="2495"/>
      <c r="F4" s="2495"/>
      <c r="G4" s="2495"/>
      <c r="H4" s="2495"/>
      <c r="I4" s="2495"/>
      <c r="J4" s="2495"/>
      <c r="K4" s="2495"/>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95" t="s">
        <v>1296</v>
      </c>
      <c r="C7" s="2495"/>
      <c r="D7" s="2496"/>
      <c r="E7" s="2496"/>
      <c r="F7" s="2496"/>
      <c r="G7" s="2496"/>
      <c r="H7" s="2496"/>
      <c r="I7" s="2496"/>
      <c r="J7" s="2496"/>
      <c r="K7" s="2496"/>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v>1</v>
      </c>
      <c r="E10" s="322"/>
      <c r="F10" s="1381" t="s">
        <v>1295</v>
      </c>
      <c r="G10" s="1382"/>
      <c r="H10" s="1383" t="s">
        <v>1294</v>
      </c>
      <c r="I10" s="1382"/>
      <c r="J10" s="1384" t="s">
        <v>1293</v>
      </c>
      <c r="K10" s="322"/>
      <c r="L10" s="1375"/>
    </row>
    <row r="11" spans="1:13" ht="13.5" customHeight="1" x14ac:dyDescent="0.2">
      <c r="B11" s="322"/>
      <c r="C11" s="322"/>
      <c r="D11" s="322"/>
      <c r="E11" s="322"/>
      <c r="F11" s="322"/>
      <c r="G11" s="1377"/>
      <c r="H11" s="322"/>
      <c r="I11" s="1385" t="s">
        <v>1292</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93" t="s">
        <v>2108</v>
      </c>
      <c r="C14" s="2493"/>
      <c r="D14" s="2493"/>
      <c r="E14" s="2493"/>
      <c r="F14" s="2493"/>
      <c r="G14" s="2493"/>
      <c r="H14" s="2493"/>
      <c r="I14" s="2493"/>
      <c r="J14" s="2493"/>
      <c r="K14" s="2493"/>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93" t="s">
        <v>2110</v>
      </c>
      <c r="C17" s="2493"/>
      <c r="D17" s="2493"/>
      <c r="E17" s="2493"/>
      <c r="F17" s="2493"/>
      <c r="G17" s="2493"/>
      <c r="H17" s="2493"/>
      <c r="I17" s="2493"/>
      <c r="J17" s="2493"/>
      <c r="K17" s="2493"/>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497" t="s">
        <v>2111</v>
      </c>
      <c r="C20" s="2497"/>
      <c r="D20" s="2493"/>
      <c r="E20" s="2493"/>
      <c r="F20" s="2493"/>
      <c r="G20" s="2493"/>
      <c r="H20" s="2493"/>
      <c r="I20" s="2493"/>
      <c r="J20" s="2493"/>
      <c r="K20" s="2493"/>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93" t="s">
        <v>2109</v>
      </c>
      <c r="C23" s="2493"/>
      <c r="D23" s="2493"/>
      <c r="E23" s="2493"/>
      <c r="F23" s="2493"/>
      <c r="G23" s="2493"/>
      <c r="H23" s="2493"/>
      <c r="I23" s="2493"/>
      <c r="J23" s="2493"/>
      <c r="K23" s="2493"/>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93" t="s">
        <v>2112</v>
      </c>
      <c r="C26" s="2493"/>
      <c r="D26" s="2493"/>
      <c r="E26" s="2493"/>
      <c r="F26" s="2493"/>
      <c r="G26" s="2493"/>
      <c r="H26" s="2493"/>
      <c r="I26" s="2493"/>
      <c r="J26" s="2493"/>
      <c r="K26" s="2493"/>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92" t="s">
        <v>2113</v>
      </c>
      <c r="C29" s="2492"/>
      <c r="D29" s="2493"/>
      <c r="E29" s="2493"/>
      <c r="F29" s="2493"/>
      <c r="G29" s="2493"/>
      <c r="H29" s="2493"/>
      <c r="I29" s="2493"/>
      <c r="J29" s="2493"/>
      <c r="K29" s="2493"/>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492" t="s">
        <v>2114</v>
      </c>
      <c r="C32" s="2492"/>
      <c r="D32" s="2493"/>
      <c r="E32" s="2493"/>
      <c r="F32" s="2493"/>
      <c r="G32" s="2493"/>
      <c r="H32" s="2493"/>
      <c r="I32" s="2493"/>
      <c r="J32" s="2493"/>
      <c r="K32" s="2493"/>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CUSD 3 Fulton County</v>
      </c>
      <c r="C1" s="2501"/>
      <c r="D1" s="2501"/>
      <c r="E1" s="2501"/>
      <c r="F1" s="2501"/>
      <c r="G1" s="2501"/>
      <c r="H1" s="2501"/>
      <c r="I1" s="2501"/>
      <c r="J1" s="2501"/>
      <c r="K1" s="2501"/>
      <c r="L1" s="1446"/>
    </row>
    <row r="2" spans="1:12" ht="12.75" customHeight="1" x14ac:dyDescent="0.2">
      <c r="B2" s="2502">
        <f>'Single Audit Cover'!E7</f>
        <v>26029003026</v>
      </c>
      <c r="C2" s="2502"/>
      <c r="D2" s="2502"/>
      <c r="E2" s="2502"/>
      <c r="F2" s="2502"/>
      <c r="G2" s="2502"/>
      <c r="H2" s="2502"/>
      <c r="I2" s="2502"/>
      <c r="J2" s="2502"/>
      <c r="K2" s="2502"/>
      <c r="L2" s="1447"/>
    </row>
    <row r="3" spans="1:12" ht="12.75" customHeight="1" x14ac:dyDescent="0.2">
      <c r="B3" s="2494" t="s">
        <v>1285</v>
      </c>
      <c r="C3" s="2494"/>
      <c r="D3" s="2494"/>
      <c r="E3" s="2494"/>
      <c r="F3" s="2494"/>
      <c r="G3" s="2494"/>
      <c r="H3" s="2494"/>
      <c r="I3" s="2494"/>
      <c r="J3" s="2494"/>
      <c r="K3" s="2494"/>
      <c r="L3" s="1371"/>
    </row>
    <row r="4" spans="1:12" ht="12.75" customHeight="1" x14ac:dyDescent="0.2">
      <c r="B4" s="2494" t="str">
        <f>'Single Audit Cover'!A4</f>
        <v>Year Ending June 30, 2019</v>
      </c>
      <c r="C4" s="2494"/>
      <c r="D4" s="2494"/>
      <c r="E4" s="2494"/>
      <c r="F4" s="2494"/>
      <c r="G4" s="2494"/>
      <c r="H4" s="2494"/>
      <c r="I4" s="2494"/>
      <c r="J4" s="2494"/>
      <c r="K4" s="2494"/>
      <c r="L4" s="1371"/>
    </row>
    <row r="5" spans="1:12" ht="5.25" customHeight="1" x14ac:dyDescent="0.2">
      <c r="B5" s="1254" t="s">
        <v>1169</v>
      </c>
      <c r="C5" s="1254"/>
      <c r="L5" s="322"/>
    </row>
    <row r="6" spans="1:12" ht="30.75" customHeight="1" x14ac:dyDescent="0.2">
      <c r="A6" s="322"/>
      <c r="B6" s="2503" t="s">
        <v>1308</v>
      </c>
      <c r="C6" s="2503"/>
      <c r="D6" s="2503"/>
      <c r="E6" s="2503"/>
      <c r="F6" s="2503"/>
      <c r="G6" s="2503"/>
      <c r="H6" s="2503"/>
      <c r="I6" s="2503"/>
      <c r="J6" s="2503"/>
      <c r="K6" s="2503"/>
      <c r="L6" s="322"/>
    </row>
    <row r="7" spans="1:12" ht="4.5" customHeight="1" x14ac:dyDescent="0.2">
      <c r="B7" s="1373"/>
      <c r="C7" s="1373"/>
      <c r="D7" s="1373"/>
      <c r="E7" s="1373"/>
      <c r="F7" s="1373"/>
      <c r="G7" s="1374"/>
      <c r="H7" s="1373"/>
      <c r="I7" s="1374"/>
      <c r="J7" s="1373"/>
      <c r="K7" s="1373"/>
      <c r="L7" s="322"/>
    </row>
    <row r="8" spans="1:12" ht="13.5" customHeight="1" x14ac:dyDescent="0.2">
      <c r="B8" s="1381" t="s">
        <v>1756</v>
      </c>
      <c r="C8" s="1448" t="s">
        <v>1991</v>
      </c>
      <c r="D8" s="1449"/>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485"/>
      <c r="G12" s="2485"/>
      <c r="H12" s="2485"/>
      <c r="I12" s="2485"/>
      <c r="J12" s="2485"/>
      <c r="K12" s="2485"/>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498"/>
      <c r="E14" s="2498"/>
      <c r="F14" s="2498"/>
      <c r="H14" s="1456" t="s">
        <v>1303</v>
      </c>
      <c r="I14" s="2499"/>
      <c r="J14" s="2499"/>
      <c r="K14" s="2499"/>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499"/>
      <c r="E16" s="2499"/>
      <c r="F16" s="2499"/>
      <c r="G16" s="2499"/>
      <c r="H16" s="2499"/>
      <c r="I16" s="2499"/>
      <c r="J16" s="2499"/>
      <c r="K16" s="2499"/>
      <c r="L16" s="322"/>
    </row>
    <row r="17" spans="2:12" ht="13.5" customHeight="1" x14ac:dyDescent="0.2">
      <c r="B17" s="1381" t="s">
        <v>1301</v>
      </c>
      <c r="C17" s="1381"/>
      <c r="D17" s="2500"/>
      <c r="E17" s="2500"/>
      <c r="F17" s="2500"/>
      <c r="G17" s="2500"/>
      <c r="H17" s="2500"/>
      <c r="I17" s="2500"/>
      <c r="J17" s="2500"/>
      <c r="K17" s="2500"/>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493"/>
      <c r="C20" s="2493"/>
      <c r="D20" s="2493"/>
      <c r="E20" s="2493"/>
      <c r="F20" s="2493"/>
      <c r="G20" s="2493"/>
      <c r="H20" s="2493"/>
      <c r="I20" s="2493"/>
      <c r="J20" s="2493"/>
      <c r="K20" s="2493"/>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1757</v>
      </c>
      <c r="C22" s="1458"/>
      <c r="D22" s="322"/>
      <c r="E22" s="322"/>
      <c r="F22" s="322"/>
      <c r="G22" s="1377"/>
      <c r="H22" s="322"/>
      <c r="I22" s="1377"/>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1758</v>
      </c>
      <c r="C25" s="1458"/>
      <c r="D25" s="322"/>
      <c r="E25" s="322"/>
      <c r="F25" s="322"/>
      <c r="G25" s="1377"/>
      <c r="H25" s="322"/>
      <c r="I25" s="1377"/>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1759</v>
      </c>
      <c r="C28" s="1458"/>
      <c r="D28" s="322"/>
      <c r="E28" s="322"/>
      <c r="F28" s="322"/>
      <c r="G28" s="1377"/>
      <c r="H28" s="322"/>
      <c r="I28" s="1377"/>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1760</v>
      </c>
      <c r="C40" s="1397"/>
      <c r="D40" s="1372"/>
      <c r="E40" s="1373"/>
      <c r="F40" s="1373"/>
      <c r="G40" s="1374"/>
      <c r="H40" s="1373"/>
      <c r="I40" s="1374"/>
      <c r="J40" s="1373"/>
      <c r="K40" s="1373"/>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1761</v>
      </c>
      <c r="C44" s="1400"/>
      <c r="D44" s="322"/>
      <c r="E44" s="322"/>
      <c r="F44" s="322"/>
    </row>
    <row r="45" spans="2:12" ht="10.5" customHeight="1" x14ac:dyDescent="0.2">
      <c r="B45" s="1401" t="s">
        <v>1762</v>
      </c>
      <c r="C45" s="1401"/>
      <c r="G45" s="317"/>
      <c r="I45" s="317"/>
    </row>
    <row r="46" spans="2:12" ht="11.1" customHeight="1" x14ac:dyDescent="0.2">
      <c r="B46" s="1401" t="s">
        <v>1763</v>
      </c>
      <c r="C46" s="1401"/>
      <c r="G46" s="317"/>
      <c r="I46" s="317"/>
    </row>
    <row r="47" spans="2:12" ht="11.1" customHeight="1" x14ac:dyDescent="0.2">
      <c r="B47" s="1401" t="s">
        <v>1764</v>
      </c>
      <c r="C47" s="1401"/>
      <c r="G47" s="317"/>
      <c r="I47" s="317"/>
    </row>
    <row r="48" spans="2:12" ht="11.1" customHeight="1" x14ac:dyDescent="0.2">
      <c r="B48" s="1401" t="s">
        <v>1765</v>
      </c>
      <c r="C48" s="1401"/>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78" t="str">
        <f>'Single Audit Cover'!A7</f>
        <v>CUSD 3 Fulton County</v>
      </c>
      <c r="C1" s="2478"/>
      <c r="D1" s="2478"/>
      <c r="E1" s="1466"/>
    </row>
    <row r="2" spans="2:5" s="1276" customFormat="1" ht="12.75" customHeight="1" x14ac:dyDescent="0.2">
      <c r="B2" s="2480">
        <f>'Single Audit Cover'!E7</f>
        <v>26029003026</v>
      </c>
      <c r="C2" s="2480"/>
      <c r="D2" s="2480"/>
      <c r="E2" s="1467"/>
    </row>
    <row r="3" spans="2:5" ht="12.75" customHeight="1" x14ac:dyDescent="0.2">
      <c r="B3" s="2494" t="s">
        <v>1766</v>
      </c>
      <c r="C3" s="2494"/>
      <c r="D3" s="2494"/>
      <c r="E3" s="1268"/>
    </row>
    <row r="4" spans="2:5" s="1276" customFormat="1" ht="12.75" customHeight="1" x14ac:dyDescent="0.2">
      <c r="B4" s="2504" t="str">
        <f>'Single Audit Cover'!A4</f>
        <v>Year Ending June 30, 2019</v>
      </c>
      <c r="C4" s="2504"/>
      <c r="D4" s="2504"/>
      <c r="E4" s="1468"/>
    </row>
    <row r="5" spans="2:5" s="1276" customFormat="1" ht="40.15" customHeight="1" x14ac:dyDescent="0.2">
      <c r="B5" s="1469" t="s">
        <v>1767</v>
      </c>
      <c r="C5" s="328"/>
      <c r="D5" s="328"/>
      <c r="E5" s="328"/>
    </row>
    <row r="6" spans="2:5" s="1276" customFormat="1" ht="13.5" customHeight="1" x14ac:dyDescent="0.2">
      <c r="B6" s="1470" t="s">
        <v>1315</v>
      </c>
      <c r="C6" s="1470" t="s">
        <v>1314</v>
      </c>
      <c r="D6" s="1470" t="s">
        <v>1768</v>
      </c>
    </row>
    <row r="7" spans="2:5" ht="13.5" customHeight="1" x14ac:dyDescent="0.2">
      <c r="B7" s="1471"/>
      <c r="C7" s="324"/>
      <c r="D7" s="324"/>
      <c r="E7" s="324"/>
    </row>
    <row r="8" spans="2:5" ht="13.5" customHeight="1" x14ac:dyDescent="0.2">
      <c r="B8" s="1471" t="s">
        <v>2093</v>
      </c>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1769</v>
      </c>
    </row>
    <row r="46" spans="2:5" ht="12.2" customHeight="1" x14ac:dyDescent="0.2">
      <c r="B46" s="1480" t="s">
        <v>1770</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L70"/>
  <sheetViews>
    <sheetView showGridLines="0" zoomScale="110" zoomScaleNormal="110" zoomScaleSheetLayoutView="100" workbookViewId="0"/>
  </sheetViews>
  <sheetFormatPr defaultColWidth="9.140625" defaultRowHeight="12.75" x14ac:dyDescent="0.2"/>
  <cols>
    <col min="1" max="1" width="1.5703125" style="1938" customWidth="1"/>
    <col min="2" max="2" width="11.28515625" style="1938" customWidth="1"/>
    <col min="3" max="3" width="6.42578125" style="1938" customWidth="1"/>
    <col min="4" max="4" width="5.42578125" style="1938" customWidth="1"/>
    <col min="5" max="5" width="74.7109375" style="1938" customWidth="1"/>
    <col min="6" max="6" width="1.5703125" style="1938" customWidth="1"/>
    <col min="7" max="8" width="2.42578125" style="1938" customWidth="1"/>
    <col min="9" max="9" width="9.28515625" style="1938" customWidth="1"/>
    <col min="10" max="10" width="14.42578125" style="1938" customWidth="1"/>
    <col min="11" max="11" width="7.28515625" style="1938" customWidth="1"/>
    <col min="12" max="12" width="3.140625" style="1938" customWidth="1"/>
    <col min="13" max="16384" width="9.140625" style="1938"/>
  </cols>
  <sheetData>
    <row r="1" spans="2:12" ht="13.5" customHeight="1" x14ac:dyDescent="0.2">
      <c r="B1" s="2506" t="str">
        <f>COVER!A17</f>
        <v>CUSD 3 Fulton County</v>
      </c>
      <c r="C1" s="2506"/>
      <c r="D1" s="2506"/>
      <c r="E1" s="2506"/>
      <c r="F1" s="1937"/>
      <c r="G1" s="1937"/>
      <c r="H1" s="1937"/>
      <c r="I1" s="1937"/>
      <c r="J1" s="1937"/>
      <c r="K1" s="1937"/>
      <c r="L1" s="1937"/>
    </row>
    <row r="2" spans="2:12" ht="13.5" customHeight="1" x14ac:dyDescent="0.2">
      <c r="B2" s="2507">
        <f>COVER!A13</f>
        <v>26029003026</v>
      </c>
      <c r="C2" s="2507"/>
      <c r="D2" s="2507"/>
      <c r="E2" s="2507"/>
      <c r="F2" s="1939"/>
      <c r="G2" s="1939"/>
      <c r="H2" s="1939"/>
      <c r="I2" s="1939"/>
      <c r="J2" s="1939"/>
      <c r="K2" s="1939"/>
      <c r="L2" s="1939"/>
    </row>
    <row r="3" spans="2:12" ht="13.5" customHeight="1" x14ac:dyDescent="0.2">
      <c r="B3" s="2508" t="s">
        <v>2097</v>
      </c>
      <c r="C3" s="2508"/>
      <c r="D3" s="2508"/>
      <c r="E3" s="2508"/>
      <c r="F3" s="1940"/>
      <c r="G3" s="1940"/>
      <c r="H3" s="1940"/>
      <c r="I3" s="1940"/>
      <c r="J3" s="1940"/>
      <c r="K3" s="1940"/>
      <c r="L3" s="1940"/>
    </row>
    <row r="4" spans="2:12" ht="13.5" customHeight="1" x14ac:dyDescent="0.2">
      <c r="B4" s="2509" t="s">
        <v>1989</v>
      </c>
      <c r="C4" s="2509"/>
      <c r="D4" s="2509"/>
      <c r="E4" s="2509"/>
      <c r="F4" s="1941"/>
      <c r="G4" s="1941"/>
      <c r="H4" s="1941"/>
      <c r="I4" s="1941"/>
      <c r="J4" s="1941"/>
      <c r="K4" s="1941"/>
      <c r="L4" s="1941"/>
    </row>
    <row r="5" spans="2:12" ht="29.85" customHeight="1" x14ac:dyDescent="0.2"/>
    <row r="6" spans="2:12" ht="13.5" customHeight="1" x14ac:dyDescent="0.2">
      <c r="B6" s="1942" t="s">
        <v>2098</v>
      </c>
      <c r="C6" s="1942"/>
      <c r="D6" s="1943"/>
      <c r="E6" s="1944"/>
      <c r="F6" s="1944"/>
      <c r="G6" s="1945"/>
      <c r="H6" s="1945"/>
      <c r="I6" s="1945"/>
    </row>
    <row r="7" spans="2:12" ht="13.5" customHeight="1" x14ac:dyDescent="0.2">
      <c r="B7" s="1938" t="s">
        <v>1169</v>
      </c>
    </row>
    <row r="8" spans="2:12" ht="13.5" customHeight="1" x14ac:dyDescent="0.2">
      <c r="B8" s="1946" t="s">
        <v>2099</v>
      </c>
      <c r="C8" s="1947" t="s">
        <v>1991</v>
      </c>
      <c r="D8" s="1948">
        <v>1</v>
      </c>
    </row>
    <row r="9" spans="2:12" ht="13.5" customHeight="1" x14ac:dyDescent="0.2">
      <c r="B9" s="1949"/>
      <c r="C9" s="1949"/>
      <c r="D9" s="1949"/>
    </row>
    <row r="10" spans="2:12" ht="13.5" customHeight="1" x14ac:dyDescent="0.2">
      <c r="B10" s="1946" t="s">
        <v>2100</v>
      </c>
      <c r="C10" s="1946"/>
    </row>
    <row r="11" spans="2:12" ht="66.75" customHeight="1" x14ac:dyDescent="0.2">
      <c r="B11" s="2505" t="s">
        <v>2115</v>
      </c>
      <c r="C11" s="2505"/>
      <c r="D11" s="2505"/>
      <c r="E11" s="2505"/>
    </row>
    <row r="12" spans="2:12" ht="13.5" customHeight="1" x14ac:dyDescent="0.2"/>
    <row r="13" spans="2:12" ht="13.5" customHeight="1" x14ac:dyDescent="0.2">
      <c r="B13" s="1946" t="s">
        <v>2101</v>
      </c>
      <c r="C13" s="1946"/>
    </row>
    <row r="14" spans="2:12" ht="76.5" customHeight="1" x14ac:dyDescent="0.2">
      <c r="B14" s="2505" t="s">
        <v>2116</v>
      </c>
      <c r="C14" s="2505"/>
      <c r="D14" s="2505"/>
      <c r="E14" s="2505"/>
    </row>
    <row r="15" spans="2:12" ht="13.5" customHeight="1" x14ac:dyDescent="0.2"/>
    <row r="16" spans="2:12" ht="13.5" customHeight="1" x14ac:dyDescent="0.2">
      <c r="B16" s="1946" t="s">
        <v>2102</v>
      </c>
      <c r="C16" s="1946"/>
      <c r="E16" s="1950" t="s">
        <v>2103</v>
      </c>
    </row>
    <row r="17" spans="2:5" ht="13.5" customHeight="1" x14ac:dyDescent="0.2"/>
    <row r="18" spans="2:5" ht="13.5" customHeight="1" x14ac:dyDescent="0.2">
      <c r="B18" s="1946" t="s">
        <v>2104</v>
      </c>
      <c r="C18" s="1946"/>
      <c r="E18" s="1951" t="s">
        <v>2107</v>
      </c>
    </row>
    <row r="19" spans="2:5" ht="13.5" customHeight="1" x14ac:dyDescent="0.2"/>
    <row r="20" spans="2:5" ht="13.5" customHeight="1" x14ac:dyDescent="0.2">
      <c r="B20" s="1946" t="s">
        <v>2105</v>
      </c>
      <c r="C20" s="1946"/>
      <c r="E20" s="1951" t="s">
        <v>2117</v>
      </c>
    </row>
    <row r="21" spans="2:5" ht="13.5" customHeight="1" x14ac:dyDescent="0.2">
      <c r="E21" s="1951"/>
    </row>
    <row r="22" spans="2:5" ht="13.5" customHeight="1" x14ac:dyDescent="0.2">
      <c r="E22" s="1951"/>
    </row>
    <row r="23" spans="2:5" ht="13.5" customHeight="1" x14ac:dyDescent="0.2"/>
    <row r="24" spans="2:5" ht="13.5" customHeight="1" x14ac:dyDescent="0.2"/>
    <row r="25" spans="2:5" ht="13.5" customHeight="1" x14ac:dyDescent="0.2">
      <c r="B25" s="1952"/>
      <c r="C25" s="1952"/>
      <c r="D25" s="1952"/>
    </row>
    <row r="26" spans="2:5" ht="13.5" customHeight="1" x14ac:dyDescent="0.2">
      <c r="B26" s="1952"/>
      <c r="C26" s="1952"/>
      <c r="D26" s="1952"/>
    </row>
    <row r="27" spans="2:5" ht="13.5" customHeight="1" x14ac:dyDescent="0.2">
      <c r="B27" s="1952"/>
      <c r="C27" s="1952"/>
      <c r="D27" s="1952"/>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53"/>
      <c r="C35" s="1953"/>
      <c r="D35" s="1953"/>
    </row>
    <row r="36" spans="2:5" ht="13.5" customHeight="1" x14ac:dyDescent="0.2"/>
    <row r="37" spans="2:5" ht="13.5" customHeight="1" x14ac:dyDescent="0.2">
      <c r="B37" s="1953"/>
      <c r="C37" s="1953"/>
      <c r="D37" s="1953"/>
    </row>
    <row r="38" spans="2:5" ht="13.5" customHeight="1" x14ac:dyDescent="0.2">
      <c r="B38" s="1953"/>
      <c r="C38" s="1953"/>
      <c r="D38" s="1953"/>
    </row>
    <row r="39" spans="2:5" ht="13.5" customHeight="1" x14ac:dyDescent="0.2">
      <c r="B39" s="1953"/>
      <c r="C39" s="1953"/>
      <c r="D39" s="1953"/>
    </row>
    <row r="40" spans="2:5" ht="13.5" customHeight="1" x14ac:dyDescent="0.2">
      <c r="B40" s="1953"/>
      <c r="C40" s="1953"/>
      <c r="D40" s="1953"/>
    </row>
    <row r="41" spans="2:5" ht="13.5" customHeight="1" x14ac:dyDescent="0.2">
      <c r="B41" s="1954"/>
      <c r="C41" s="1954"/>
      <c r="D41" s="1954"/>
      <c r="E41" s="1954"/>
    </row>
    <row r="42" spans="2:5" ht="12.2" customHeight="1" x14ac:dyDescent="0.2">
      <c r="B42" s="1955" t="s">
        <v>2106</v>
      </c>
      <c r="C42" s="1955"/>
      <c r="D42" s="1955"/>
    </row>
    <row r="43" spans="2:5" ht="12.2" customHeight="1" x14ac:dyDescent="0.2">
      <c r="B43" s="1956"/>
      <c r="C43" s="1956"/>
      <c r="D43" s="1956"/>
    </row>
    <row r="44" spans="2:5" ht="12.75" customHeight="1" x14ac:dyDescent="0.2">
      <c r="B44" s="1946"/>
      <c r="C44" s="1946"/>
      <c r="D44" s="1946"/>
    </row>
    <row r="45" spans="2:5" ht="12.75" customHeight="1" x14ac:dyDescent="0.2">
      <c r="B45" s="1946"/>
      <c r="C45" s="1946"/>
      <c r="D45" s="1946"/>
    </row>
    <row r="46" spans="2:5" x14ac:dyDescent="0.2">
      <c r="B46" s="1946"/>
      <c r="C46" s="1946"/>
      <c r="D46" s="1946"/>
    </row>
    <row r="47" spans="2:5" x14ac:dyDescent="0.2">
      <c r="B47" s="1946"/>
      <c r="C47" s="1946"/>
      <c r="D47" s="1946"/>
    </row>
    <row r="51" spans="2:4" x14ac:dyDescent="0.2">
      <c r="B51" s="1957"/>
      <c r="C51" s="1957"/>
      <c r="D51" s="1957"/>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58"/>
      <c r="C64" s="1958"/>
      <c r="D64" s="1958"/>
    </row>
    <row r="65" spans="2:4" x14ac:dyDescent="0.2">
      <c r="B65" s="1946"/>
      <c r="C65" s="1946"/>
      <c r="D65" s="1946"/>
    </row>
    <row r="66" spans="2:4" x14ac:dyDescent="0.2">
      <c r="B66" s="1946"/>
      <c r="C66" s="1946"/>
      <c r="D66" s="1946"/>
    </row>
    <row r="67" spans="2:4" x14ac:dyDescent="0.2">
      <c r="B67" s="1958"/>
      <c r="C67" s="1958"/>
      <c r="D67" s="1958"/>
    </row>
    <row r="68" spans="2:4" x14ac:dyDescent="0.2">
      <c r="B68" s="1958"/>
      <c r="C68" s="1958"/>
      <c r="D68" s="1958"/>
    </row>
    <row r="69" spans="2:4" x14ac:dyDescent="0.2">
      <c r="B69" s="1958"/>
      <c r="C69" s="1958"/>
      <c r="D69" s="1958"/>
    </row>
    <row r="70" spans="2:4" x14ac:dyDescent="0.2">
      <c r="B70" s="1946"/>
      <c r="C70" s="1946"/>
      <c r="D70" s="1946"/>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386</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47242747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3.2500000000000001E-2</v>
      </c>
      <c r="E10" s="356" t="s">
        <v>1005</v>
      </c>
      <c r="F10" s="355">
        <v>5.0000000000000001E-3</v>
      </c>
      <c r="G10" s="356" t="s">
        <v>1005</v>
      </c>
      <c r="H10" s="355">
        <v>2E-3</v>
      </c>
      <c r="I10" s="356" t="s">
        <v>1006</v>
      </c>
      <c r="J10" s="1729">
        <f>ROUND(D10+F10+H10,5)</f>
        <v>3.95E-2</v>
      </c>
      <c r="K10" s="222"/>
      <c r="L10" s="355">
        <v>5.0000000000000001E-4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3648233</v>
      </c>
      <c r="E16" s="356"/>
      <c r="F16" s="1730">
        <f>SUM('Acct Summary 7-8'!C17,'Acct Summary 7-8'!D17,'Acct Summary 7-8'!F17)</f>
        <v>4410573</v>
      </c>
      <c r="G16" s="356"/>
      <c r="H16" s="1730">
        <f>SUM(D16-F16)</f>
        <v>-762340</v>
      </c>
      <c r="I16" s="222"/>
      <c r="J16" s="1730">
        <f>SUM('Acct Summary 7-8'!C81,'Acct Summary 7-8'!D81,'Acct Summary 7-8'!F81,'Acct Summary 7-8'!I81)</f>
        <v>1173989</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2">
        <f>IF(B31="X",(J7*0.069),IF(B32="X",(J7*0.138),"Enter x in a.or b."))</f>
        <v>6519499.0860000001</v>
      </c>
      <c r="I31" s="368"/>
      <c r="J31" s="222"/>
      <c r="K31" s="222"/>
      <c r="L31" s="222"/>
      <c r="M31" s="222"/>
    </row>
    <row r="32" spans="1:13" ht="13.35" customHeight="1" x14ac:dyDescent="0.2">
      <c r="B32" s="369" t="s">
        <v>2070</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800000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556</v>
      </c>
      <c r="B2" s="2121"/>
      <c r="C2" s="2121"/>
      <c r="D2" s="2121"/>
      <c r="E2" s="2121"/>
      <c r="F2" s="2121"/>
      <c r="G2" s="2121"/>
      <c r="H2" s="2121"/>
      <c r="I2" s="2121"/>
      <c r="J2" s="2121"/>
      <c r="K2" s="2121"/>
      <c r="L2" s="2121"/>
      <c r="M2" s="2121"/>
      <c r="N2" s="2121"/>
      <c r="O2" s="2121"/>
      <c r="P2" s="2121"/>
      <c r="Q2" s="2121"/>
      <c r="R2" s="2121"/>
    </row>
    <row r="3" spans="1:18" ht="12.75" x14ac:dyDescent="0.2">
      <c r="A3" s="2122" t="s">
        <v>1413</v>
      </c>
      <c r="B3" s="2122"/>
      <c r="C3" s="2122"/>
      <c r="D3" s="2122"/>
      <c r="E3" s="2122"/>
      <c r="F3" s="2122"/>
      <c r="G3" s="2122"/>
      <c r="H3" s="2122"/>
      <c r="I3" s="2122"/>
      <c r="J3" s="2122"/>
      <c r="K3" s="2122"/>
      <c r="L3" s="2122"/>
      <c r="M3" s="2122"/>
      <c r="N3" s="2122"/>
      <c r="O3" s="2122"/>
      <c r="P3" s="2122"/>
      <c r="Q3" s="2122"/>
      <c r="R3" s="2122"/>
    </row>
    <row r="4" spans="1:18" x14ac:dyDescent="0.2">
      <c r="A4" s="2123" t="s">
        <v>1554</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CUSD 3 Fulton County</v>
      </c>
      <c r="E7" s="391"/>
      <c r="G7" s="252"/>
      <c r="H7" s="387"/>
      <c r="I7" s="387"/>
      <c r="J7" s="387"/>
      <c r="K7" s="387"/>
      <c r="L7" s="329"/>
      <c r="M7" s="329"/>
      <c r="N7" s="329"/>
      <c r="O7" s="329"/>
      <c r="P7" s="329"/>
    </row>
    <row r="8" spans="1:18" ht="12.75" x14ac:dyDescent="0.2">
      <c r="A8" s="329"/>
      <c r="B8" s="329"/>
      <c r="C8" s="389" t="s">
        <v>1125</v>
      </c>
      <c r="D8" s="392">
        <f>COVER!A13</f>
        <v>26029003026</v>
      </c>
      <c r="E8" s="393"/>
      <c r="G8" s="329"/>
      <c r="H8" s="329"/>
      <c r="I8" s="329"/>
      <c r="J8" s="329"/>
      <c r="K8" s="329"/>
      <c r="L8" s="329"/>
      <c r="M8" s="329"/>
      <c r="N8" s="329"/>
      <c r="O8" s="329"/>
      <c r="P8" s="329"/>
    </row>
    <row r="9" spans="1:18" ht="12.75" x14ac:dyDescent="0.2">
      <c r="A9" s="329"/>
      <c r="B9" s="329"/>
      <c r="C9" s="389" t="s">
        <v>713</v>
      </c>
      <c r="D9" s="394" t="str">
        <f>COVER!A15</f>
        <v>Fulton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1173989</v>
      </c>
      <c r="I12" s="404"/>
      <c r="J12" s="404"/>
      <c r="K12" s="405">
        <f>TRUNC((H12/H13*100000),5)/100000</f>
        <v>0.32179660669999999</v>
      </c>
      <c r="L12" s="406"/>
      <c r="M12" s="360" t="s">
        <v>1144</v>
      </c>
      <c r="N12" s="360"/>
      <c r="O12" s="407">
        <v>0.35</v>
      </c>
      <c r="P12" s="218"/>
      <c r="Q12" s="218"/>
    </row>
    <row r="13" spans="1:18" s="408" customFormat="1" ht="12.75" x14ac:dyDescent="0.2">
      <c r="A13" s="218"/>
      <c r="B13" s="401"/>
      <c r="C13" s="2119" t="s">
        <v>1324</v>
      </c>
      <c r="D13" s="2120"/>
      <c r="E13" s="218"/>
      <c r="F13" s="409" t="s">
        <v>793</v>
      </c>
      <c r="G13" s="402"/>
      <c r="H13" s="403">
        <f>SUM('Acct Summary 7-8'!C8+'Acct Summary 7-8'!D8+'Acct Summary 7-8'!F8+'Acct Summary 7-8'!I8)+H14</f>
        <v>3648233</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1</v>
      </c>
      <c r="P16" s="216"/>
      <c r="R16" s="384"/>
    </row>
    <row r="17" spans="1:18" s="408" customFormat="1" ht="11.25" x14ac:dyDescent="0.2">
      <c r="A17" s="218"/>
      <c r="B17" s="401"/>
      <c r="C17" s="218" t="s">
        <v>797</v>
      </c>
      <c r="D17" s="218"/>
      <c r="E17" s="218"/>
      <c r="F17" s="218" t="s">
        <v>444</v>
      </c>
      <c r="G17" s="402"/>
      <c r="H17" s="403">
        <f>SUM('Acct Summary 7-8'!C17+'Acct Summary 7-8'!D17+'Acct Summary 7-8'!F17)</f>
        <v>4410573</v>
      </c>
      <c r="I17" s="404"/>
      <c r="J17" s="416"/>
      <c r="K17" s="405">
        <f>TRUNC((H17/H18*100000),5)/100000</f>
        <v>1.2089614341999999</v>
      </c>
      <c r="L17" s="406"/>
      <c r="M17" s="417" t="s">
        <v>1171</v>
      </c>
      <c r="O17" s="418" t="str">
        <f>IF(AND(O16="2", J20 &gt; 2),"1",IF(AND(O16 = "1", J20 &gt; 2),"2",IF(AND(O16="1", J20 &gt;1),"1","0")))</f>
        <v>1</v>
      </c>
      <c r="P17" s="218"/>
    </row>
    <row r="18" spans="1:18" s="408" customFormat="1" ht="11.25" x14ac:dyDescent="0.2">
      <c r="A18" s="218"/>
      <c r="B18" s="401"/>
      <c r="C18" s="2119" t="s">
        <v>1317</v>
      </c>
      <c r="D18" s="2120"/>
      <c r="E18" s="218"/>
      <c r="F18" s="419" t="s">
        <v>794</v>
      </c>
      <c r="G18" s="402"/>
      <c r="H18" s="403">
        <f>SUM('Acct Summary 7-8'!C8+'Acct Summary 7-8'!D8+'Acct Summary 7-8'!F8+'Acct Summary 7-8'!I8)+H19</f>
        <v>3648233</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1.0614235999999999</v>
      </c>
      <c r="K20" s="405">
        <f>IF(K17&lt;=1,"0",IF(AND(O16="2", J20 &gt; 2),TRUNC(((K12-0.1)/(K17-1)*100),5)/100,IF(AND(O16 = "1", J20 &gt; 2),TRUNC(((K12-0.1)/(K17-1)*100),5)/100,IF(AND(O16="1", J20 &gt;1),TRUNC(((K12-0.1)/(K17-1)*100),5)/100,""))))</f>
        <v>1.0614235999999999</v>
      </c>
      <c r="L20" s="218"/>
      <c r="M20" s="360" t="s">
        <v>1145</v>
      </c>
      <c r="N20" s="360"/>
      <c r="O20" s="411">
        <f>(O16+O17)*O18</f>
        <v>0.7</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16" t="s">
        <v>1412</v>
      </c>
      <c r="D24" s="2116"/>
      <c r="E24" s="218"/>
      <c r="F24" s="218" t="s">
        <v>445</v>
      </c>
      <c r="G24" s="402"/>
      <c r="H24" s="403">
        <f>SUM('Assets-Liab 5-6'!C4+'Assets-Liab 5-6'!D4+'Assets-Liab 5-6'!F4+'Assets-Liab 5-6'!I4+'Assets-Liab 5-6'!C5+'Assets-Liab 5-6'!D5+'Assets-Liab 5-6'!F5+'Assets-Liab 5-6'!I5)</f>
        <v>1177421</v>
      </c>
      <c r="I24" s="422"/>
      <c r="J24" s="422"/>
      <c r="K24" s="423">
        <f>TRUNC(((H24/H25*100000)/100000),2)</f>
        <v>96.1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12251.59167</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1586175.2305300001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800000</v>
      </c>
      <c r="I32" s="420"/>
      <c r="J32" s="420"/>
      <c r="K32" s="423">
        <f>TRUNC(100-((((H32/H33*100))*100)/100),2)</f>
        <v>87.72</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6519499.0860000001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3.1999999999999993</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L30" sqref="L30"/>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2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6" t="s">
        <v>973</v>
      </c>
      <c r="B3" s="2127"/>
      <c r="C3" s="1556"/>
      <c r="D3" s="1557"/>
      <c r="E3" s="1557"/>
      <c r="F3" s="1557"/>
      <c r="G3" s="1557"/>
      <c r="H3" s="1557"/>
      <c r="I3" s="1557"/>
      <c r="J3" s="1557"/>
      <c r="K3" s="1557"/>
      <c r="L3" s="1557"/>
      <c r="M3" s="1558"/>
      <c r="N3" s="1559"/>
    </row>
    <row r="4" spans="1:14" ht="13.5" customHeight="1" x14ac:dyDescent="0.2">
      <c r="A4" s="463" t="s">
        <v>1651</v>
      </c>
      <c r="B4" s="464"/>
      <c r="C4" s="465">
        <v>964205</v>
      </c>
      <c r="D4" s="465">
        <v>74892</v>
      </c>
      <c r="E4" s="465">
        <v>12453</v>
      </c>
      <c r="F4" s="465">
        <v>64450</v>
      </c>
      <c r="G4" s="465">
        <v>124720</v>
      </c>
      <c r="H4" s="465">
        <v>216440</v>
      </c>
      <c r="I4" s="465">
        <v>72797</v>
      </c>
      <c r="J4" s="465">
        <v>45820</v>
      </c>
      <c r="K4" s="465">
        <v>124044</v>
      </c>
      <c r="L4" s="465">
        <v>106081</v>
      </c>
      <c r="M4" s="468"/>
      <c r="N4" s="469"/>
    </row>
    <row r="5" spans="1:14" x14ac:dyDescent="0.2">
      <c r="A5" s="463" t="s">
        <v>992</v>
      </c>
      <c r="B5" s="470">
        <v>120</v>
      </c>
      <c r="C5" s="465">
        <v>1077</v>
      </c>
      <c r="D5" s="465">
        <v>0</v>
      </c>
      <c r="E5" s="465">
        <v>0</v>
      </c>
      <c r="F5" s="465">
        <v>0</v>
      </c>
      <c r="G5" s="465">
        <v>0</v>
      </c>
      <c r="H5" s="465">
        <v>0</v>
      </c>
      <c r="I5" s="465">
        <v>0</v>
      </c>
      <c r="J5" s="465">
        <v>0</v>
      </c>
      <c r="K5" s="465">
        <v>0</v>
      </c>
      <c r="L5" s="465">
        <v>25000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644</v>
      </c>
      <c r="B13" s="1706"/>
      <c r="C13" s="1734">
        <f>SUM(C4:C12)</f>
        <v>965282</v>
      </c>
      <c r="D13" s="1734">
        <f t="shared" ref="D13:L13" si="0">SUM(D4:D12)</f>
        <v>74892</v>
      </c>
      <c r="E13" s="1734">
        <f t="shared" si="0"/>
        <v>12453</v>
      </c>
      <c r="F13" s="1734">
        <f t="shared" si="0"/>
        <v>64450</v>
      </c>
      <c r="G13" s="1734">
        <f t="shared" si="0"/>
        <v>124720</v>
      </c>
      <c r="H13" s="1734">
        <f t="shared" si="0"/>
        <v>216440</v>
      </c>
      <c r="I13" s="1734">
        <f t="shared" si="0"/>
        <v>72797</v>
      </c>
      <c r="J13" s="1734">
        <f t="shared" si="0"/>
        <v>45820</v>
      </c>
      <c r="K13" s="1734">
        <f t="shared" si="0"/>
        <v>124044</v>
      </c>
      <c r="L13" s="1734">
        <f t="shared" si="0"/>
        <v>131081</v>
      </c>
      <c r="M13" s="468"/>
      <c r="N13" s="469"/>
    </row>
    <row r="14" spans="1:14" ht="18" customHeight="1" thickTop="1" x14ac:dyDescent="0.2">
      <c r="A14" s="2128" t="s">
        <v>147</v>
      </c>
      <c r="B14" s="2129"/>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140543</v>
      </c>
      <c r="N16" s="482"/>
    </row>
    <row r="17" spans="1:14" s="483" customFormat="1" ht="12.75" customHeight="1" x14ac:dyDescent="0.2">
      <c r="A17" s="480" t="s">
        <v>1403</v>
      </c>
      <c r="B17" s="481">
        <v>230</v>
      </c>
      <c r="C17" s="475"/>
      <c r="D17" s="475"/>
      <c r="E17" s="475"/>
      <c r="F17" s="475"/>
      <c r="G17" s="475"/>
      <c r="H17" s="475"/>
      <c r="I17" s="475"/>
      <c r="J17" s="475"/>
      <c r="K17" s="475"/>
      <c r="L17" s="475"/>
      <c r="M17" s="467">
        <v>11398023</v>
      </c>
      <c r="N17" s="482"/>
    </row>
    <row r="18" spans="1:14" s="483" customFormat="1" ht="12.75" customHeight="1" x14ac:dyDescent="0.2">
      <c r="A18" s="480" t="s">
        <v>1404</v>
      </c>
      <c r="B18" s="481">
        <v>240</v>
      </c>
      <c r="C18" s="475"/>
      <c r="D18" s="475"/>
      <c r="E18" s="475"/>
      <c r="F18" s="475"/>
      <c r="G18" s="475"/>
      <c r="H18" s="475"/>
      <c r="I18" s="475"/>
      <c r="J18" s="475"/>
      <c r="K18" s="475"/>
      <c r="L18" s="475"/>
      <c r="M18" s="467">
        <v>510211</v>
      </c>
      <c r="N18" s="482"/>
    </row>
    <row r="19" spans="1:14" s="483" customFormat="1" ht="12.75" customHeight="1" x14ac:dyDescent="0.2">
      <c r="A19" s="480" t="s">
        <v>1405</v>
      </c>
      <c r="B19" s="481">
        <v>250</v>
      </c>
      <c r="C19" s="475"/>
      <c r="D19" s="475"/>
      <c r="E19" s="475"/>
      <c r="F19" s="475"/>
      <c r="G19" s="475"/>
      <c r="H19" s="475"/>
      <c r="I19" s="475"/>
      <c r="J19" s="475"/>
      <c r="K19" s="475"/>
      <c r="L19" s="475"/>
      <c r="M19" s="467">
        <v>1248464</v>
      </c>
      <c r="N19" s="482"/>
    </row>
    <row r="20" spans="1:14" s="483" customFormat="1" ht="12.75" customHeight="1" x14ac:dyDescent="0.2">
      <c r="A20" s="480" t="s">
        <v>1406</v>
      </c>
      <c r="B20" s="481">
        <v>260</v>
      </c>
      <c r="C20" s="475"/>
      <c r="D20" s="475"/>
      <c r="E20" s="475"/>
      <c r="F20" s="475"/>
      <c r="G20" s="475"/>
      <c r="H20" s="475"/>
      <c r="I20" s="475"/>
      <c r="J20" s="475"/>
      <c r="K20" s="475"/>
      <c r="L20" s="475"/>
      <c r="M20" s="467">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12453</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787547</v>
      </c>
    </row>
    <row r="23" spans="1:14" ht="13.5" customHeight="1" thickBot="1" x14ac:dyDescent="0.25">
      <c r="A23" s="1733" t="s">
        <v>643</v>
      </c>
      <c r="B23" s="1738"/>
      <c r="C23" s="468"/>
      <c r="D23" s="468"/>
      <c r="E23" s="468"/>
      <c r="F23" s="468"/>
      <c r="G23" s="468"/>
      <c r="H23" s="468"/>
      <c r="I23" s="468"/>
      <c r="J23" s="468"/>
      <c r="K23" s="468"/>
      <c r="L23" s="468"/>
      <c r="M23" s="1685">
        <f>SUM(M15:M22)</f>
        <v>13297241</v>
      </c>
      <c r="N23" s="1685">
        <f>SUM(N21:N22)</f>
        <v>800000</v>
      </c>
    </row>
    <row r="24" spans="1:14" ht="18" customHeight="1" thickTop="1" x14ac:dyDescent="0.2">
      <c r="A24" s="2130" t="s">
        <v>598</v>
      </c>
      <c r="B24" s="2131"/>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3432</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84011</v>
      </c>
      <c r="M33" s="468"/>
      <c r="N33" s="469"/>
    </row>
    <row r="34" spans="1:14" ht="13.5" customHeight="1" thickBot="1" x14ac:dyDescent="0.25">
      <c r="A34" s="1735" t="s">
        <v>654</v>
      </c>
      <c r="B34" s="1736"/>
      <c r="C34" s="1737">
        <f>SUM(C25:C33)</f>
        <v>3432</v>
      </c>
      <c r="D34" s="1737">
        <f t="shared" ref="D34:K34" si="1">SUM(D25:D33)</f>
        <v>0</v>
      </c>
      <c r="E34" s="1737">
        <f t="shared" si="1"/>
        <v>0</v>
      </c>
      <c r="F34" s="1737">
        <f t="shared" si="1"/>
        <v>0</v>
      </c>
      <c r="G34" s="1737">
        <f t="shared" si="1"/>
        <v>0</v>
      </c>
      <c r="H34" s="1737">
        <f t="shared" si="1"/>
        <v>0</v>
      </c>
      <c r="I34" s="1737">
        <f t="shared" si="1"/>
        <v>0</v>
      </c>
      <c r="J34" s="1737">
        <f t="shared" si="1"/>
        <v>0</v>
      </c>
      <c r="K34" s="1737">
        <f t="shared" si="1"/>
        <v>0</v>
      </c>
      <c r="L34" s="1718">
        <f>SUM(L33)</f>
        <v>84011</v>
      </c>
      <c r="M34" s="468"/>
      <c r="N34" s="478"/>
    </row>
    <row r="35" spans="1:14" ht="18" customHeight="1" thickTop="1" x14ac:dyDescent="0.2">
      <c r="A35" s="2132" t="s">
        <v>529</v>
      </c>
      <c r="B35" s="2133"/>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800000</v>
      </c>
    </row>
    <row r="37" spans="1:14" ht="13.5" thickBot="1" x14ac:dyDescent="0.25">
      <c r="A37" s="1733" t="s">
        <v>653</v>
      </c>
      <c r="B37" s="1738"/>
      <c r="C37" s="475"/>
      <c r="D37" s="475"/>
      <c r="E37" s="475"/>
      <c r="F37" s="475"/>
      <c r="G37" s="475"/>
      <c r="H37" s="475"/>
      <c r="I37" s="475"/>
      <c r="J37" s="475"/>
      <c r="K37" s="475"/>
      <c r="L37" s="478"/>
      <c r="M37" s="468"/>
      <c r="N37" s="1685">
        <f>SUM(N36:N36)</f>
        <v>800000</v>
      </c>
    </row>
    <row r="38" spans="1:14" s="329" customFormat="1" ht="13.5" customHeight="1" thickTop="1" x14ac:dyDescent="0.2">
      <c r="A38" s="493" t="s">
        <v>420</v>
      </c>
      <c r="B38" s="481">
        <v>714</v>
      </c>
      <c r="C38" s="465">
        <v>0</v>
      </c>
      <c r="D38" s="465">
        <v>20751</v>
      </c>
      <c r="E38" s="465">
        <v>0</v>
      </c>
      <c r="F38" s="465">
        <v>0</v>
      </c>
      <c r="G38" s="465">
        <v>91188</v>
      </c>
      <c r="H38" s="465">
        <v>216440</v>
      </c>
      <c r="I38" s="465">
        <v>0</v>
      </c>
      <c r="J38" s="465">
        <v>0</v>
      </c>
      <c r="K38" s="465">
        <v>0</v>
      </c>
      <c r="L38" s="465">
        <v>47070</v>
      </c>
      <c r="M38" s="494"/>
      <c r="N38" s="494"/>
    </row>
    <row r="39" spans="1:14" s="329" customFormat="1" ht="13.5" customHeight="1" x14ac:dyDescent="0.2">
      <c r="A39" s="493" t="s">
        <v>342</v>
      </c>
      <c r="B39" s="481">
        <v>730</v>
      </c>
      <c r="C39" s="465">
        <v>961850</v>
      </c>
      <c r="D39" s="465">
        <v>54141</v>
      </c>
      <c r="E39" s="465">
        <v>12453</v>
      </c>
      <c r="F39" s="465">
        <v>64450</v>
      </c>
      <c r="G39" s="465">
        <v>33532</v>
      </c>
      <c r="H39" s="465">
        <v>0</v>
      </c>
      <c r="I39" s="465">
        <v>72797</v>
      </c>
      <c r="J39" s="465">
        <v>45820</v>
      </c>
      <c r="K39" s="465">
        <v>124044</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13297241</v>
      </c>
      <c r="N40" s="494"/>
    </row>
    <row r="41" spans="1:14" ht="13.5" customHeight="1" thickBot="1" x14ac:dyDescent="0.25">
      <c r="A41" s="1733" t="s">
        <v>655</v>
      </c>
      <c r="B41" s="1703"/>
      <c r="C41" s="1685">
        <f>(SUM(C34,C37,C38,C39))</f>
        <v>965282</v>
      </c>
      <c r="D41" s="1685">
        <f t="shared" ref="D41:L41" si="2">SUM(D34,D37,D38:D39)</f>
        <v>74892</v>
      </c>
      <c r="E41" s="1685">
        <f t="shared" si="2"/>
        <v>12453</v>
      </c>
      <c r="F41" s="1685">
        <f t="shared" si="2"/>
        <v>64450</v>
      </c>
      <c r="G41" s="1685">
        <f t="shared" si="2"/>
        <v>124720</v>
      </c>
      <c r="H41" s="1685">
        <f t="shared" si="2"/>
        <v>216440</v>
      </c>
      <c r="I41" s="1685">
        <f t="shared" si="2"/>
        <v>72797</v>
      </c>
      <c r="J41" s="1685">
        <f t="shared" si="2"/>
        <v>45820</v>
      </c>
      <c r="K41" s="1685">
        <f t="shared" si="2"/>
        <v>124044</v>
      </c>
      <c r="L41" s="1685">
        <f t="shared" si="2"/>
        <v>131081</v>
      </c>
      <c r="M41" s="1685">
        <f>SUM(M40)</f>
        <v>13297241</v>
      </c>
      <c r="N41" s="1685">
        <f>SUM(N37)</f>
        <v>800000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L30" sqref="L30"/>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42"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43"/>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54" t="s">
        <v>1175</v>
      </c>
      <c r="B3" s="2155"/>
      <c r="C3" s="1570"/>
      <c r="D3" s="1571"/>
      <c r="E3" s="1571"/>
      <c r="F3" s="1571"/>
      <c r="G3" s="1571"/>
      <c r="H3" s="1571"/>
      <c r="I3" s="1571"/>
      <c r="J3" s="1571"/>
      <c r="K3" s="1572"/>
      <c r="L3" s="503"/>
    </row>
    <row r="4" spans="1:13" ht="15.75" customHeight="1" x14ac:dyDescent="0.2">
      <c r="A4" s="1925" t="s">
        <v>1499</v>
      </c>
      <c r="B4" s="1926">
        <v>1000</v>
      </c>
      <c r="C4" s="1739">
        <f>'Revenues 9-14'!C109</f>
        <v>905660</v>
      </c>
      <c r="D4" s="1739">
        <f>'Revenues 9-14'!D109</f>
        <v>265504</v>
      </c>
      <c r="E4" s="1739">
        <f>'Revenues 9-14'!E109</f>
        <v>188509</v>
      </c>
      <c r="F4" s="1739">
        <f>'Revenues 9-14'!F109</f>
        <v>41719</v>
      </c>
      <c r="G4" s="1739">
        <f>'Revenues 9-14'!G109</f>
        <v>120828</v>
      </c>
      <c r="H4" s="1739">
        <f>'Revenues 9-14'!H109</f>
        <v>152287</v>
      </c>
      <c r="I4" s="1739">
        <f>'Revenues 9-14'!I109</f>
        <v>10281</v>
      </c>
      <c r="J4" s="1739">
        <f>'Revenues 9-14'!J109</f>
        <v>78501</v>
      </c>
      <c r="K4" s="1739">
        <f>'Revenues 9-14'!K109</f>
        <v>10361</v>
      </c>
      <c r="L4" s="347"/>
    </row>
    <row r="5" spans="1:13" ht="15.75" customHeight="1" x14ac:dyDescent="0.2">
      <c r="A5" s="1573" t="s">
        <v>1500</v>
      </c>
      <c r="B5" s="1574">
        <v>2000</v>
      </c>
      <c r="C5" s="1740">
        <f>'Revenues 9-14'!C114</f>
        <v>0</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1838698</v>
      </c>
      <c r="D6" s="1740">
        <f>'Revenues 9-14'!D170</f>
        <v>100000</v>
      </c>
      <c r="E6" s="1740">
        <f>'Revenues 9-14'!E170</f>
        <v>0</v>
      </c>
      <c r="F6" s="1740">
        <f>'Revenues 9-14'!F170</f>
        <v>164562</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1502</v>
      </c>
      <c r="B7" s="1575">
        <v>4000</v>
      </c>
      <c r="C7" s="1740">
        <f>'Revenues 9-14'!C267</f>
        <v>321809</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3066167</v>
      </c>
      <c r="D8" s="1685">
        <f t="shared" ref="D8:K8" si="0">SUM(D4:D7)</f>
        <v>365504</v>
      </c>
      <c r="E8" s="1685">
        <f t="shared" si="0"/>
        <v>188509</v>
      </c>
      <c r="F8" s="1685">
        <f t="shared" si="0"/>
        <v>206281</v>
      </c>
      <c r="G8" s="1685">
        <f t="shared" si="0"/>
        <v>120828</v>
      </c>
      <c r="H8" s="1685">
        <f t="shared" si="0"/>
        <v>152287</v>
      </c>
      <c r="I8" s="1685">
        <f t="shared" si="0"/>
        <v>10281</v>
      </c>
      <c r="J8" s="1685">
        <f t="shared" si="0"/>
        <v>78501</v>
      </c>
      <c r="K8" s="1685">
        <f t="shared" si="0"/>
        <v>10361</v>
      </c>
      <c r="L8" s="347"/>
    </row>
    <row r="9" spans="1:13" ht="15.75" thickTop="1" x14ac:dyDescent="0.2">
      <c r="A9" s="511" t="s">
        <v>1653</v>
      </c>
      <c r="B9" s="512">
        <v>3998</v>
      </c>
      <c r="C9" s="465">
        <v>1539937</v>
      </c>
      <c r="D9" s="513"/>
      <c r="E9" s="479"/>
      <c r="F9" s="479"/>
      <c r="G9" s="514"/>
      <c r="H9" s="479"/>
      <c r="I9" s="506" t="s">
        <v>1169</v>
      </c>
      <c r="J9" s="476"/>
      <c r="K9" s="479"/>
      <c r="L9" s="347"/>
    </row>
    <row r="10" spans="1:13" s="516" customFormat="1" ht="13.5" thickBot="1" x14ac:dyDescent="0.25">
      <c r="A10" s="1733" t="s">
        <v>1173</v>
      </c>
      <c r="B10" s="1706"/>
      <c r="C10" s="1685">
        <f>SUM(C8:C9)</f>
        <v>4606104</v>
      </c>
      <c r="D10" s="1685">
        <f t="shared" ref="D10:K10" si="1">SUM(D8:D9)</f>
        <v>365504</v>
      </c>
      <c r="E10" s="1685">
        <f t="shared" si="1"/>
        <v>188509</v>
      </c>
      <c r="F10" s="1685">
        <f t="shared" si="1"/>
        <v>206281</v>
      </c>
      <c r="G10" s="1685">
        <f t="shared" si="1"/>
        <v>120828</v>
      </c>
      <c r="H10" s="1685">
        <f t="shared" si="1"/>
        <v>152287</v>
      </c>
      <c r="I10" s="1685">
        <f t="shared" si="1"/>
        <v>10281</v>
      </c>
      <c r="J10" s="1685">
        <f t="shared" si="1"/>
        <v>78501</v>
      </c>
      <c r="K10" s="1685">
        <f t="shared" si="1"/>
        <v>10361</v>
      </c>
      <c r="L10" s="515"/>
    </row>
    <row r="11" spans="1:13" s="516" customFormat="1" ht="16.7" customHeight="1" thickTop="1" x14ac:dyDescent="0.2">
      <c r="A11" s="2128" t="s">
        <v>1176</v>
      </c>
      <c r="B11" s="2129"/>
      <c r="C11" s="1567"/>
      <c r="D11" s="1568"/>
      <c r="E11" s="1568"/>
      <c r="F11" s="1568"/>
      <c r="G11" s="1568"/>
      <c r="H11" s="1568"/>
      <c r="I11" s="1568"/>
      <c r="J11" s="1568"/>
      <c r="K11" s="1569"/>
      <c r="L11" s="515"/>
    </row>
    <row r="12" spans="1:13" ht="15.75" customHeight="1" x14ac:dyDescent="0.2">
      <c r="A12" s="1573" t="s">
        <v>456</v>
      </c>
      <c r="B12" s="1575">
        <v>1000</v>
      </c>
      <c r="C12" s="1739">
        <f>'Expenditures 15-22'!K33</f>
        <v>2516578</v>
      </c>
      <c r="D12" s="517" t="s">
        <v>1169</v>
      </c>
      <c r="E12" s="468" t="s">
        <v>1169</v>
      </c>
      <c r="F12" s="468" t="s">
        <v>1169</v>
      </c>
      <c r="G12" s="1739">
        <f>'Expenditures 15-22'!K229</f>
        <v>64762</v>
      </c>
      <c r="H12" s="518"/>
      <c r="I12" s="468" t="s">
        <v>1169</v>
      </c>
      <c r="J12" s="468" t="s">
        <v>1169</v>
      </c>
      <c r="K12" s="518" t="s">
        <v>1169</v>
      </c>
      <c r="L12" s="347"/>
    </row>
    <row r="13" spans="1:13" ht="15.75" customHeight="1" x14ac:dyDescent="0.2">
      <c r="A13" s="1573" t="s">
        <v>457</v>
      </c>
      <c r="B13" s="1575">
        <v>2000</v>
      </c>
      <c r="C13" s="1740">
        <f>'Expenditures 15-22'!K74</f>
        <v>1034100</v>
      </c>
      <c r="D13" s="1740">
        <f>'Expenditures 15-22'!K129</f>
        <v>424883</v>
      </c>
      <c r="E13" s="469" t="s">
        <v>1169</v>
      </c>
      <c r="F13" s="1740">
        <f>'Expenditures 15-22'!K184</f>
        <v>342708</v>
      </c>
      <c r="G13" s="1740">
        <f>'Expenditures 15-22'!K279</f>
        <v>135747</v>
      </c>
      <c r="H13" s="1740">
        <f>'Expenditures 15-22'!K303</f>
        <v>143604</v>
      </c>
      <c r="I13" s="468" t="s">
        <v>1169</v>
      </c>
      <c r="J13" s="1740">
        <f>'Expenditures 15-22'!K330</f>
        <v>153635</v>
      </c>
      <c r="K13" s="1744">
        <f>'Expenditures 15-22'!K352</f>
        <v>1307</v>
      </c>
      <c r="L13" s="347"/>
    </row>
    <row r="14" spans="1:13" ht="15.75" customHeight="1" x14ac:dyDescent="0.2">
      <c r="A14" s="1573" t="s">
        <v>449</v>
      </c>
      <c r="B14" s="1575">
        <v>3000</v>
      </c>
      <c r="C14" s="1740">
        <f>'Expenditures 15-22'!K75</f>
        <v>0</v>
      </c>
      <c r="D14" s="1740">
        <f>'Expenditures 15-22'!K130</f>
        <v>0</v>
      </c>
      <c r="E14" s="517" t="s">
        <v>1169</v>
      </c>
      <c r="F14" s="1740">
        <f>'Expenditures 15-22'!K185</f>
        <v>0</v>
      </c>
      <c r="G14" s="1740">
        <f>'Expenditures 15-22'!K280</f>
        <v>0</v>
      </c>
      <c r="H14" s="509"/>
      <c r="I14" s="468" t="s">
        <v>1169</v>
      </c>
      <c r="J14" s="468" t="s">
        <v>1169</v>
      </c>
      <c r="K14" s="509" t="s">
        <v>1169</v>
      </c>
      <c r="L14" s="347"/>
    </row>
    <row r="15" spans="1:13" ht="15.75" customHeight="1" x14ac:dyDescent="0.2">
      <c r="A15" s="1573" t="s">
        <v>107</v>
      </c>
      <c r="B15" s="1575">
        <v>4000</v>
      </c>
      <c r="C15" s="1740">
        <f>'Expenditures 15-22'!K102</f>
        <v>92154</v>
      </c>
      <c r="D15" s="1740">
        <f>'Expenditures 15-22'!K139</f>
        <v>150</v>
      </c>
      <c r="E15" s="1740">
        <f>'Expenditures 15-22'!K160</f>
        <v>0</v>
      </c>
      <c r="F15" s="1740">
        <f>'Expenditures 15-22'!K196</f>
        <v>0</v>
      </c>
      <c r="G15" s="1740">
        <f>'Expenditures 15-22'!K285</f>
        <v>0</v>
      </c>
      <c r="H15" s="1740">
        <f>'Expenditures 15-22'!K310</f>
        <v>0</v>
      </c>
      <c r="I15" s="468" t="s">
        <v>1169</v>
      </c>
      <c r="J15" s="1832">
        <f>'Expenditures 15-22'!K334</f>
        <v>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416721</v>
      </c>
      <c r="F16" s="1740">
        <f>'Expenditures 15-22'!K208</f>
        <v>0</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3642832</v>
      </c>
      <c r="D17" s="1685">
        <f t="shared" si="2"/>
        <v>425033</v>
      </c>
      <c r="E17" s="1685">
        <f t="shared" si="2"/>
        <v>416721</v>
      </c>
      <c r="F17" s="1685">
        <f t="shared" si="2"/>
        <v>342708</v>
      </c>
      <c r="G17" s="1685">
        <f t="shared" si="2"/>
        <v>200509</v>
      </c>
      <c r="H17" s="1685">
        <f t="shared" si="2"/>
        <v>143604</v>
      </c>
      <c r="I17" s="468"/>
      <c r="J17" s="1685">
        <f>SUM(J12:J16)</f>
        <v>153635</v>
      </c>
      <c r="K17" s="1685">
        <f>SUM(K12:K16)</f>
        <v>1307</v>
      </c>
      <c r="L17" s="347"/>
    </row>
    <row r="18" spans="1:12" ht="15" customHeight="1" thickTop="1" x14ac:dyDescent="0.2">
      <c r="A18" s="1741" t="s">
        <v>1654</v>
      </c>
      <c r="B18" s="1742">
        <v>4180</v>
      </c>
      <c r="C18" s="1739">
        <f t="shared" ref="C18:H18" si="3">C9</f>
        <v>1539937</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5182769</v>
      </c>
      <c r="D19" s="1685">
        <f t="shared" si="4"/>
        <v>425033</v>
      </c>
      <c r="E19" s="1685">
        <f t="shared" si="4"/>
        <v>416721</v>
      </c>
      <c r="F19" s="1685">
        <f t="shared" si="4"/>
        <v>342708</v>
      </c>
      <c r="G19" s="1685">
        <f t="shared" si="4"/>
        <v>200509</v>
      </c>
      <c r="H19" s="1685">
        <f t="shared" si="4"/>
        <v>143604</v>
      </c>
      <c r="I19" s="468"/>
      <c r="J19" s="1685">
        <f>SUM(J17:J18)</f>
        <v>153635</v>
      </c>
      <c r="K19" s="1685">
        <f>SUM(K17:K18)</f>
        <v>1307</v>
      </c>
      <c r="L19" s="347"/>
    </row>
    <row r="20" spans="1:12" ht="16.5" thickTop="1" thickBot="1" x14ac:dyDescent="0.25">
      <c r="A20" s="2144" t="s">
        <v>1655</v>
      </c>
      <c r="B20" s="2145"/>
      <c r="C20" s="1743">
        <f>C8-C17</f>
        <v>-576665</v>
      </c>
      <c r="D20" s="1743">
        <f t="shared" ref="D20:K20" si="5">D8-D17</f>
        <v>-59529</v>
      </c>
      <c r="E20" s="1743">
        <f t="shared" si="5"/>
        <v>-228212</v>
      </c>
      <c r="F20" s="1743">
        <f t="shared" si="5"/>
        <v>-136427</v>
      </c>
      <c r="G20" s="1743">
        <f t="shared" si="5"/>
        <v>-79681</v>
      </c>
      <c r="H20" s="1743">
        <f t="shared" si="5"/>
        <v>8683</v>
      </c>
      <c r="I20" s="1743">
        <f t="shared" si="5"/>
        <v>10281</v>
      </c>
      <c r="J20" s="1743">
        <f t="shared" si="5"/>
        <v>-75134</v>
      </c>
      <c r="K20" s="1743">
        <f t="shared" si="5"/>
        <v>9054</v>
      </c>
      <c r="L20" s="347"/>
    </row>
    <row r="21" spans="1:12" ht="16.7" customHeight="1" thickTop="1" x14ac:dyDescent="0.2">
      <c r="A21" s="2156" t="s">
        <v>595</v>
      </c>
      <c r="B21" s="2157"/>
      <c r="C21" s="1567"/>
      <c r="D21" s="1568"/>
      <c r="E21" s="1568"/>
      <c r="F21" s="1568"/>
      <c r="G21" s="1568"/>
      <c r="H21" s="1568"/>
      <c r="I21" s="1568"/>
      <c r="J21" s="1568"/>
      <c r="K21" s="1569"/>
      <c r="L21" s="521"/>
    </row>
    <row r="22" spans="1:12" ht="15.75" customHeight="1" collapsed="1" x14ac:dyDescent="0.2">
      <c r="A22" s="2152" t="s">
        <v>596</v>
      </c>
      <c r="B22" s="2153"/>
      <c r="C22" s="475"/>
      <c r="D22" s="475"/>
      <c r="E22" s="475"/>
      <c r="F22" s="475"/>
      <c r="G22" s="475"/>
      <c r="H22" s="475"/>
      <c r="I22" s="475"/>
      <c r="J22" s="475"/>
      <c r="K22" s="475"/>
      <c r="L22" s="347"/>
    </row>
    <row r="23" spans="1:12" s="483" customFormat="1" ht="15.75" customHeight="1" x14ac:dyDescent="0.2">
      <c r="A23" s="2148" t="s">
        <v>293</v>
      </c>
      <c r="B23" s="2149"/>
      <c r="C23" s="478"/>
      <c r="D23" s="475"/>
      <c r="E23" s="475"/>
      <c r="F23" s="475"/>
      <c r="G23" s="475"/>
      <c r="H23" s="475"/>
      <c r="I23" s="475"/>
      <c r="J23" s="475"/>
      <c r="K23" s="475"/>
      <c r="L23" s="521"/>
    </row>
    <row r="24" spans="1:12" s="483" customFormat="1" ht="13.5" customHeight="1" x14ac:dyDescent="0.2">
      <c r="A24" s="1486" t="s">
        <v>1656</v>
      </c>
      <c r="B24" s="522">
        <v>7110</v>
      </c>
      <c r="C24" s="465">
        <v>0</v>
      </c>
      <c r="D24" s="475"/>
      <c r="E24" s="475"/>
      <c r="F24" s="475"/>
      <c r="G24" s="475"/>
      <c r="H24" s="475"/>
      <c r="I24" s="475"/>
      <c r="J24" s="475"/>
      <c r="K24" s="475"/>
      <c r="L24" s="521"/>
    </row>
    <row r="25" spans="1:12" s="483" customFormat="1" ht="13.5" customHeight="1" x14ac:dyDescent="0.2">
      <c r="A25" s="1486" t="s">
        <v>1657</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1794</v>
      </c>
      <c r="B30" s="524">
        <v>7160</v>
      </c>
      <c r="C30" s="475"/>
      <c r="D30" s="467">
        <v>0</v>
      </c>
      <c r="E30" s="475"/>
      <c r="F30" s="475"/>
      <c r="G30" s="475"/>
      <c r="H30" s="475"/>
      <c r="I30" s="475"/>
      <c r="J30" s="475"/>
      <c r="K30" s="475"/>
      <c r="L30" s="521"/>
    </row>
    <row r="31" spans="1:12" s="483" customFormat="1" ht="26.25" x14ac:dyDescent="0.2">
      <c r="A31" s="1486" t="s">
        <v>1798</v>
      </c>
      <c r="B31" s="524">
        <v>7170</v>
      </c>
      <c r="C31" s="475"/>
      <c r="D31" s="475"/>
      <c r="E31" s="473">
        <v>0</v>
      </c>
      <c r="F31" s="475"/>
      <c r="G31" s="475"/>
      <c r="H31" s="475"/>
      <c r="I31" s="475"/>
      <c r="J31" s="475"/>
      <c r="K31" s="475"/>
      <c r="L31" s="521"/>
    </row>
    <row r="32" spans="1:12" s="483" customFormat="1" ht="15.75" customHeight="1" x14ac:dyDescent="0.2">
      <c r="A32" s="2150" t="s">
        <v>981</v>
      </c>
      <c r="B32" s="2151"/>
      <c r="C32" s="475"/>
      <c r="D32" s="475"/>
      <c r="E32" s="474"/>
      <c r="F32" s="475"/>
      <c r="G32" s="475"/>
      <c r="H32" s="475"/>
      <c r="I32" s="475"/>
      <c r="J32" s="475"/>
      <c r="K32" s="475"/>
      <c r="L32" s="521"/>
    </row>
    <row r="33" spans="1:12" s="483" customFormat="1" x14ac:dyDescent="0.2">
      <c r="A33" s="1486" t="s">
        <v>412</v>
      </c>
      <c r="B33" s="522">
        <v>7210</v>
      </c>
      <c r="C33" s="465">
        <v>0</v>
      </c>
      <c r="D33" s="467">
        <v>0</v>
      </c>
      <c r="E33" s="467">
        <v>0</v>
      </c>
      <c r="F33" s="467">
        <v>0</v>
      </c>
      <c r="G33" s="475"/>
      <c r="H33" s="467">
        <v>0</v>
      </c>
      <c r="I33" s="467">
        <v>0</v>
      </c>
      <c r="J33" s="467">
        <v>0</v>
      </c>
      <c r="K33" s="467">
        <v>0</v>
      </c>
      <c r="L33" s="521"/>
    </row>
    <row r="34" spans="1:12" s="483" customFormat="1" x14ac:dyDescent="0.2">
      <c r="A34" s="1486" t="s">
        <v>1001</v>
      </c>
      <c r="B34" s="522">
        <v>7220</v>
      </c>
      <c r="C34" s="465">
        <v>0</v>
      </c>
      <c r="D34" s="467">
        <v>0</v>
      </c>
      <c r="E34" s="467">
        <v>0</v>
      </c>
      <c r="F34" s="467">
        <v>0</v>
      </c>
      <c r="G34" s="475"/>
      <c r="H34" s="476">
        <v>0</v>
      </c>
      <c r="I34" s="476">
        <v>0</v>
      </c>
      <c r="J34" s="476">
        <v>0</v>
      </c>
      <c r="K34" s="476">
        <v>0</v>
      </c>
      <c r="L34" s="521"/>
    </row>
    <row r="35" spans="1:12" s="483" customFormat="1" x14ac:dyDescent="0.2">
      <c r="A35" s="1486" t="s">
        <v>990</v>
      </c>
      <c r="B35" s="522">
        <v>7230</v>
      </c>
      <c r="C35" s="465">
        <v>0</v>
      </c>
      <c r="D35" s="467">
        <v>0</v>
      </c>
      <c r="E35" s="467">
        <v>0</v>
      </c>
      <c r="F35" s="467">
        <v>0</v>
      </c>
      <c r="G35" s="478"/>
      <c r="H35" s="467">
        <v>0</v>
      </c>
      <c r="I35" s="467">
        <v>0</v>
      </c>
      <c r="J35" s="467">
        <v>0</v>
      </c>
      <c r="K35" s="467">
        <v>0</v>
      </c>
      <c r="L35" s="521"/>
    </row>
    <row r="36" spans="1:12" s="483" customFormat="1" ht="15" x14ac:dyDescent="0.2">
      <c r="A36" s="1486" t="s">
        <v>1658</v>
      </c>
      <c r="B36" s="522">
        <v>7300</v>
      </c>
      <c r="C36" s="465">
        <v>0</v>
      </c>
      <c r="D36" s="467">
        <v>0</v>
      </c>
      <c r="E36" s="467">
        <v>0</v>
      </c>
      <c r="F36" s="467">
        <v>0</v>
      </c>
      <c r="G36" s="467">
        <v>0</v>
      </c>
      <c r="H36" s="467">
        <v>0</v>
      </c>
      <c r="I36" s="474"/>
      <c r="J36" s="467">
        <v>0</v>
      </c>
      <c r="K36" s="467">
        <v>0</v>
      </c>
      <c r="L36" s="521"/>
    </row>
    <row r="37" spans="1:12" s="483" customFormat="1" x14ac:dyDescent="0.2">
      <c r="A37" s="1486" t="s">
        <v>441</v>
      </c>
      <c r="B37" s="522">
        <v>7400</v>
      </c>
      <c r="C37" s="474"/>
      <c r="D37" s="474"/>
      <c r="E37" s="1740">
        <f>SUM(C54:D57,H54:H57)</f>
        <v>0</v>
      </c>
      <c r="F37" s="474"/>
      <c r="G37" s="474"/>
      <c r="H37" s="474"/>
      <c r="I37" s="475"/>
      <c r="J37" s="474"/>
      <c r="K37" s="474"/>
      <c r="L37" s="521"/>
    </row>
    <row r="38" spans="1:12" s="483" customFormat="1" x14ac:dyDescent="0.2">
      <c r="A38" s="1486" t="s">
        <v>442</v>
      </c>
      <c r="B38" s="522">
        <v>7500</v>
      </c>
      <c r="C38" s="475"/>
      <c r="D38" s="475"/>
      <c r="E38" s="1740">
        <f>SUM(C58:D61,H58:H61)</f>
        <v>0</v>
      </c>
      <c r="F38" s="475"/>
      <c r="G38" s="475"/>
      <c r="H38" s="475"/>
      <c r="I38" s="475"/>
      <c r="J38" s="475"/>
      <c r="K38" s="475"/>
      <c r="L38" s="521"/>
    </row>
    <row r="39" spans="1:12" s="483" customFormat="1" x14ac:dyDescent="0.2">
      <c r="A39" s="1486" t="s">
        <v>443</v>
      </c>
      <c r="B39" s="522">
        <v>7600</v>
      </c>
      <c r="C39" s="475"/>
      <c r="D39" s="475"/>
      <c r="E39" s="1740">
        <f>SUM(C62:D65)</f>
        <v>0</v>
      </c>
      <c r="F39" s="475"/>
      <c r="G39" s="475"/>
      <c r="H39" s="475"/>
      <c r="I39" s="475"/>
      <c r="J39" s="475"/>
      <c r="K39" s="475"/>
      <c r="L39" s="521"/>
    </row>
    <row r="40" spans="1:12" s="483" customFormat="1" ht="13.5" customHeight="1" x14ac:dyDescent="0.2">
      <c r="A40" s="1486" t="s">
        <v>642</v>
      </c>
      <c r="B40" s="481">
        <v>7700</v>
      </c>
      <c r="C40" s="475"/>
      <c r="D40" s="475"/>
      <c r="E40" s="1740">
        <f>SUM(C66:D69)</f>
        <v>0</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0</v>
      </c>
      <c r="I41" s="475"/>
      <c r="J41" s="475"/>
      <c r="K41" s="478"/>
      <c r="L41" s="521"/>
    </row>
    <row r="42" spans="1:12" s="483" customFormat="1" ht="13.5" customHeight="1" x14ac:dyDescent="0.2">
      <c r="A42" s="1486"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373</v>
      </c>
      <c r="B43" s="481">
        <v>7990</v>
      </c>
      <c r="C43" s="465">
        <v>0</v>
      </c>
      <c r="D43" s="467">
        <v>0</v>
      </c>
      <c r="E43" s="467">
        <v>29225</v>
      </c>
      <c r="F43" s="467">
        <v>0</v>
      </c>
      <c r="G43" s="467">
        <v>0</v>
      </c>
      <c r="H43" s="467">
        <v>0</v>
      </c>
      <c r="I43" s="467">
        <v>0</v>
      </c>
      <c r="J43" s="467">
        <v>0</v>
      </c>
      <c r="K43" s="467">
        <v>0</v>
      </c>
      <c r="L43" s="521"/>
    </row>
    <row r="44" spans="1:12" s="483" customFormat="1" ht="13.5" customHeight="1" thickBot="1" x14ac:dyDescent="0.25">
      <c r="A44" s="2158" t="s">
        <v>374</v>
      </c>
      <c r="B44" s="2159"/>
      <c r="C44" s="1700">
        <f>SUM(C24:C43)</f>
        <v>0</v>
      </c>
      <c r="D44" s="1700">
        <f t="shared" ref="D44:K44" si="6">SUM(D24:D43)</f>
        <v>0</v>
      </c>
      <c r="E44" s="1700">
        <f t="shared" si="6"/>
        <v>29225</v>
      </c>
      <c r="F44" s="1700">
        <f t="shared" si="6"/>
        <v>0</v>
      </c>
      <c r="G44" s="1700">
        <f t="shared" si="6"/>
        <v>0</v>
      </c>
      <c r="H44" s="1700">
        <f t="shared" si="6"/>
        <v>0</v>
      </c>
      <c r="I44" s="1700">
        <f t="shared" si="6"/>
        <v>0</v>
      </c>
      <c r="J44" s="1700">
        <f t="shared" si="6"/>
        <v>0</v>
      </c>
      <c r="K44" s="1700">
        <f t="shared" si="6"/>
        <v>0</v>
      </c>
      <c r="L44" s="521"/>
    </row>
    <row r="45" spans="1:12" ht="15.75" customHeight="1" thickTop="1" x14ac:dyDescent="0.2">
      <c r="A45" s="2152" t="s">
        <v>108</v>
      </c>
      <c r="B45" s="2153"/>
      <c r="C45" s="525"/>
      <c r="D45" s="525"/>
      <c r="E45" s="525"/>
      <c r="F45" s="525"/>
      <c r="G45" s="525"/>
      <c r="H45" s="525"/>
      <c r="I45" s="525"/>
      <c r="J45" s="525"/>
      <c r="K45" s="525"/>
      <c r="L45" s="347"/>
    </row>
    <row r="46" spans="1:12" s="483" customFormat="1" ht="15.75" customHeight="1" x14ac:dyDescent="0.2">
      <c r="A46" s="2160" t="s">
        <v>109</v>
      </c>
      <c r="B46" s="2161"/>
      <c r="C46" s="475"/>
      <c r="D46" s="475"/>
      <c r="E46" s="475"/>
      <c r="F46" s="475"/>
      <c r="G46" s="475"/>
      <c r="H46" s="475"/>
      <c r="I46" s="478"/>
      <c r="J46" s="475"/>
      <c r="K46" s="475"/>
      <c r="L46" s="526"/>
    </row>
    <row r="47" spans="1:12" s="483" customFormat="1" ht="15" x14ac:dyDescent="0.2">
      <c r="A47" s="1487" t="s">
        <v>1659</v>
      </c>
      <c r="B47" s="481">
        <v>8110</v>
      </c>
      <c r="C47" s="475"/>
      <c r="D47" s="475"/>
      <c r="E47" s="475"/>
      <c r="F47" s="475"/>
      <c r="G47" s="475"/>
      <c r="H47" s="475"/>
      <c r="I47" s="1740">
        <f>SUM(C24,C25:H25,J25:K25)</f>
        <v>0</v>
      </c>
      <c r="J47" s="475"/>
      <c r="K47" s="475"/>
      <c r="L47" s="526"/>
    </row>
    <row r="48" spans="1:12" s="483" customFormat="1" ht="15" x14ac:dyDescent="0.2">
      <c r="A48" s="1487" t="s">
        <v>1660</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0</v>
      </c>
      <c r="D49" s="467">
        <v>0</v>
      </c>
      <c r="E49" s="478"/>
      <c r="F49" s="467">
        <v>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1797</v>
      </c>
      <c r="B52" s="481">
        <v>8160</v>
      </c>
      <c r="C52" s="475"/>
      <c r="D52" s="475"/>
      <c r="E52" s="475"/>
      <c r="F52" s="475"/>
      <c r="G52" s="475"/>
      <c r="H52" s="475"/>
      <c r="I52" s="475"/>
      <c r="J52" s="475"/>
      <c r="K52" s="1740">
        <f>D30</f>
        <v>0</v>
      </c>
      <c r="L52" s="521"/>
    </row>
    <row r="53" spans="1:12" s="483" customFormat="1" ht="26.25" x14ac:dyDescent="0.2">
      <c r="A53" s="1487" t="s">
        <v>1796</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0</v>
      </c>
      <c r="D54" s="527">
        <v>0</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0</v>
      </c>
      <c r="D57" s="528">
        <v>0</v>
      </c>
      <c r="E57" s="475"/>
      <c r="F57" s="475"/>
      <c r="G57" s="475"/>
      <c r="H57" s="527">
        <v>0</v>
      </c>
      <c r="I57" s="475"/>
      <c r="J57" s="475"/>
      <c r="K57" s="475"/>
      <c r="L57" s="521"/>
    </row>
    <row r="58" spans="1:12" s="483" customFormat="1" ht="14.25" thickTop="1" thickBot="1" x14ac:dyDescent="0.25">
      <c r="A58" s="1487" t="s">
        <v>579</v>
      </c>
      <c r="B58" s="481">
        <v>8510</v>
      </c>
      <c r="C58" s="528">
        <v>0</v>
      </c>
      <c r="D58" s="528">
        <v>0</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0</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0</v>
      </c>
      <c r="E64" s="475"/>
      <c r="F64" s="475"/>
      <c r="G64" s="475"/>
      <c r="H64" s="475"/>
      <c r="I64" s="475"/>
      <c r="J64" s="475"/>
      <c r="K64" s="475"/>
      <c r="L64" s="521"/>
    </row>
    <row r="65" spans="1:12" s="483" customFormat="1" ht="14.25" thickTop="1" thickBot="1" x14ac:dyDescent="0.25">
      <c r="A65" s="1488" t="s">
        <v>746</v>
      </c>
      <c r="B65" s="481">
        <v>8640</v>
      </c>
      <c r="C65" s="528">
        <v>0</v>
      </c>
      <c r="D65" s="528">
        <v>0</v>
      </c>
      <c r="E65" s="475"/>
      <c r="F65" s="475"/>
      <c r="G65" s="475"/>
      <c r="H65" s="475"/>
      <c r="I65" s="475"/>
      <c r="J65" s="475"/>
      <c r="K65" s="475"/>
      <c r="L65" s="521"/>
    </row>
    <row r="66" spans="1:12" s="483" customFormat="1" ht="14.25" thickTop="1" thickBot="1" x14ac:dyDescent="0.25">
      <c r="A66" s="1487" t="s">
        <v>747</v>
      </c>
      <c r="B66" s="481">
        <v>8710</v>
      </c>
      <c r="C66" s="528">
        <v>0</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0</v>
      </c>
      <c r="E68" s="475"/>
      <c r="F68" s="475"/>
      <c r="G68" s="475"/>
      <c r="H68" s="475"/>
      <c r="I68" s="475"/>
      <c r="J68" s="475"/>
      <c r="K68" s="475"/>
      <c r="L68" s="521"/>
    </row>
    <row r="69" spans="1:12" s="483" customFormat="1" ht="14.25" thickTop="1" thickBot="1" x14ac:dyDescent="0.25">
      <c r="A69" s="1488" t="s">
        <v>749</v>
      </c>
      <c r="B69" s="481">
        <v>8740</v>
      </c>
      <c r="C69" s="528">
        <v>0</v>
      </c>
      <c r="D69" s="528">
        <v>0</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0</v>
      </c>
      <c r="E72" s="475"/>
      <c r="F72" s="475"/>
      <c r="G72" s="475"/>
      <c r="H72" s="475"/>
      <c r="I72" s="475"/>
      <c r="J72" s="475"/>
      <c r="K72" s="475"/>
      <c r="L72" s="521"/>
    </row>
    <row r="73" spans="1:12" s="483" customFormat="1" ht="14.25" thickTop="1" thickBot="1" x14ac:dyDescent="0.25">
      <c r="A73" s="1487" t="s">
        <v>752</v>
      </c>
      <c r="B73" s="481">
        <v>8840</v>
      </c>
      <c r="C73" s="528">
        <v>0</v>
      </c>
      <c r="D73" s="528">
        <v>0</v>
      </c>
      <c r="E73" s="475"/>
      <c r="F73" s="475"/>
      <c r="G73" s="475"/>
      <c r="H73" s="475"/>
      <c r="I73" s="475"/>
      <c r="J73" s="475"/>
      <c r="K73" s="478"/>
      <c r="L73" s="521"/>
    </row>
    <row r="74" spans="1:12" s="483" customFormat="1" ht="14.25" thickTop="1" thickBot="1" x14ac:dyDescent="0.25">
      <c r="A74" s="1487"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29225</v>
      </c>
      <c r="E75" s="527">
        <v>0</v>
      </c>
      <c r="F75" s="529">
        <v>0</v>
      </c>
      <c r="G75" s="529">
        <v>0</v>
      </c>
      <c r="H75" s="529">
        <v>0</v>
      </c>
      <c r="I75" s="527">
        <v>0</v>
      </c>
      <c r="J75" s="527">
        <v>0</v>
      </c>
      <c r="K75" s="529">
        <v>0</v>
      </c>
      <c r="L75" s="521"/>
    </row>
    <row r="76" spans="1:12" s="483" customFormat="1" ht="14.25" thickTop="1" thickBot="1" x14ac:dyDescent="0.25">
      <c r="A76" s="2134" t="s">
        <v>440</v>
      </c>
      <c r="B76" s="2135"/>
      <c r="C76" s="1700">
        <f t="shared" ref="C76:K76" si="7">SUM(C47:C75)</f>
        <v>0</v>
      </c>
      <c r="D76" s="1700">
        <f t="shared" si="7"/>
        <v>29225</v>
      </c>
      <c r="E76" s="1700">
        <f t="shared" si="7"/>
        <v>0</v>
      </c>
      <c r="F76" s="1700">
        <f t="shared" si="7"/>
        <v>0</v>
      </c>
      <c r="G76" s="1700">
        <f t="shared" si="7"/>
        <v>0</v>
      </c>
      <c r="H76" s="1700">
        <f t="shared" si="7"/>
        <v>0</v>
      </c>
      <c r="I76" s="1700">
        <f t="shared" si="7"/>
        <v>0</v>
      </c>
      <c r="J76" s="1700">
        <f t="shared" si="7"/>
        <v>0</v>
      </c>
      <c r="K76" s="1700">
        <f t="shared" si="7"/>
        <v>0</v>
      </c>
      <c r="L76" s="521"/>
    </row>
    <row r="77" spans="1:12" ht="14.25" thickTop="1" thickBot="1" x14ac:dyDescent="0.25">
      <c r="A77" s="2136" t="s">
        <v>1177</v>
      </c>
      <c r="B77" s="2137"/>
      <c r="C77" s="1700">
        <f t="shared" ref="C77:K77" si="8">C44-C76</f>
        <v>0</v>
      </c>
      <c r="D77" s="1700">
        <f t="shared" si="8"/>
        <v>-29225</v>
      </c>
      <c r="E77" s="1700">
        <f t="shared" si="8"/>
        <v>29225</v>
      </c>
      <c r="F77" s="1700">
        <f t="shared" si="8"/>
        <v>0</v>
      </c>
      <c r="G77" s="1700">
        <f t="shared" si="8"/>
        <v>0</v>
      </c>
      <c r="H77" s="1700">
        <f t="shared" si="8"/>
        <v>0</v>
      </c>
      <c r="I77" s="1700">
        <f t="shared" si="8"/>
        <v>0</v>
      </c>
      <c r="J77" s="1700">
        <f t="shared" si="8"/>
        <v>0</v>
      </c>
      <c r="K77" s="1700">
        <f t="shared" si="8"/>
        <v>0</v>
      </c>
      <c r="L77" s="347"/>
    </row>
    <row r="78" spans="1:12" ht="21.75" customHeight="1" thickTop="1" thickBot="1" x14ac:dyDescent="0.25">
      <c r="A78" s="2140" t="s">
        <v>597</v>
      </c>
      <c r="B78" s="2141"/>
      <c r="C78" s="1699">
        <f t="shared" ref="C78:K78" si="9">C20+C77</f>
        <v>-576665</v>
      </c>
      <c r="D78" s="1699">
        <f t="shared" si="9"/>
        <v>-88754</v>
      </c>
      <c r="E78" s="1699">
        <f t="shared" si="9"/>
        <v>-198987</v>
      </c>
      <c r="F78" s="1699">
        <f t="shared" si="9"/>
        <v>-136427</v>
      </c>
      <c r="G78" s="1699">
        <f t="shared" si="9"/>
        <v>-79681</v>
      </c>
      <c r="H78" s="1699">
        <f t="shared" si="9"/>
        <v>8683</v>
      </c>
      <c r="I78" s="1699">
        <f t="shared" si="9"/>
        <v>10281</v>
      </c>
      <c r="J78" s="1699">
        <f t="shared" si="9"/>
        <v>-75134</v>
      </c>
      <c r="K78" s="1699">
        <f t="shared" si="9"/>
        <v>9054</v>
      </c>
      <c r="L78" s="530"/>
    </row>
    <row r="79" spans="1:12" ht="13.5" thickTop="1" x14ac:dyDescent="0.2">
      <c r="A79" s="1491" t="s">
        <v>1949</v>
      </c>
      <c r="B79" s="531"/>
      <c r="C79" s="476">
        <v>1538515</v>
      </c>
      <c r="D79" s="476">
        <v>163646</v>
      </c>
      <c r="E79" s="476">
        <v>211440</v>
      </c>
      <c r="F79" s="476">
        <v>200877</v>
      </c>
      <c r="G79" s="476">
        <v>204401</v>
      </c>
      <c r="H79" s="476">
        <v>207757</v>
      </c>
      <c r="I79" s="476">
        <v>62516</v>
      </c>
      <c r="J79" s="476">
        <v>120954</v>
      </c>
      <c r="K79" s="476">
        <v>114990</v>
      </c>
      <c r="L79" s="347"/>
    </row>
    <row r="80" spans="1:12" x14ac:dyDescent="0.2">
      <c r="A80" s="2146" t="s">
        <v>1795</v>
      </c>
      <c r="B80" s="2147"/>
      <c r="C80" s="467">
        <v>0</v>
      </c>
      <c r="D80" s="467">
        <v>0</v>
      </c>
      <c r="E80" s="467">
        <v>0</v>
      </c>
      <c r="F80" s="467">
        <v>0</v>
      </c>
      <c r="G80" s="467">
        <v>0</v>
      </c>
      <c r="H80" s="467">
        <v>0</v>
      </c>
      <c r="I80" s="467">
        <v>0</v>
      </c>
      <c r="J80" s="467">
        <v>0</v>
      </c>
      <c r="K80" s="467">
        <v>0</v>
      </c>
      <c r="L80" s="347"/>
    </row>
    <row r="81" spans="1:12" ht="13.5" thickBot="1" x14ac:dyDescent="0.25">
      <c r="A81" s="2138" t="s">
        <v>1950</v>
      </c>
      <c r="B81" s="2139"/>
      <c r="C81" s="1685">
        <f>(SUM(C78:C80))</f>
        <v>961850</v>
      </c>
      <c r="D81" s="1685">
        <f>SUM(D78:D80)</f>
        <v>74892</v>
      </c>
      <c r="E81" s="1685">
        <f t="shared" ref="E81:K81" si="10">SUM(E78:E80)</f>
        <v>12453</v>
      </c>
      <c r="F81" s="1685">
        <f t="shared" si="10"/>
        <v>64450</v>
      </c>
      <c r="G81" s="1685">
        <f t="shared" si="10"/>
        <v>124720</v>
      </c>
      <c r="H81" s="1685">
        <f t="shared" si="10"/>
        <v>216440</v>
      </c>
      <c r="I81" s="1685">
        <f t="shared" si="10"/>
        <v>72797</v>
      </c>
      <c r="J81" s="1685">
        <f t="shared" si="10"/>
        <v>45820</v>
      </c>
      <c r="K81" s="1685">
        <f t="shared" si="10"/>
        <v>124044</v>
      </c>
      <c r="L81" s="347"/>
    </row>
    <row r="82" spans="1:12" ht="0.75" customHeight="1" thickTop="1" thickBot="1" x14ac:dyDescent="0.25">
      <c r="A82" s="533" t="s">
        <v>343</v>
      </c>
      <c r="B82" s="534"/>
      <c r="C82" s="535">
        <f>(C81-C79)</f>
        <v>-576665</v>
      </c>
      <c r="D82" s="535">
        <f t="shared" ref="D82:K82" si="11">(D81-D79)</f>
        <v>-88754</v>
      </c>
      <c r="E82" s="535">
        <f t="shared" si="11"/>
        <v>-198987</v>
      </c>
      <c r="F82" s="535">
        <f t="shared" si="11"/>
        <v>-136427</v>
      </c>
      <c r="G82" s="535">
        <f t="shared" si="11"/>
        <v>-79681</v>
      </c>
      <c r="H82" s="535">
        <f t="shared" si="11"/>
        <v>8683</v>
      </c>
      <c r="I82" s="535">
        <f t="shared" si="11"/>
        <v>10281</v>
      </c>
      <c r="J82" s="535">
        <f t="shared" si="11"/>
        <v>-75134</v>
      </c>
      <c r="K82" s="535">
        <f t="shared" si="11"/>
        <v>9054</v>
      </c>
    </row>
    <row r="83" spans="1:12" ht="14.25" hidden="1" thickTop="1" thickBot="1" x14ac:dyDescent="0.25">
      <c r="A83" s="536" t="s">
        <v>344</v>
      </c>
      <c r="B83" s="464"/>
      <c r="C83" s="537">
        <f>C82/C81</f>
        <v>-0.59953734989863283</v>
      </c>
      <c r="D83" s="537">
        <f t="shared" ref="D83:K83" si="12">D82/D81</f>
        <v>-1.1850932008759281</v>
      </c>
      <c r="E83" s="537">
        <f t="shared" si="12"/>
        <v>-15.979041194892798</v>
      </c>
      <c r="F83" s="537">
        <f t="shared" si="12"/>
        <v>-2.1167882079131108</v>
      </c>
      <c r="G83" s="537">
        <f t="shared" si="12"/>
        <v>-0.63887908915971781</v>
      </c>
      <c r="H83" s="537">
        <f t="shared" si="12"/>
        <v>4.0117353539087047E-2</v>
      </c>
      <c r="I83" s="537">
        <f t="shared" si="12"/>
        <v>0.14122834732200504</v>
      </c>
      <c r="J83" s="537">
        <f t="shared" si="12"/>
        <v>-1.6397642950676561</v>
      </c>
      <c r="K83" s="537">
        <f t="shared" si="12"/>
        <v>7.2990229273483601E-2</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L30" sqref="L30"/>
      <selection pane="bottomLeft" activeCell="G16" sqref="G16"/>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42" t="s">
        <v>1802</v>
      </c>
      <c r="B1" s="452"/>
      <c r="C1" s="453" t="s">
        <v>425</v>
      </c>
      <c r="D1" s="453" t="s">
        <v>426</v>
      </c>
      <c r="E1" s="453" t="s">
        <v>427</v>
      </c>
      <c r="F1" s="453" t="s">
        <v>428</v>
      </c>
      <c r="G1" s="453" t="s">
        <v>429</v>
      </c>
      <c r="H1" s="453" t="s">
        <v>430</v>
      </c>
      <c r="I1" s="453" t="s">
        <v>431</v>
      </c>
      <c r="J1" s="453" t="s">
        <v>432</v>
      </c>
      <c r="K1" s="453" t="s">
        <v>756</v>
      </c>
    </row>
    <row r="2" spans="1:12" ht="36" x14ac:dyDescent="0.2">
      <c r="A2" s="2143"/>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1661</v>
      </c>
      <c r="B5" s="544"/>
      <c r="C5" s="479">
        <v>661840</v>
      </c>
      <c r="D5" s="479">
        <v>101824</v>
      </c>
      <c r="E5" s="466">
        <v>158124</v>
      </c>
      <c r="F5" s="545">
        <v>40729</v>
      </c>
      <c r="G5" s="466">
        <v>49513</v>
      </c>
      <c r="H5" s="466">
        <v>0</v>
      </c>
      <c r="I5" s="466">
        <v>10182</v>
      </c>
      <c r="J5" s="467">
        <v>78269</v>
      </c>
      <c r="K5" s="466">
        <v>10182</v>
      </c>
    </row>
    <row r="6" spans="1:12" ht="15" x14ac:dyDescent="0.2">
      <c r="A6" s="463" t="s">
        <v>1662</v>
      </c>
      <c r="B6" s="470">
        <v>1130</v>
      </c>
      <c r="C6" s="466">
        <v>0</v>
      </c>
      <c r="D6" s="466">
        <v>10182</v>
      </c>
      <c r="E6" s="474"/>
      <c r="F6" s="474"/>
      <c r="G6" s="468"/>
      <c r="H6" s="468"/>
      <c r="I6" s="468"/>
      <c r="J6" s="468"/>
      <c r="K6" s="468"/>
    </row>
    <row r="7" spans="1:12" x14ac:dyDescent="0.2">
      <c r="A7" s="463" t="s">
        <v>110</v>
      </c>
      <c r="B7" s="546">
        <v>1140</v>
      </c>
      <c r="C7" s="466">
        <v>8146</v>
      </c>
      <c r="D7" s="466">
        <v>0</v>
      </c>
      <c r="E7" s="468"/>
      <c r="F7" s="467">
        <v>0</v>
      </c>
      <c r="G7" s="467">
        <v>0</v>
      </c>
      <c r="H7" s="467">
        <v>0</v>
      </c>
      <c r="I7" s="468"/>
      <c r="J7" s="468"/>
      <c r="K7" s="468"/>
    </row>
    <row r="8" spans="1:12" x14ac:dyDescent="0.2">
      <c r="A8" s="463" t="s">
        <v>413</v>
      </c>
      <c r="B8" s="470">
        <v>1150</v>
      </c>
      <c r="C8" s="474"/>
      <c r="D8" s="474"/>
      <c r="E8" s="475"/>
      <c r="F8" s="475"/>
      <c r="G8" s="479">
        <v>45096</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669986</v>
      </c>
      <c r="D12" s="1704">
        <f t="shared" si="0"/>
        <v>112006</v>
      </c>
      <c r="E12" s="1704">
        <f t="shared" si="0"/>
        <v>158124</v>
      </c>
      <c r="F12" s="1704">
        <f t="shared" si="0"/>
        <v>40729</v>
      </c>
      <c r="G12" s="1704">
        <f t="shared" si="0"/>
        <v>94609</v>
      </c>
      <c r="H12" s="1704">
        <f t="shared" si="0"/>
        <v>0</v>
      </c>
      <c r="I12" s="1704">
        <f t="shared" si="0"/>
        <v>10182</v>
      </c>
      <c r="J12" s="1704">
        <f t="shared" si="0"/>
        <v>78269</v>
      </c>
      <c r="K12" s="1685">
        <f t="shared" si="0"/>
        <v>10182</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1383</v>
      </c>
      <c r="D14" s="466">
        <v>207</v>
      </c>
      <c r="E14" s="466">
        <v>322</v>
      </c>
      <c r="F14" s="466">
        <v>83</v>
      </c>
      <c r="G14" s="466">
        <v>192</v>
      </c>
      <c r="H14" s="466">
        <v>0</v>
      </c>
      <c r="I14" s="466">
        <v>21</v>
      </c>
      <c r="J14" s="467">
        <v>157</v>
      </c>
      <c r="K14" s="466">
        <v>21</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110846</v>
      </c>
      <c r="D16" s="466">
        <v>150000</v>
      </c>
      <c r="E16" s="466">
        <v>0</v>
      </c>
      <c r="F16" s="466">
        <v>0</v>
      </c>
      <c r="G16" s="466">
        <v>25900</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5" t="s">
        <v>537</v>
      </c>
      <c r="B18" s="1706"/>
      <c r="C18" s="1707">
        <f>SUM(C14:C17)</f>
        <v>112229</v>
      </c>
      <c r="D18" s="1707">
        <f t="shared" ref="D18:K18" si="1">SUM(D14:D17)</f>
        <v>150207</v>
      </c>
      <c r="E18" s="1707">
        <f t="shared" si="1"/>
        <v>322</v>
      </c>
      <c r="F18" s="1707">
        <f t="shared" si="1"/>
        <v>83</v>
      </c>
      <c r="G18" s="1707">
        <f t="shared" si="1"/>
        <v>26092</v>
      </c>
      <c r="H18" s="1707">
        <f t="shared" si="1"/>
        <v>0</v>
      </c>
      <c r="I18" s="1707">
        <f t="shared" si="1"/>
        <v>21</v>
      </c>
      <c r="J18" s="1707">
        <f t="shared" si="1"/>
        <v>157</v>
      </c>
      <c r="K18" s="1708">
        <f t="shared" si="1"/>
        <v>21</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17739</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17739</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0</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1617</v>
      </c>
      <c r="D65" s="466">
        <v>1372</v>
      </c>
      <c r="E65" s="466">
        <v>63</v>
      </c>
      <c r="F65" s="467">
        <v>117</v>
      </c>
      <c r="G65" s="466">
        <v>127</v>
      </c>
      <c r="H65" s="466">
        <v>224</v>
      </c>
      <c r="I65" s="466">
        <v>78</v>
      </c>
      <c r="J65" s="467">
        <v>75</v>
      </c>
      <c r="K65" s="466">
        <v>158</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1617</v>
      </c>
      <c r="D67" s="1685">
        <f t="shared" ref="D67:K67" si="2">SUM(D65:D66)</f>
        <v>1372</v>
      </c>
      <c r="E67" s="1685">
        <f t="shared" si="2"/>
        <v>63</v>
      </c>
      <c r="F67" s="1685">
        <f t="shared" si="2"/>
        <v>117</v>
      </c>
      <c r="G67" s="1685">
        <f t="shared" si="2"/>
        <v>127</v>
      </c>
      <c r="H67" s="1685">
        <f t="shared" si="2"/>
        <v>224</v>
      </c>
      <c r="I67" s="1685">
        <f t="shared" si="2"/>
        <v>78</v>
      </c>
      <c r="J67" s="1685">
        <f t="shared" si="2"/>
        <v>75</v>
      </c>
      <c r="K67" s="1685">
        <f t="shared" si="2"/>
        <v>158</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61068</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0</v>
      </c>
      <c r="D71" s="468"/>
      <c r="E71" s="468"/>
      <c r="F71" s="468"/>
      <c r="G71" s="468"/>
      <c r="H71" s="468"/>
      <c r="I71" s="468"/>
      <c r="J71" s="468"/>
      <c r="K71" s="468"/>
    </row>
    <row r="72" spans="1:11" ht="12.75" customHeight="1" x14ac:dyDescent="0.2">
      <c r="A72" s="463" t="s">
        <v>24</v>
      </c>
      <c r="B72" s="470">
        <v>1614</v>
      </c>
      <c r="C72" s="548">
        <v>831</v>
      </c>
      <c r="D72" s="468"/>
      <c r="E72" s="468"/>
      <c r="F72" s="468"/>
      <c r="G72" s="468"/>
      <c r="H72" s="468"/>
      <c r="I72" s="468"/>
      <c r="J72" s="468"/>
      <c r="K72" s="468"/>
    </row>
    <row r="73" spans="1:11" ht="12.75" customHeight="1" x14ac:dyDescent="0.2">
      <c r="A73" s="463" t="s">
        <v>998</v>
      </c>
      <c r="B73" s="470">
        <v>1620</v>
      </c>
      <c r="C73" s="548">
        <v>0</v>
      </c>
      <c r="D73" s="468"/>
      <c r="E73" s="468"/>
      <c r="F73" s="468"/>
      <c r="G73" s="468"/>
      <c r="H73" s="468"/>
      <c r="I73" s="468"/>
      <c r="J73" s="468"/>
      <c r="K73" s="468"/>
    </row>
    <row r="74" spans="1:11" ht="12.75" customHeight="1" x14ac:dyDescent="0.2">
      <c r="A74" s="463" t="s">
        <v>25</v>
      </c>
      <c r="B74" s="470">
        <v>1690</v>
      </c>
      <c r="C74" s="548">
        <v>0</v>
      </c>
      <c r="D74" s="468"/>
      <c r="E74" s="468"/>
      <c r="F74" s="468"/>
      <c r="G74" s="468"/>
      <c r="H74" s="468"/>
      <c r="I74" s="468"/>
      <c r="J74" s="468"/>
      <c r="K74" s="468"/>
    </row>
    <row r="75" spans="1:11" ht="12.75" customHeight="1" thickBot="1" x14ac:dyDescent="0.25">
      <c r="A75" s="1705" t="s">
        <v>548</v>
      </c>
      <c r="B75" s="1706"/>
      <c r="C75" s="1685">
        <f>SUM(C69:C74)</f>
        <v>61899</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4924</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3725</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0</v>
      </c>
      <c r="D81" s="466">
        <v>346</v>
      </c>
      <c r="E81" s="468"/>
      <c r="F81" s="468"/>
      <c r="G81" s="468"/>
      <c r="H81" s="468"/>
      <c r="I81" s="468"/>
      <c r="J81" s="468"/>
      <c r="K81" s="468"/>
    </row>
    <row r="82" spans="1:11" ht="12.75" customHeight="1" thickBot="1" x14ac:dyDescent="0.25">
      <c r="A82" s="1705" t="s">
        <v>241</v>
      </c>
      <c r="B82" s="1706"/>
      <c r="C82" s="1704">
        <f>SUM(C77:C81)</f>
        <v>8649</v>
      </c>
      <c r="D82" s="1685">
        <f>SUM(D77:D81)</f>
        <v>346</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7717</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5" t="s">
        <v>243</v>
      </c>
      <c r="B93" s="1706"/>
      <c r="C93" s="1685">
        <f>SUM(C84:C92)</f>
        <v>7717</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0</v>
      </c>
      <c r="D95" s="548">
        <v>1573</v>
      </c>
      <c r="E95" s="518"/>
      <c r="F95" s="518"/>
      <c r="G95" s="518"/>
      <c r="H95" s="518"/>
      <c r="I95" s="518"/>
      <c r="J95" s="518"/>
      <c r="K95" s="518"/>
    </row>
    <row r="96" spans="1:11" ht="12.75" customHeight="1" x14ac:dyDescent="0.2">
      <c r="A96" s="463" t="s">
        <v>391</v>
      </c>
      <c r="B96" s="470">
        <v>1920</v>
      </c>
      <c r="C96" s="548">
        <v>7985</v>
      </c>
      <c r="D96" s="548">
        <v>0</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790</v>
      </c>
      <c r="G98" s="509"/>
      <c r="H98" s="509"/>
      <c r="I98" s="507"/>
      <c r="J98" s="509"/>
      <c r="K98" s="509"/>
    </row>
    <row r="99" spans="1:12" ht="12.75" customHeight="1" x14ac:dyDescent="0.2">
      <c r="A99" s="463" t="s">
        <v>821</v>
      </c>
      <c r="B99" s="470">
        <v>1950</v>
      </c>
      <c r="C99" s="486">
        <v>17117</v>
      </c>
      <c r="D99" s="466">
        <v>0</v>
      </c>
      <c r="E99" s="466">
        <v>0</v>
      </c>
      <c r="F99" s="466">
        <v>0</v>
      </c>
      <c r="G99" s="466">
        <v>0</v>
      </c>
      <c r="H99" s="466">
        <v>0</v>
      </c>
      <c r="I99" s="468"/>
      <c r="J99" s="467">
        <v>0</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30000</v>
      </c>
      <c r="F103" s="468"/>
      <c r="G103" s="468"/>
      <c r="H103" s="486">
        <v>152063</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722</v>
      </c>
      <c r="D107" s="466">
        <v>0</v>
      </c>
      <c r="E107" s="466">
        <v>0</v>
      </c>
      <c r="F107" s="466">
        <v>0</v>
      </c>
      <c r="G107" s="466">
        <v>0</v>
      </c>
      <c r="H107" s="466">
        <v>0</v>
      </c>
      <c r="I107" s="466">
        <v>0</v>
      </c>
      <c r="J107" s="467">
        <v>0</v>
      </c>
      <c r="K107" s="466">
        <v>0</v>
      </c>
    </row>
    <row r="108" spans="1:12" ht="12.75" customHeight="1" thickBot="1" x14ac:dyDescent="0.25">
      <c r="A108" s="1705" t="s">
        <v>487</v>
      </c>
      <c r="B108" s="1709"/>
      <c r="C108" s="1704">
        <f>SUM(C95:C107)</f>
        <v>25824</v>
      </c>
      <c r="D108" s="1704">
        <f t="shared" ref="D108:K108" si="3">SUM(D95:D107)</f>
        <v>1573</v>
      </c>
      <c r="E108" s="1704">
        <f t="shared" si="3"/>
        <v>30000</v>
      </c>
      <c r="F108" s="1704">
        <f t="shared" si="3"/>
        <v>790</v>
      </c>
      <c r="G108" s="1704">
        <f t="shared" si="3"/>
        <v>0</v>
      </c>
      <c r="H108" s="1704">
        <f t="shared" si="3"/>
        <v>152063</v>
      </c>
      <c r="I108" s="1704">
        <f t="shared" si="3"/>
        <v>0</v>
      </c>
      <c r="J108" s="1704">
        <f t="shared" si="3"/>
        <v>0</v>
      </c>
      <c r="K108" s="1685">
        <f t="shared" si="3"/>
        <v>0</v>
      </c>
    </row>
    <row r="109" spans="1:12" ht="14.25" thickTop="1" thickBot="1" x14ac:dyDescent="0.25">
      <c r="A109" s="1710" t="s">
        <v>248</v>
      </c>
      <c r="B109" s="1711" t="s">
        <v>570</v>
      </c>
      <c r="C109" s="1712">
        <f t="shared" ref="C109:K109" si="4">SUM(C12,C18,C40,C63,C67,C75,C82,C93,C108,)</f>
        <v>905660</v>
      </c>
      <c r="D109" s="1712">
        <f t="shared" si="4"/>
        <v>265504</v>
      </c>
      <c r="E109" s="1712">
        <f t="shared" si="4"/>
        <v>188509</v>
      </c>
      <c r="F109" s="1712">
        <f t="shared" si="4"/>
        <v>41719</v>
      </c>
      <c r="G109" s="1712">
        <f t="shared" si="4"/>
        <v>120828</v>
      </c>
      <c r="H109" s="1712">
        <f t="shared" si="4"/>
        <v>152287</v>
      </c>
      <c r="I109" s="1712">
        <f t="shared" si="4"/>
        <v>10281</v>
      </c>
      <c r="J109" s="1712">
        <f t="shared" si="4"/>
        <v>78501</v>
      </c>
      <c r="K109" s="1699">
        <f t="shared" si="4"/>
        <v>10361</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0</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1667</v>
      </c>
      <c r="B117" s="559">
        <v>3001</v>
      </c>
      <c r="C117" s="513">
        <v>1666136</v>
      </c>
      <c r="D117" s="479">
        <v>100000</v>
      </c>
      <c r="E117" s="466">
        <v>0</v>
      </c>
      <c r="F117" s="479">
        <v>0</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7" t="s">
        <v>1936</v>
      </c>
      <c r="B120" s="559">
        <v>3030</v>
      </c>
      <c r="C120" s="548">
        <v>0</v>
      </c>
      <c r="D120" s="466">
        <v>0</v>
      </c>
      <c r="E120" s="466">
        <v>0</v>
      </c>
      <c r="F120" s="466">
        <v>0</v>
      </c>
      <c r="G120" s="466">
        <v>0</v>
      </c>
      <c r="H120" s="466">
        <v>0</v>
      </c>
      <c r="I120" s="468"/>
      <c r="J120" s="467">
        <v>0</v>
      </c>
      <c r="K120" s="466">
        <v>0</v>
      </c>
    </row>
    <row r="121" spans="1:11" x14ac:dyDescent="0.2">
      <c r="A121" s="1493"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1666136</v>
      </c>
      <c r="D122" s="1704">
        <f t="shared" si="5"/>
        <v>100000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7236</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24871</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32107</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24755</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13762</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603</v>
      </c>
      <c r="B141" s="1717"/>
      <c r="C141" s="1704">
        <f>SUM(C134:C140)</f>
        <v>38517</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1686</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5946</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106876</v>
      </c>
      <c r="G152" s="467">
        <v>0</v>
      </c>
      <c r="H152" s="468"/>
      <c r="I152" s="468"/>
      <c r="J152" s="468"/>
      <c r="K152" s="468"/>
    </row>
    <row r="153" spans="1:11" ht="12.75" customHeight="1" x14ac:dyDescent="0.2">
      <c r="A153" s="463" t="s">
        <v>1057</v>
      </c>
      <c r="B153" s="559">
        <v>3510</v>
      </c>
      <c r="C153" s="548">
        <v>0</v>
      </c>
      <c r="D153" s="466">
        <v>0</v>
      </c>
      <c r="E153" s="558"/>
      <c r="F153" s="466">
        <v>57686</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164562</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0</v>
      </c>
      <c r="D158" s="468"/>
      <c r="E158" s="558"/>
      <c r="F158" s="573">
        <v>0</v>
      </c>
      <c r="G158" s="573">
        <v>0</v>
      </c>
      <c r="H158" s="468"/>
      <c r="I158" s="468"/>
      <c r="J158" s="468"/>
      <c r="K158" s="468"/>
    </row>
    <row r="159" spans="1:11" ht="12.75" customHeight="1" thickTop="1" thickBot="1" x14ac:dyDescent="0.25">
      <c r="A159" s="1497" t="s">
        <v>1051</v>
      </c>
      <c r="B159" s="571">
        <v>3705</v>
      </c>
      <c r="C159" s="573">
        <v>93080</v>
      </c>
      <c r="D159" s="575">
        <v>0</v>
      </c>
      <c r="E159" s="558"/>
      <c r="F159" s="573">
        <v>0</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1226</v>
      </c>
      <c r="D168" s="577">
        <v>0</v>
      </c>
      <c r="E168" s="577">
        <v>0</v>
      </c>
      <c r="F168" s="577">
        <v>0</v>
      </c>
      <c r="G168" s="578">
        <v>0</v>
      </c>
      <c r="H168" s="579">
        <v>0</v>
      </c>
      <c r="I168" s="578">
        <v>0</v>
      </c>
      <c r="J168" s="578">
        <v>0</v>
      </c>
      <c r="K168" s="579">
        <v>0</v>
      </c>
    </row>
    <row r="169" spans="1:11" ht="12.75" customHeight="1" thickTop="1" thickBot="1" x14ac:dyDescent="0.25">
      <c r="A169" s="2162" t="s">
        <v>398</v>
      </c>
      <c r="B169" s="2163"/>
      <c r="C169" s="1719">
        <f t="shared" ref="C169:K169" si="6">SUM(C132,C141,C145,C146:C150,C155,C156:C167,C168)</f>
        <v>172562</v>
      </c>
      <c r="D169" s="1719">
        <f t="shared" si="6"/>
        <v>0</v>
      </c>
      <c r="E169" s="1719">
        <f t="shared" si="6"/>
        <v>0</v>
      </c>
      <c r="F169" s="1719">
        <f t="shared" si="6"/>
        <v>164562</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1838698</v>
      </c>
      <c r="D170" s="1712">
        <f t="shared" si="7"/>
        <v>100000</v>
      </c>
      <c r="E170" s="1712">
        <f t="shared" si="7"/>
        <v>0</v>
      </c>
      <c r="F170" s="1712">
        <f t="shared" si="7"/>
        <v>164562</v>
      </c>
      <c r="G170" s="1712">
        <f t="shared" si="7"/>
        <v>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64" t="s">
        <v>1492</v>
      </c>
      <c r="B172" s="2165"/>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168" t="s">
        <v>1665</v>
      </c>
      <c r="B175" s="2169"/>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72" t="s">
        <v>1664</v>
      </c>
      <c r="B176" s="2173"/>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23268</v>
      </c>
      <c r="D180" s="466">
        <v>0</v>
      </c>
      <c r="E180" s="468"/>
      <c r="F180" s="466">
        <v>0</v>
      </c>
      <c r="G180" s="466">
        <v>0</v>
      </c>
      <c r="H180" s="466">
        <v>0</v>
      </c>
      <c r="I180" s="468"/>
      <c r="J180" s="468"/>
      <c r="K180" s="466">
        <v>0</v>
      </c>
    </row>
    <row r="181" spans="1:11" ht="13.5" thickBot="1" x14ac:dyDescent="0.25">
      <c r="A181" s="2170" t="s">
        <v>785</v>
      </c>
      <c r="B181" s="2171"/>
      <c r="C181" s="1704">
        <f>SUM(C177:C180)</f>
        <v>23268</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66" t="s">
        <v>1803</v>
      </c>
      <c r="B182" s="2167"/>
      <c r="C182" s="581"/>
      <c r="D182" s="563"/>
      <c r="E182" s="506"/>
      <c r="F182" s="563"/>
      <c r="G182" s="563"/>
      <c r="H182" s="468"/>
      <c r="I182" s="468"/>
      <c r="J182" s="468"/>
      <c r="K182" s="468"/>
    </row>
    <row r="183" spans="1:11" ht="15.75" customHeight="1" x14ac:dyDescent="0.2">
      <c r="A183" s="1600" t="s">
        <v>1602</v>
      </c>
      <c r="B183" s="1601"/>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5" t="s">
        <v>1607</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79761</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19267</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548</v>
      </c>
      <c r="B198" s="1706"/>
      <c r="C198" s="1685">
        <f>SUM(C190:C197)</f>
        <v>99028</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113375</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4837</v>
      </c>
      <c r="D203" s="466">
        <v>0</v>
      </c>
      <c r="E203" s="468"/>
      <c r="F203" s="466">
        <v>0</v>
      </c>
      <c r="G203" s="466">
        <v>0</v>
      </c>
      <c r="H203" s="468"/>
      <c r="I203" s="468"/>
      <c r="J203" s="468"/>
      <c r="K203" s="468"/>
    </row>
    <row r="204" spans="1:11" ht="12.75" customHeight="1" thickBot="1" x14ac:dyDescent="0.25">
      <c r="A204" s="1705" t="s">
        <v>400</v>
      </c>
      <c r="B204" s="1706"/>
      <c r="C204" s="1704">
        <f>SUM(C200:C203)</f>
        <v>118212</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6726</v>
      </c>
      <c r="D208" s="466">
        <v>0</v>
      </c>
      <c r="E208" s="468"/>
      <c r="F208" s="466">
        <v>0</v>
      </c>
      <c r="G208" s="466">
        <v>0</v>
      </c>
      <c r="H208" s="468"/>
      <c r="I208" s="468"/>
      <c r="J208" s="468"/>
      <c r="K208" s="468"/>
    </row>
    <row r="209" spans="1:11" ht="12.75" customHeight="1" thickBot="1" x14ac:dyDescent="0.25">
      <c r="A209" s="1705" t="s">
        <v>889</v>
      </c>
      <c r="B209" s="1706"/>
      <c r="C209" s="1704">
        <f>SUM(C206:C208)</f>
        <v>6726</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0</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0</v>
      </c>
      <c r="D217" s="1704">
        <f>SUM(D211:D216)</f>
        <v>0</v>
      </c>
      <c r="E217" s="468"/>
      <c r="F217" s="1704">
        <f>SUM(F211:F216)</f>
        <v>0</v>
      </c>
      <c r="G217" s="1704">
        <f>SUM(G211:G216)</f>
        <v>0</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1085</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17169</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7" t="s">
        <v>1937</v>
      </c>
      <c r="B261" s="470">
        <v>4981</v>
      </c>
      <c r="C261" s="572">
        <v>0</v>
      </c>
      <c r="D261" s="573">
        <v>0</v>
      </c>
      <c r="E261" s="468"/>
      <c r="F261" s="573">
        <v>0</v>
      </c>
      <c r="G261" s="573">
        <v>0</v>
      </c>
      <c r="H261" s="468"/>
      <c r="I261" s="468"/>
      <c r="J261" s="468"/>
      <c r="K261" s="468"/>
    </row>
    <row r="262" spans="1:11" ht="12.75" customHeight="1" thickTop="1" thickBot="1" x14ac:dyDescent="0.25">
      <c r="A262" s="1928"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18736</v>
      </c>
      <c r="D263" s="573">
        <v>0</v>
      </c>
      <c r="E263" s="468"/>
      <c r="F263" s="573">
        <v>0</v>
      </c>
      <c r="G263" s="573">
        <v>0</v>
      </c>
      <c r="H263" s="468"/>
      <c r="I263" s="468"/>
      <c r="J263" s="468"/>
      <c r="K263" s="468"/>
    </row>
    <row r="264" spans="1:11" ht="12.75" customHeight="1" thickTop="1" thickBot="1" x14ac:dyDescent="0.25">
      <c r="A264" s="463" t="s">
        <v>377</v>
      </c>
      <c r="B264" s="470">
        <v>4992</v>
      </c>
      <c r="C264" s="572">
        <v>38670</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5" t="s">
        <v>1666</v>
      </c>
      <c r="B266" s="1724"/>
      <c r="C266" s="1712">
        <f t="shared" ref="C266:H266" si="10">SUM(C188,C198,C204,C209,C217,C221,C222,C252:C265)</f>
        <v>298541</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321809</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3066167</v>
      </c>
      <c r="D268" s="1712">
        <f t="shared" si="12"/>
        <v>365504</v>
      </c>
      <c r="E268" s="1712">
        <f t="shared" si="12"/>
        <v>188509</v>
      </c>
      <c r="F268" s="1712">
        <f t="shared" si="12"/>
        <v>206281</v>
      </c>
      <c r="G268" s="1712">
        <f t="shared" si="12"/>
        <v>120828</v>
      </c>
      <c r="H268" s="1712">
        <f t="shared" si="12"/>
        <v>152287</v>
      </c>
      <c r="I268" s="1712">
        <f t="shared" si="12"/>
        <v>10281</v>
      </c>
      <c r="J268" s="1712">
        <f t="shared" si="12"/>
        <v>78501</v>
      </c>
      <c r="K268" s="1699">
        <f t="shared" si="12"/>
        <v>10361</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pageMargins left="0.3" right="0.15" top="0.86" bottom="0.25" header="0.28000000000000003" footer="0.1"/>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L30" sqref="L30"/>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42"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174"/>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180" t="s">
        <v>297</v>
      </c>
      <c r="B3" s="2181"/>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1122912</v>
      </c>
      <c r="D5" s="466">
        <v>295705</v>
      </c>
      <c r="E5" s="466">
        <v>3123</v>
      </c>
      <c r="F5" s="466">
        <v>45842</v>
      </c>
      <c r="G5" s="466">
        <v>11257</v>
      </c>
      <c r="H5" s="466">
        <v>738</v>
      </c>
      <c r="I5" s="467">
        <v>0</v>
      </c>
      <c r="J5" s="467">
        <v>0</v>
      </c>
      <c r="K5" s="1668">
        <f>SUM(C5:J5)</f>
        <v>1479577</v>
      </c>
      <c r="L5" s="471">
        <v>1552246</v>
      </c>
    </row>
    <row r="6" spans="1:14" x14ac:dyDescent="0.2">
      <c r="A6" s="1501" t="s">
        <v>1433</v>
      </c>
      <c r="B6" s="611" t="s">
        <v>1431</v>
      </c>
      <c r="C6" s="475"/>
      <c r="D6" s="475"/>
      <c r="E6" s="466">
        <v>0</v>
      </c>
      <c r="F6" s="475"/>
      <c r="G6" s="475"/>
      <c r="H6" s="475"/>
      <c r="I6" s="475"/>
      <c r="J6" s="475"/>
      <c r="K6" s="1668">
        <f>SUM(C6,E6)</f>
        <v>0</v>
      </c>
      <c r="L6" s="471">
        <v>0</v>
      </c>
    </row>
    <row r="7" spans="1:14" x14ac:dyDescent="0.2">
      <c r="A7" s="1501" t="s">
        <v>163</v>
      </c>
      <c r="B7" s="611" t="s">
        <v>967</v>
      </c>
      <c r="C7" s="467">
        <v>62253</v>
      </c>
      <c r="D7" s="467">
        <v>14295</v>
      </c>
      <c r="E7" s="467">
        <v>1265</v>
      </c>
      <c r="F7" s="467">
        <v>6136</v>
      </c>
      <c r="G7" s="467">
        <v>4378</v>
      </c>
      <c r="H7" s="467">
        <v>0</v>
      </c>
      <c r="I7" s="467">
        <v>0</v>
      </c>
      <c r="J7" s="467">
        <v>0</v>
      </c>
      <c r="K7" s="1668">
        <f t="shared" ref="K7:K32" si="0">SUM(C7:J7)</f>
        <v>88327</v>
      </c>
      <c r="L7" s="471">
        <v>67446</v>
      </c>
    </row>
    <row r="8" spans="1:14" x14ac:dyDescent="0.2">
      <c r="A8" s="1501" t="s">
        <v>164</v>
      </c>
      <c r="B8" s="611">
        <v>1200</v>
      </c>
      <c r="C8" s="466">
        <v>402050</v>
      </c>
      <c r="D8" s="466">
        <v>64446</v>
      </c>
      <c r="E8" s="466">
        <v>0</v>
      </c>
      <c r="F8" s="466">
        <v>503</v>
      </c>
      <c r="G8" s="466">
        <v>0</v>
      </c>
      <c r="H8" s="466">
        <v>0</v>
      </c>
      <c r="I8" s="467">
        <v>0</v>
      </c>
      <c r="J8" s="467">
        <v>0</v>
      </c>
      <c r="K8" s="1668">
        <f t="shared" si="0"/>
        <v>466999</v>
      </c>
      <c r="L8" s="471">
        <v>483983</v>
      </c>
    </row>
    <row r="9" spans="1:14" x14ac:dyDescent="0.2">
      <c r="A9" s="1501" t="s">
        <v>721</v>
      </c>
      <c r="B9" s="611" t="s">
        <v>968</v>
      </c>
      <c r="C9" s="467">
        <v>0</v>
      </c>
      <c r="D9" s="467">
        <v>0</v>
      </c>
      <c r="E9" s="467">
        <v>0</v>
      </c>
      <c r="F9" s="467">
        <v>0</v>
      </c>
      <c r="G9" s="467">
        <v>0</v>
      </c>
      <c r="H9" s="467">
        <v>0</v>
      </c>
      <c r="I9" s="467">
        <v>0</v>
      </c>
      <c r="J9" s="467">
        <v>0</v>
      </c>
      <c r="K9" s="1668">
        <f t="shared" si="0"/>
        <v>0</v>
      </c>
      <c r="L9" s="471">
        <v>0</v>
      </c>
    </row>
    <row r="10" spans="1:14" x14ac:dyDescent="0.2">
      <c r="A10" s="1501" t="s">
        <v>722</v>
      </c>
      <c r="B10" s="611">
        <v>1250</v>
      </c>
      <c r="C10" s="466">
        <v>77609</v>
      </c>
      <c r="D10" s="466">
        <v>14506</v>
      </c>
      <c r="E10" s="466">
        <v>14332</v>
      </c>
      <c r="F10" s="466">
        <v>39120</v>
      </c>
      <c r="G10" s="466">
        <v>0</v>
      </c>
      <c r="H10" s="466">
        <v>0</v>
      </c>
      <c r="I10" s="467">
        <v>0</v>
      </c>
      <c r="J10" s="467">
        <v>0</v>
      </c>
      <c r="K10" s="1668">
        <f t="shared" si="0"/>
        <v>145567</v>
      </c>
      <c r="L10" s="471">
        <v>81846</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0</v>
      </c>
      <c r="F12" s="466">
        <v>0</v>
      </c>
      <c r="G12" s="466">
        <v>0</v>
      </c>
      <c r="H12" s="466">
        <v>0</v>
      </c>
      <c r="I12" s="467">
        <v>0</v>
      </c>
      <c r="J12" s="467">
        <v>0</v>
      </c>
      <c r="K12" s="1668">
        <f t="shared" si="0"/>
        <v>0</v>
      </c>
      <c r="L12" s="471">
        <v>0</v>
      </c>
    </row>
    <row r="13" spans="1:14" x14ac:dyDescent="0.2">
      <c r="A13" s="1501" t="s">
        <v>723</v>
      </c>
      <c r="B13" s="611">
        <v>1400</v>
      </c>
      <c r="C13" s="466">
        <v>84795</v>
      </c>
      <c r="D13" s="466">
        <v>27635</v>
      </c>
      <c r="E13" s="466">
        <v>286</v>
      </c>
      <c r="F13" s="466">
        <v>22073</v>
      </c>
      <c r="G13" s="466">
        <v>18178</v>
      </c>
      <c r="H13" s="466">
        <v>0</v>
      </c>
      <c r="I13" s="467">
        <v>0</v>
      </c>
      <c r="J13" s="467">
        <v>0</v>
      </c>
      <c r="K13" s="1668">
        <f t="shared" si="0"/>
        <v>152967</v>
      </c>
      <c r="L13" s="471">
        <v>145572</v>
      </c>
    </row>
    <row r="14" spans="1:14" x14ac:dyDescent="0.2">
      <c r="A14" s="1501" t="s">
        <v>963</v>
      </c>
      <c r="B14" s="611">
        <v>1500</v>
      </c>
      <c r="C14" s="466">
        <v>36988</v>
      </c>
      <c r="D14" s="466">
        <v>0</v>
      </c>
      <c r="E14" s="466">
        <v>65134</v>
      </c>
      <c r="F14" s="466">
        <v>11357</v>
      </c>
      <c r="G14" s="466">
        <v>0</v>
      </c>
      <c r="H14" s="466">
        <v>1745</v>
      </c>
      <c r="I14" s="467">
        <v>0</v>
      </c>
      <c r="J14" s="467">
        <v>0</v>
      </c>
      <c r="K14" s="1668">
        <f t="shared" si="0"/>
        <v>115224</v>
      </c>
      <c r="L14" s="471">
        <v>137431</v>
      </c>
    </row>
    <row r="15" spans="1:14" x14ac:dyDescent="0.2">
      <c r="A15" s="1501" t="s">
        <v>964</v>
      </c>
      <c r="B15" s="611">
        <v>1600</v>
      </c>
      <c r="C15" s="467">
        <v>0</v>
      </c>
      <c r="D15" s="466">
        <v>0</v>
      </c>
      <c r="E15" s="466">
        <v>0</v>
      </c>
      <c r="F15" s="466">
        <v>0</v>
      </c>
      <c r="G15" s="466">
        <v>0</v>
      </c>
      <c r="H15" s="466">
        <v>0</v>
      </c>
      <c r="I15" s="467">
        <v>0</v>
      </c>
      <c r="J15" s="467">
        <v>0</v>
      </c>
      <c r="K15" s="1668">
        <f t="shared" si="0"/>
        <v>0</v>
      </c>
      <c r="L15" s="471">
        <v>0</v>
      </c>
    </row>
    <row r="16" spans="1:14" x14ac:dyDescent="0.2">
      <c r="A16" s="1501" t="s">
        <v>987</v>
      </c>
      <c r="B16" s="611" t="s">
        <v>424</v>
      </c>
      <c r="C16" s="467">
        <v>0</v>
      </c>
      <c r="D16" s="466">
        <v>0</v>
      </c>
      <c r="E16" s="466">
        <v>0</v>
      </c>
      <c r="F16" s="466">
        <v>0</v>
      </c>
      <c r="G16" s="466">
        <v>0</v>
      </c>
      <c r="H16" s="466">
        <v>0</v>
      </c>
      <c r="I16" s="467">
        <v>0</v>
      </c>
      <c r="J16" s="467">
        <v>0</v>
      </c>
      <c r="K16" s="1668">
        <f t="shared" si="0"/>
        <v>0</v>
      </c>
      <c r="L16" s="471">
        <v>0</v>
      </c>
    </row>
    <row r="17" spans="1:12" x14ac:dyDescent="0.2">
      <c r="A17" s="1501" t="s">
        <v>724</v>
      </c>
      <c r="B17" s="611" t="s">
        <v>162</v>
      </c>
      <c r="C17" s="467">
        <v>16603</v>
      </c>
      <c r="D17" s="467">
        <v>0</v>
      </c>
      <c r="E17" s="467">
        <v>701</v>
      </c>
      <c r="F17" s="467">
        <v>612</v>
      </c>
      <c r="G17" s="467">
        <v>0</v>
      </c>
      <c r="H17" s="467">
        <v>0</v>
      </c>
      <c r="I17" s="467">
        <v>0</v>
      </c>
      <c r="J17" s="467">
        <v>0</v>
      </c>
      <c r="K17" s="1668">
        <f t="shared" si="0"/>
        <v>17916</v>
      </c>
      <c r="L17" s="471">
        <v>18395</v>
      </c>
    </row>
    <row r="18" spans="1:12" x14ac:dyDescent="0.2">
      <c r="A18" s="1501" t="s">
        <v>1087</v>
      </c>
      <c r="B18" s="611">
        <v>1800</v>
      </c>
      <c r="C18" s="467">
        <v>0</v>
      </c>
      <c r="D18" s="467">
        <v>0</v>
      </c>
      <c r="E18" s="467">
        <v>0</v>
      </c>
      <c r="F18" s="466">
        <v>0</v>
      </c>
      <c r="G18" s="466">
        <v>0</v>
      </c>
      <c r="H18" s="466">
        <v>0</v>
      </c>
      <c r="I18" s="467">
        <v>0</v>
      </c>
      <c r="J18" s="467">
        <v>0</v>
      </c>
      <c r="K18" s="1668">
        <f t="shared" si="0"/>
        <v>0</v>
      </c>
      <c r="L18" s="471">
        <v>0</v>
      </c>
    </row>
    <row r="19" spans="1:12" x14ac:dyDescent="0.2">
      <c r="A19" s="1501" t="s">
        <v>134</v>
      </c>
      <c r="B19" s="611">
        <v>1900</v>
      </c>
      <c r="C19" s="466">
        <v>0</v>
      </c>
      <c r="D19" s="466">
        <v>0</v>
      </c>
      <c r="E19" s="466">
        <v>0</v>
      </c>
      <c r="F19" s="466">
        <v>0</v>
      </c>
      <c r="G19" s="466">
        <v>0</v>
      </c>
      <c r="H19" s="466">
        <v>0</v>
      </c>
      <c r="I19" s="467">
        <v>0</v>
      </c>
      <c r="J19" s="467">
        <v>0</v>
      </c>
      <c r="K19" s="1668">
        <f t="shared" si="0"/>
        <v>0</v>
      </c>
      <c r="L19" s="471">
        <v>0</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0</v>
      </c>
      <c r="I21" s="613"/>
      <c r="J21" s="475"/>
      <c r="K21" s="1668">
        <f t="shared" si="0"/>
        <v>0</v>
      </c>
      <c r="L21" s="471">
        <v>0</v>
      </c>
    </row>
    <row r="22" spans="1:12" x14ac:dyDescent="0.2">
      <c r="A22" s="1502" t="s">
        <v>740</v>
      </c>
      <c r="B22" s="599" t="s">
        <v>727</v>
      </c>
      <c r="C22" s="475"/>
      <c r="D22" s="475"/>
      <c r="E22" s="475"/>
      <c r="F22" s="475"/>
      <c r="G22" s="475"/>
      <c r="H22" s="473">
        <v>50001</v>
      </c>
      <c r="I22" s="613"/>
      <c r="J22" s="475"/>
      <c r="K22" s="1668">
        <f t="shared" si="0"/>
        <v>50001</v>
      </c>
      <c r="L22" s="471">
        <v>75000</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0</v>
      </c>
      <c r="I27" s="613"/>
      <c r="J27" s="475"/>
      <c r="K27" s="1668">
        <f t="shared" si="0"/>
        <v>0</v>
      </c>
      <c r="L27" s="471">
        <v>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1668</v>
      </c>
      <c r="B33" s="1666" t="s">
        <v>570</v>
      </c>
      <c r="C33" s="1667">
        <f>SUM(C5:C32)</f>
        <v>1803210</v>
      </c>
      <c r="D33" s="1667">
        <f t="shared" ref="D33:L33" si="1">SUM(D5:D32)</f>
        <v>416587</v>
      </c>
      <c r="E33" s="1667">
        <f t="shared" si="1"/>
        <v>84841</v>
      </c>
      <c r="F33" s="1667">
        <f t="shared" si="1"/>
        <v>125643</v>
      </c>
      <c r="G33" s="1667">
        <f t="shared" si="1"/>
        <v>33813</v>
      </c>
      <c r="H33" s="1667">
        <f t="shared" si="1"/>
        <v>52484</v>
      </c>
      <c r="I33" s="1667">
        <f t="shared" si="1"/>
        <v>0</v>
      </c>
      <c r="J33" s="1667">
        <f t="shared" si="1"/>
        <v>0</v>
      </c>
      <c r="K33" s="1667">
        <f t="shared" si="1"/>
        <v>2516578</v>
      </c>
      <c r="L33" s="1667">
        <f t="shared" si="1"/>
        <v>2561919</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44861</v>
      </c>
      <c r="D36" s="479">
        <v>4941</v>
      </c>
      <c r="E36" s="479">
        <v>0</v>
      </c>
      <c r="F36" s="479">
        <v>0</v>
      </c>
      <c r="G36" s="479">
        <v>0</v>
      </c>
      <c r="H36" s="479">
        <v>0</v>
      </c>
      <c r="I36" s="467">
        <v>0</v>
      </c>
      <c r="J36" s="467">
        <v>0</v>
      </c>
      <c r="K36" s="1668">
        <f t="shared" ref="K36:K41" si="2">SUM(C36:J36)</f>
        <v>49802</v>
      </c>
      <c r="L36" s="466">
        <v>36858</v>
      </c>
    </row>
    <row r="37" spans="1:14" x14ac:dyDescent="0.2">
      <c r="A37" s="1501" t="s">
        <v>1090</v>
      </c>
      <c r="B37" s="611">
        <v>2120</v>
      </c>
      <c r="C37" s="466">
        <v>6528</v>
      </c>
      <c r="D37" s="466">
        <v>1490</v>
      </c>
      <c r="E37" s="466">
        <v>0</v>
      </c>
      <c r="F37" s="466">
        <v>127</v>
      </c>
      <c r="G37" s="466">
        <v>0</v>
      </c>
      <c r="H37" s="466">
        <v>385</v>
      </c>
      <c r="I37" s="467">
        <v>0</v>
      </c>
      <c r="J37" s="467">
        <v>0</v>
      </c>
      <c r="K37" s="1668">
        <f t="shared" si="2"/>
        <v>8530</v>
      </c>
      <c r="L37" s="466">
        <v>0</v>
      </c>
    </row>
    <row r="38" spans="1:14" x14ac:dyDescent="0.2">
      <c r="A38" s="1501" t="s">
        <v>198</v>
      </c>
      <c r="B38" s="611">
        <v>2130</v>
      </c>
      <c r="C38" s="466">
        <v>0</v>
      </c>
      <c r="D38" s="466">
        <v>0</v>
      </c>
      <c r="E38" s="466">
        <v>1685</v>
      </c>
      <c r="F38" s="466">
        <v>229</v>
      </c>
      <c r="G38" s="466">
        <v>0</v>
      </c>
      <c r="H38" s="466">
        <v>0</v>
      </c>
      <c r="I38" s="467">
        <v>0</v>
      </c>
      <c r="J38" s="467">
        <v>0</v>
      </c>
      <c r="K38" s="1668">
        <f t="shared" si="2"/>
        <v>1914</v>
      </c>
      <c r="L38" s="466">
        <v>2460</v>
      </c>
    </row>
    <row r="39" spans="1:14" x14ac:dyDescent="0.2">
      <c r="A39" s="1501" t="s">
        <v>199</v>
      </c>
      <c r="B39" s="611">
        <v>2140</v>
      </c>
      <c r="C39" s="466">
        <v>9382</v>
      </c>
      <c r="D39" s="466">
        <v>761</v>
      </c>
      <c r="E39" s="466">
        <v>0</v>
      </c>
      <c r="F39" s="466">
        <v>0</v>
      </c>
      <c r="G39" s="466">
        <v>0</v>
      </c>
      <c r="H39" s="466">
        <v>0</v>
      </c>
      <c r="I39" s="467">
        <v>0</v>
      </c>
      <c r="J39" s="467">
        <v>0</v>
      </c>
      <c r="K39" s="1668">
        <f t="shared" si="2"/>
        <v>10143</v>
      </c>
      <c r="L39" s="466">
        <v>14900</v>
      </c>
    </row>
    <row r="40" spans="1:14" x14ac:dyDescent="0.2">
      <c r="A40" s="1501" t="s">
        <v>200</v>
      </c>
      <c r="B40" s="611">
        <v>2150</v>
      </c>
      <c r="C40" s="466">
        <v>77779</v>
      </c>
      <c r="D40" s="466">
        <v>20132</v>
      </c>
      <c r="E40" s="466">
        <v>0</v>
      </c>
      <c r="F40" s="466">
        <v>0</v>
      </c>
      <c r="G40" s="466">
        <v>0</v>
      </c>
      <c r="H40" s="466">
        <v>0</v>
      </c>
      <c r="I40" s="467">
        <v>0</v>
      </c>
      <c r="J40" s="467">
        <v>0</v>
      </c>
      <c r="K40" s="1668">
        <f t="shared" si="2"/>
        <v>97911</v>
      </c>
      <c r="L40" s="466">
        <v>111702</v>
      </c>
    </row>
    <row r="41" spans="1:14" x14ac:dyDescent="0.2">
      <c r="A41" s="1501" t="s">
        <v>1669</v>
      </c>
      <c r="B41" s="611">
        <v>2190</v>
      </c>
      <c r="C41" s="466">
        <v>0</v>
      </c>
      <c r="D41" s="466">
        <v>0</v>
      </c>
      <c r="E41" s="466">
        <v>0</v>
      </c>
      <c r="F41" s="466">
        <v>0</v>
      </c>
      <c r="G41" s="466">
        <v>0</v>
      </c>
      <c r="H41" s="466">
        <v>0</v>
      </c>
      <c r="I41" s="467">
        <v>0</v>
      </c>
      <c r="J41" s="467">
        <v>0</v>
      </c>
      <c r="K41" s="1668">
        <f t="shared" si="2"/>
        <v>0</v>
      </c>
      <c r="L41" s="466">
        <v>37286</v>
      </c>
    </row>
    <row r="42" spans="1:14" ht="12.75" customHeight="1" thickBot="1" x14ac:dyDescent="0.25">
      <c r="A42" s="1665" t="s">
        <v>560</v>
      </c>
      <c r="B42" s="1666" t="s">
        <v>716</v>
      </c>
      <c r="C42" s="1667">
        <f>SUM(C36:C41)</f>
        <v>138550</v>
      </c>
      <c r="D42" s="1667">
        <f t="shared" ref="D42:L42" si="3">SUM(D36:D41)</f>
        <v>27324</v>
      </c>
      <c r="E42" s="1667">
        <f t="shared" si="3"/>
        <v>1685</v>
      </c>
      <c r="F42" s="1667">
        <f t="shared" si="3"/>
        <v>356</v>
      </c>
      <c r="G42" s="1667">
        <f t="shared" si="3"/>
        <v>0</v>
      </c>
      <c r="H42" s="1667">
        <f t="shared" si="3"/>
        <v>385</v>
      </c>
      <c r="I42" s="1667">
        <f t="shared" si="3"/>
        <v>0</v>
      </c>
      <c r="J42" s="1667">
        <f t="shared" si="3"/>
        <v>0</v>
      </c>
      <c r="K42" s="1667">
        <f t="shared" si="3"/>
        <v>168300</v>
      </c>
      <c r="L42" s="1667">
        <f t="shared" si="3"/>
        <v>203206</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6201</v>
      </c>
      <c r="D44" s="479">
        <v>355</v>
      </c>
      <c r="E44" s="479">
        <v>73662</v>
      </c>
      <c r="F44" s="479">
        <v>30093</v>
      </c>
      <c r="G44" s="479">
        <v>0</v>
      </c>
      <c r="H44" s="479">
        <v>0</v>
      </c>
      <c r="I44" s="467">
        <v>0</v>
      </c>
      <c r="J44" s="467">
        <v>0</v>
      </c>
      <c r="K44" s="1669">
        <f>SUM(C44:J44)</f>
        <v>110311</v>
      </c>
      <c r="L44" s="479">
        <v>72369</v>
      </c>
    </row>
    <row r="45" spans="1:14" x14ac:dyDescent="0.2">
      <c r="A45" s="1501" t="s">
        <v>815</v>
      </c>
      <c r="B45" s="611">
        <v>2220</v>
      </c>
      <c r="C45" s="466">
        <v>19229</v>
      </c>
      <c r="D45" s="466">
        <v>9</v>
      </c>
      <c r="E45" s="466">
        <v>0</v>
      </c>
      <c r="F45" s="466">
        <v>4228</v>
      </c>
      <c r="G45" s="466">
        <v>0</v>
      </c>
      <c r="H45" s="466">
        <v>2250</v>
      </c>
      <c r="I45" s="467">
        <v>0</v>
      </c>
      <c r="J45" s="467">
        <v>0</v>
      </c>
      <c r="K45" s="1669">
        <f>SUM(C45:J45)</f>
        <v>25716</v>
      </c>
      <c r="L45" s="466">
        <v>23993</v>
      </c>
    </row>
    <row r="46" spans="1:14" x14ac:dyDescent="0.2">
      <c r="A46" s="1501" t="s">
        <v>816</v>
      </c>
      <c r="B46" s="611">
        <v>2230</v>
      </c>
      <c r="C46" s="466">
        <v>0</v>
      </c>
      <c r="D46" s="466">
        <v>0</v>
      </c>
      <c r="E46" s="466">
        <v>2563</v>
      </c>
      <c r="F46" s="466">
        <v>1045</v>
      </c>
      <c r="G46" s="466">
        <v>0</v>
      </c>
      <c r="H46" s="466">
        <v>0</v>
      </c>
      <c r="I46" s="467">
        <v>0</v>
      </c>
      <c r="J46" s="467">
        <v>0</v>
      </c>
      <c r="K46" s="1669">
        <f>SUM(C46:J46)</f>
        <v>3608</v>
      </c>
      <c r="L46" s="466">
        <v>7085</v>
      </c>
    </row>
    <row r="47" spans="1:14" ht="12.75" customHeight="1" thickBot="1" x14ac:dyDescent="0.25">
      <c r="A47" s="1665" t="s">
        <v>561</v>
      </c>
      <c r="B47" s="1666" t="s">
        <v>32</v>
      </c>
      <c r="C47" s="1667">
        <f>SUM(C44:C46)</f>
        <v>25430</v>
      </c>
      <c r="D47" s="1667">
        <f t="shared" ref="D47:K47" si="4">SUM(D44:D46)</f>
        <v>364</v>
      </c>
      <c r="E47" s="1667">
        <f t="shared" si="4"/>
        <v>76225</v>
      </c>
      <c r="F47" s="1667">
        <f t="shared" si="4"/>
        <v>35366</v>
      </c>
      <c r="G47" s="1667">
        <f t="shared" si="4"/>
        <v>0</v>
      </c>
      <c r="H47" s="1667">
        <f t="shared" si="4"/>
        <v>2250</v>
      </c>
      <c r="I47" s="1667">
        <f t="shared" si="4"/>
        <v>0</v>
      </c>
      <c r="J47" s="1667">
        <f t="shared" si="4"/>
        <v>0</v>
      </c>
      <c r="K47" s="1667">
        <f t="shared" si="4"/>
        <v>139635</v>
      </c>
      <c r="L47" s="1667">
        <f>SUM(L44:L46)</f>
        <v>103447</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28261</v>
      </c>
      <c r="D49" s="479">
        <v>0</v>
      </c>
      <c r="E49" s="479">
        <v>36945</v>
      </c>
      <c r="F49" s="479">
        <v>2530</v>
      </c>
      <c r="G49" s="479">
        <v>0</v>
      </c>
      <c r="H49" s="479">
        <v>13303</v>
      </c>
      <c r="I49" s="467">
        <v>0</v>
      </c>
      <c r="J49" s="467">
        <v>0</v>
      </c>
      <c r="K49" s="1669">
        <f>SUM(C49:J49)</f>
        <v>81039</v>
      </c>
      <c r="L49" s="479">
        <v>115578</v>
      </c>
    </row>
    <row r="50" spans="1:14" x14ac:dyDescent="0.2">
      <c r="A50" s="1501" t="s">
        <v>818</v>
      </c>
      <c r="B50" s="611">
        <v>2320</v>
      </c>
      <c r="C50" s="467">
        <v>47521</v>
      </c>
      <c r="D50" s="466">
        <v>12203</v>
      </c>
      <c r="E50" s="466">
        <v>2562</v>
      </c>
      <c r="F50" s="466">
        <v>657</v>
      </c>
      <c r="G50" s="466">
        <v>0</v>
      </c>
      <c r="H50" s="466">
        <v>1213</v>
      </c>
      <c r="I50" s="467">
        <v>0</v>
      </c>
      <c r="J50" s="467">
        <v>0</v>
      </c>
      <c r="K50" s="1669">
        <f>SUM(C50:J50)</f>
        <v>64156</v>
      </c>
      <c r="L50" s="466">
        <v>73586</v>
      </c>
    </row>
    <row r="51" spans="1:14" x14ac:dyDescent="0.2">
      <c r="A51" s="1501" t="s">
        <v>42</v>
      </c>
      <c r="B51" s="611">
        <v>2330</v>
      </c>
      <c r="C51" s="466">
        <v>0</v>
      </c>
      <c r="D51" s="466">
        <v>0</v>
      </c>
      <c r="E51" s="466">
        <v>0</v>
      </c>
      <c r="F51" s="466">
        <v>0</v>
      </c>
      <c r="G51" s="466">
        <v>0</v>
      </c>
      <c r="H51" s="466">
        <v>0</v>
      </c>
      <c r="I51" s="467">
        <v>0</v>
      </c>
      <c r="J51" s="467">
        <v>0</v>
      </c>
      <c r="K51" s="1669">
        <f>SUM(C51:J51)</f>
        <v>0</v>
      </c>
      <c r="L51" s="466">
        <v>0</v>
      </c>
    </row>
    <row r="52" spans="1:14" ht="22.5" x14ac:dyDescent="0.2">
      <c r="A52" s="1502" t="s">
        <v>298</v>
      </c>
      <c r="B52" s="624" t="s">
        <v>366</v>
      </c>
      <c r="C52" s="473">
        <v>0</v>
      </c>
      <c r="D52" s="473">
        <v>0</v>
      </c>
      <c r="E52" s="473">
        <v>0</v>
      </c>
      <c r="F52" s="473">
        <v>0</v>
      </c>
      <c r="G52" s="473">
        <v>0</v>
      </c>
      <c r="H52" s="473">
        <v>0</v>
      </c>
      <c r="I52" s="473">
        <v>0</v>
      </c>
      <c r="J52" s="473">
        <v>0</v>
      </c>
      <c r="K52" s="1669">
        <f>SUM(C52:J52)</f>
        <v>0</v>
      </c>
      <c r="L52" s="473">
        <v>0</v>
      </c>
    </row>
    <row r="53" spans="1:14" ht="12.75" customHeight="1" thickBot="1" x14ac:dyDescent="0.25">
      <c r="A53" s="1665" t="s">
        <v>717</v>
      </c>
      <c r="B53" s="1666" t="s">
        <v>33</v>
      </c>
      <c r="C53" s="1667">
        <f>SUM(C49:C52)</f>
        <v>75782</v>
      </c>
      <c r="D53" s="1667">
        <f t="shared" ref="D53:L53" si="5">SUM(D49:D52)</f>
        <v>12203</v>
      </c>
      <c r="E53" s="1667">
        <f t="shared" si="5"/>
        <v>39507</v>
      </c>
      <c r="F53" s="1667">
        <f t="shared" si="5"/>
        <v>3187</v>
      </c>
      <c r="G53" s="1667">
        <f t="shared" si="5"/>
        <v>0</v>
      </c>
      <c r="H53" s="1667">
        <f t="shared" si="5"/>
        <v>14516</v>
      </c>
      <c r="I53" s="1667">
        <f t="shared" si="5"/>
        <v>0</v>
      </c>
      <c r="J53" s="1667">
        <f t="shared" si="5"/>
        <v>0</v>
      </c>
      <c r="K53" s="1667">
        <f t="shared" si="5"/>
        <v>145195</v>
      </c>
      <c r="L53" s="1667">
        <f t="shared" si="5"/>
        <v>189164</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263523</v>
      </c>
      <c r="D55" s="479">
        <v>49257</v>
      </c>
      <c r="E55" s="479">
        <v>3277</v>
      </c>
      <c r="F55" s="479">
        <v>10220</v>
      </c>
      <c r="G55" s="479">
        <v>0</v>
      </c>
      <c r="H55" s="479">
        <v>955</v>
      </c>
      <c r="I55" s="467">
        <v>0</v>
      </c>
      <c r="J55" s="467">
        <v>0</v>
      </c>
      <c r="K55" s="1669">
        <f>SUM(C55:J55)</f>
        <v>327232</v>
      </c>
      <c r="L55" s="479">
        <v>401141</v>
      </c>
    </row>
    <row r="56" spans="1:14" ht="12.75" customHeight="1" x14ac:dyDescent="0.2">
      <c r="A56" s="1505" t="s">
        <v>376</v>
      </c>
      <c r="B56" s="625">
        <v>2490</v>
      </c>
      <c r="C56" s="466">
        <v>0</v>
      </c>
      <c r="D56" s="466">
        <v>0</v>
      </c>
      <c r="E56" s="466">
        <v>0</v>
      </c>
      <c r="F56" s="466">
        <v>0</v>
      </c>
      <c r="G56" s="466">
        <v>0</v>
      </c>
      <c r="H56" s="466">
        <v>0</v>
      </c>
      <c r="I56" s="467">
        <v>0</v>
      </c>
      <c r="J56" s="467">
        <v>0</v>
      </c>
      <c r="K56" s="1669">
        <f>SUM(C56:J56)</f>
        <v>0</v>
      </c>
      <c r="L56" s="466">
        <v>0</v>
      </c>
    </row>
    <row r="57" spans="1:14" s="343" customFormat="1" ht="12.75" customHeight="1" thickBot="1" x14ac:dyDescent="0.25">
      <c r="A57" s="1665" t="s">
        <v>263</v>
      </c>
      <c r="B57" s="1670" t="s">
        <v>34</v>
      </c>
      <c r="C57" s="1671">
        <f>SUM(C55:C56)</f>
        <v>263523</v>
      </c>
      <c r="D57" s="1671">
        <f t="shared" ref="D57:K57" si="6">SUM(D55:D56)</f>
        <v>49257</v>
      </c>
      <c r="E57" s="1671">
        <f t="shared" si="6"/>
        <v>3277</v>
      </c>
      <c r="F57" s="1671">
        <f t="shared" si="6"/>
        <v>10220</v>
      </c>
      <c r="G57" s="1671">
        <f t="shared" si="6"/>
        <v>0</v>
      </c>
      <c r="H57" s="1671">
        <f t="shared" si="6"/>
        <v>955</v>
      </c>
      <c r="I57" s="1671">
        <f t="shared" si="6"/>
        <v>0</v>
      </c>
      <c r="J57" s="1671">
        <f t="shared" si="6"/>
        <v>0</v>
      </c>
      <c r="K57" s="1671">
        <f t="shared" si="6"/>
        <v>327232</v>
      </c>
      <c r="L57" s="1667">
        <f>SUM(L55:L56)</f>
        <v>401141</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0</v>
      </c>
      <c r="D59" s="479">
        <v>0</v>
      </c>
      <c r="E59" s="479">
        <v>0</v>
      </c>
      <c r="F59" s="479">
        <v>0</v>
      </c>
      <c r="G59" s="479">
        <v>0</v>
      </c>
      <c r="H59" s="479">
        <v>0</v>
      </c>
      <c r="I59" s="467">
        <v>0</v>
      </c>
      <c r="J59" s="467">
        <v>0</v>
      </c>
      <c r="K59" s="1669">
        <f t="shared" ref="K59:K64" si="7">SUM(C59:J59)</f>
        <v>0</v>
      </c>
      <c r="L59" s="479">
        <v>0</v>
      </c>
      <c r="M59" s="606"/>
      <c r="N59" s="606"/>
    </row>
    <row r="60" spans="1:14" s="343" customFormat="1" x14ac:dyDescent="0.2">
      <c r="A60" s="1501" t="s">
        <v>463</v>
      </c>
      <c r="B60" s="611">
        <v>2520</v>
      </c>
      <c r="C60" s="466">
        <v>80971</v>
      </c>
      <c r="D60" s="466">
        <v>21346</v>
      </c>
      <c r="E60" s="466">
        <v>8772</v>
      </c>
      <c r="F60" s="466">
        <v>306</v>
      </c>
      <c r="G60" s="466">
        <v>0</v>
      </c>
      <c r="H60" s="466">
        <v>829</v>
      </c>
      <c r="I60" s="467">
        <v>0</v>
      </c>
      <c r="J60" s="467">
        <v>0</v>
      </c>
      <c r="K60" s="1669">
        <f t="shared" si="7"/>
        <v>112224</v>
      </c>
      <c r="L60" s="466">
        <v>110806</v>
      </c>
      <c r="M60" s="606"/>
      <c r="N60" s="606"/>
    </row>
    <row r="61" spans="1:14" s="343" customFormat="1" x14ac:dyDescent="0.2">
      <c r="A61" s="1501" t="s">
        <v>197</v>
      </c>
      <c r="B61" s="611">
        <v>2540</v>
      </c>
      <c r="C61" s="466">
        <v>0</v>
      </c>
      <c r="D61" s="466">
        <v>0</v>
      </c>
      <c r="E61" s="466">
        <v>0</v>
      </c>
      <c r="F61" s="466">
        <v>0</v>
      </c>
      <c r="G61" s="466">
        <v>0</v>
      </c>
      <c r="H61" s="466">
        <v>0</v>
      </c>
      <c r="I61" s="467">
        <v>0</v>
      </c>
      <c r="J61" s="467">
        <v>0</v>
      </c>
      <c r="K61" s="1669">
        <f t="shared" si="7"/>
        <v>0</v>
      </c>
      <c r="L61" s="466">
        <v>0</v>
      </c>
      <c r="M61" s="606"/>
      <c r="N61" s="606"/>
    </row>
    <row r="62" spans="1:14" s="343" customFormat="1" x14ac:dyDescent="0.2">
      <c r="A62" s="1501" t="s">
        <v>953</v>
      </c>
      <c r="B62" s="611">
        <v>2550</v>
      </c>
      <c r="C62" s="466">
        <v>0</v>
      </c>
      <c r="D62" s="466">
        <v>0</v>
      </c>
      <c r="E62" s="466">
        <v>0</v>
      </c>
      <c r="F62" s="466">
        <v>0</v>
      </c>
      <c r="G62" s="466">
        <v>0</v>
      </c>
      <c r="H62" s="466">
        <v>0</v>
      </c>
      <c r="I62" s="467">
        <v>0</v>
      </c>
      <c r="J62" s="467">
        <v>0</v>
      </c>
      <c r="K62" s="1669">
        <f t="shared" si="7"/>
        <v>0</v>
      </c>
      <c r="L62" s="466">
        <v>0</v>
      </c>
      <c r="M62" s="606"/>
      <c r="N62" s="606"/>
    </row>
    <row r="63" spans="1:14" s="606" customFormat="1" x14ac:dyDescent="0.2">
      <c r="A63" s="1501" t="s">
        <v>100</v>
      </c>
      <c r="B63" s="611">
        <v>2560</v>
      </c>
      <c r="C63" s="466">
        <v>65146</v>
      </c>
      <c r="D63" s="466">
        <v>34</v>
      </c>
      <c r="E63" s="466">
        <v>3620</v>
      </c>
      <c r="F63" s="466">
        <v>68433</v>
      </c>
      <c r="G63" s="466">
        <v>0</v>
      </c>
      <c r="H63" s="466">
        <v>0</v>
      </c>
      <c r="I63" s="467">
        <v>0</v>
      </c>
      <c r="J63" s="467">
        <v>0</v>
      </c>
      <c r="K63" s="1669">
        <f t="shared" si="7"/>
        <v>137233</v>
      </c>
      <c r="L63" s="466">
        <v>151410</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0</v>
      </c>
    </row>
    <row r="65" spans="1:14" s="343" customFormat="1" ht="12.75" customHeight="1" thickBot="1" x14ac:dyDescent="0.25">
      <c r="A65" s="1665" t="s">
        <v>719</v>
      </c>
      <c r="B65" s="1666" t="s">
        <v>35</v>
      </c>
      <c r="C65" s="1667">
        <f>SUM(C59:C64)</f>
        <v>146117</v>
      </c>
      <c r="D65" s="1667">
        <f t="shared" ref="D65:L65" si="8">SUM(D59:D64)</f>
        <v>21380</v>
      </c>
      <c r="E65" s="1667">
        <f t="shared" si="8"/>
        <v>12392</v>
      </c>
      <c r="F65" s="1667">
        <f t="shared" si="8"/>
        <v>68739</v>
      </c>
      <c r="G65" s="1667">
        <f t="shared" si="8"/>
        <v>0</v>
      </c>
      <c r="H65" s="1667">
        <f t="shared" si="8"/>
        <v>829</v>
      </c>
      <c r="I65" s="1667">
        <f t="shared" si="8"/>
        <v>0</v>
      </c>
      <c r="J65" s="1667">
        <f t="shared" si="8"/>
        <v>0</v>
      </c>
      <c r="K65" s="1667">
        <f t="shared" si="8"/>
        <v>249457</v>
      </c>
      <c r="L65" s="1667">
        <f t="shared" si="8"/>
        <v>262216</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607</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1061</v>
      </c>
      <c r="B69" s="611">
        <v>2630</v>
      </c>
      <c r="C69" s="466">
        <v>0</v>
      </c>
      <c r="D69" s="466">
        <v>0</v>
      </c>
      <c r="E69" s="466">
        <v>0</v>
      </c>
      <c r="F69" s="466">
        <v>0</v>
      </c>
      <c r="G69" s="466">
        <v>0</v>
      </c>
      <c r="H69" s="466">
        <v>0</v>
      </c>
      <c r="I69" s="467">
        <v>0</v>
      </c>
      <c r="J69" s="467">
        <v>0</v>
      </c>
      <c r="K69" s="1669">
        <f>SUM(C69:J69)</f>
        <v>0</v>
      </c>
      <c r="L69" s="466">
        <v>0</v>
      </c>
      <c r="M69" s="606"/>
      <c r="N69" s="606"/>
    </row>
    <row r="70" spans="1:14" s="343" customFormat="1" x14ac:dyDescent="0.2">
      <c r="A70" s="1501" t="s">
        <v>403</v>
      </c>
      <c r="B70" s="611">
        <v>2640</v>
      </c>
      <c r="C70" s="466">
        <v>0</v>
      </c>
      <c r="D70" s="466">
        <v>0</v>
      </c>
      <c r="E70" s="466">
        <v>4281</v>
      </c>
      <c r="F70" s="466">
        <v>0</v>
      </c>
      <c r="G70" s="466">
        <v>0</v>
      </c>
      <c r="H70" s="466">
        <v>0</v>
      </c>
      <c r="I70" s="467">
        <v>0</v>
      </c>
      <c r="J70" s="467">
        <v>0</v>
      </c>
      <c r="K70" s="1669">
        <f>SUM(C70:J70)</f>
        <v>4281</v>
      </c>
      <c r="L70" s="466">
        <v>0</v>
      </c>
      <c r="M70" s="606"/>
      <c r="N70" s="606"/>
    </row>
    <row r="71" spans="1:14" s="343" customFormat="1" x14ac:dyDescent="0.2">
      <c r="A71" s="1501" t="s">
        <v>404</v>
      </c>
      <c r="B71" s="611">
        <v>2660</v>
      </c>
      <c r="C71" s="466">
        <v>0</v>
      </c>
      <c r="D71" s="466">
        <v>0</v>
      </c>
      <c r="E71" s="466">
        <v>0</v>
      </c>
      <c r="F71" s="466">
        <v>0</v>
      </c>
      <c r="G71" s="466">
        <v>0</v>
      </c>
      <c r="H71" s="466">
        <v>0</v>
      </c>
      <c r="I71" s="467">
        <v>0</v>
      </c>
      <c r="J71" s="467">
        <v>0</v>
      </c>
      <c r="K71" s="1669">
        <f>SUM(C71:J71)</f>
        <v>0</v>
      </c>
      <c r="L71" s="466">
        <v>0</v>
      </c>
      <c r="M71" s="606"/>
      <c r="N71" s="606"/>
    </row>
    <row r="72" spans="1:14" s="343" customFormat="1" ht="12.75" customHeight="1" thickBot="1" x14ac:dyDescent="0.25">
      <c r="A72" s="1665" t="s">
        <v>37</v>
      </c>
      <c r="B72" s="1672" t="s">
        <v>36</v>
      </c>
      <c r="C72" s="1667">
        <f>SUM(C67:C71)</f>
        <v>0</v>
      </c>
      <c r="D72" s="1667">
        <f t="shared" ref="D72:K72" si="9">SUM(D67:D71)</f>
        <v>0</v>
      </c>
      <c r="E72" s="1667">
        <f t="shared" si="9"/>
        <v>4281</v>
      </c>
      <c r="F72" s="1667">
        <f t="shared" si="9"/>
        <v>0</v>
      </c>
      <c r="G72" s="1667">
        <f t="shared" si="9"/>
        <v>0</v>
      </c>
      <c r="H72" s="1667">
        <f t="shared" si="9"/>
        <v>0</v>
      </c>
      <c r="I72" s="1667">
        <f t="shared" si="9"/>
        <v>0</v>
      </c>
      <c r="J72" s="1667">
        <f t="shared" si="9"/>
        <v>0</v>
      </c>
      <c r="K72" s="1667">
        <f t="shared" si="9"/>
        <v>4281</v>
      </c>
      <c r="L72" s="1667">
        <f>SUM(L67:L71)</f>
        <v>0</v>
      </c>
      <c r="M72" s="606"/>
      <c r="N72" s="606"/>
    </row>
    <row r="73" spans="1:14" s="343" customFormat="1" ht="14.25" thickTop="1" thickBot="1" x14ac:dyDescent="0.25">
      <c r="A73" s="1507" t="s">
        <v>980</v>
      </c>
      <c r="B73" s="629" t="s">
        <v>574</v>
      </c>
      <c r="C73" s="467">
        <v>0</v>
      </c>
      <c r="D73" s="467">
        <v>0</v>
      </c>
      <c r="E73" s="467">
        <v>0</v>
      </c>
      <c r="F73" s="467">
        <v>0</v>
      </c>
      <c r="G73" s="467">
        <v>0</v>
      </c>
      <c r="H73" s="467">
        <v>0</v>
      </c>
      <c r="I73" s="467">
        <v>0</v>
      </c>
      <c r="J73" s="467">
        <v>0</v>
      </c>
      <c r="K73" s="1667">
        <f>SUM(C73:J73)</f>
        <v>0</v>
      </c>
      <c r="L73" s="573">
        <v>200</v>
      </c>
      <c r="M73" s="606"/>
      <c r="N73" s="606"/>
    </row>
    <row r="74" spans="1:14" ht="12.75" customHeight="1" thickTop="1" thickBot="1" x14ac:dyDescent="0.25">
      <c r="A74" s="1665" t="s">
        <v>811</v>
      </c>
      <c r="B74" s="1673">
        <v>2000</v>
      </c>
      <c r="C74" s="1674">
        <f>SUM(C42,C47,C53,C57,C65,C72,C73)</f>
        <v>649402</v>
      </c>
      <c r="D74" s="1674">
        <f t="shared" ref="D74:K74" si="10">SUM(D42,D47,D53,D57,D65,D72,D73)</f>
        <v>110528</v>
      </c>
      <c r="E74" s="1674">
        <f t="shared" si="10"/>
        <v>137367</v>
      </c>
      <c r="F74" s="1674">
        <f t="shared" si="10"/>
        <v>117868</v>
      </c>
      <c r="G74" s="1674">
        <f t="shared" si="10"/>
        <v>0</v>
      </c>
      <c r="H74" s="1674">
        <f t="shared" si="10"/>
        <v>18935</v>
      </c>
      <c r="I74" s="1674">
        <f t="shared" si="10"/>
        <v>0</v>
      </c>
      <c r="J74" s="1674">
        <f t="shared" si="10"/>
        <v>0</v>
      </c>
      <c r="K74" s="1674">
        <f t="shared" si="10"/>
        <v>1034100</v>
      </c>
      <c r="L74" s="1674">
        <f>SUM(L42,L47,L53,L57,L65,L72,L73)</f>
        <v>1159374</v>
      </c>
    </row>
    <row r="75" spans="1:14" s="259" customFormat="1" ht="15.75" customHeight="1" thickTop="1" thickBot="1" x14ac:dyDescent="0.25">
      <c r="A75" s="1607" t="s">
        <v>47</v>
      </c>
      <c r="B75" s="1608" t="s">
        <v>575</v>
      </c>
      <c r="C75" s="467">
        <v>0</v>
      </c>
      <c r="D75" s="467">
        <v>0</v>
      </c>
      <c r="E75" s="467">
        <v>0</v>
      </c>
      <c r="F75" s="467">
        <v>0</v>
      </c>
      <c r="G75" s="467">
        <v>0</v>
      </c>
      <c r="H75" s="467">
        <v>0</v>
      </c>
      <c r="I75" s="467">
        <v>0</v>
      </c>
      <c r="J75" s="467">
        <v>0</v>
      </c>
      <c r="K75" s="1667">
        <f>SUM(C75:J75)</f>
        <v>0</v>
      </c>
      <c r="L75" s="573">
        <v>0</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5625</v>
      </c>
      <c r="F78" s="613"/>
      <c r="G78" s="613"/>
      <c r="H78" s="631">
        <v>2339</v>
      </c>
      <c r="I78" s="475"/>
      <c r="J78" s="475"/>
      <c r="K78" s="1668">
        <f t="shared" ref="K78:K83" si="11">SUM(C78:J78)</f>
        <v>7964</v>
      </c>
      <c r="L78" s="479">
        <v>9000</v>
      </c>
    </row>
    <row r="79" spans="1:14" x14ac:dyDescent="0.2">
      <c r="A79" s="1501" t="s">
        <v>304</v>
      </c>
      <c r="B79" s="611">
        <v>4120</v>
      </c>
      <c r="C79" s="613"/>
      <c r="D79" s="613"/>
      <c r="E79" s="466">
        <v>24475</v>
      </c>
      <c r="F79" s="613"/>
      <c r="G79" s="613"/>
      <c r="H79" s="466">
        <v>0</v>
      </c>
      <c r="I79" s="475"/>
      <c r="J79" s="475"/>
      <c r="K79" s="1668">
        <f t="shared" si="11"/>
        <v>24475</v>
      </c>
      <c r="L79" s="466">
        <v>35500</v>
      </c>
    </row>
    <row r="80" spans="1:14" x14ac:dyDescent="0.2">
      <c r="A80" s="1501" t="s">
        <v>305</v>
      </c>
      <c r="B80" s="611">
        <v>4130</v>
      </c>
      <c r="C80" s="613"/>
      <c r="D80" s="613"/>
      <c r="E80" s="466">
        <v>0</v>
      </c>
      <c r="F80" s="613"/>
      <c r="G80" s="613"/>
      <c r="H80" s="466">
        <v>0</v>
      </c>
      <c r="I80" s="475"/>
      <c r="J80" s="475"/>
      <c r="K80" s="1668">
        <f t="shared" si="11"/>
        <v>0</v>
      </c>
      <c r="L80" s="466">
        <v>0</v>
      </c>
    </row>
    <row r="81" spans="1:12" x14ac:dyDescent="0.2">
      <c r="A81" s="1501" t="s">
        <v>697</v>
      </c>
      <c r="B81" s="611">
        <v>4140</v>
      </c>
      <c r="C81" s="613"/>
      <c r="D81" s="613"/>
      <c r="E81" s="466">
        <v>0</v>
      </c>
      <c r="F81" s="613"/>
      <c r="G81" s="613"/>
      <c r="H81" s="466">
        <v>0</v>
      </c>
      <c r="I81" s="475"/>
      <c r="J81" s="475"/>
      <c r="K81" s="1668">
        <f t="shared" si="11"/>
        <v>0</v>
      </c>
      <c r="L81" s="466">
        <v>0</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698</v>
      </c>
      <c r="B83" s="625">
        <v>4190</v>
      </c>
      <c r="C83" s="613"/>
      <c r="D83" s="613"/>
      <c r="E83" s="466">
        <v>0</v>
      </c>
      <c r="F83" s="613"/>
      <c r="G83" s="613"/>
      <c r="H83" s="466">
        <v>0</v>
      </c>
      <c r="I83" s="475"/>
      <c r="J83" s="475"/>
      <c r="K83" s="1668">
        <f t="shared" si="11"/>
        <v>0</v>
      </c>
      <c r="L83" s="466">
        <v>0</v>
      </c>
    </row>
    <row r="84" spans="1:12" ht="13.5" thickBot="1" x14ac:dyDescent="0.25">
      <c r="A84" s="1665" t="s">
        <v>1485</v>
      </c>
      <c r="B84" s="1675">
        <v>4100</v>
      </c>
      <c r="C84" s="613"/>
      <c r="D84" s="613"/>
      <c r="E84" s="1667">
        <f>SUM(E78:E83)</f>
        <v>30100</v>
      </c>
      <c r="F84" s="613"/>
      <c r="G84" s="613"/>
      <c r="H84" s="1667">
        <f>SUM(H78:H83)</f>
        <v>2339</v>
      </c>
      <c r="I84" s="475"/>
      <c r="J84" s="475"/>
      <c r="K84" s="1667">
        <f>SUM(K78:K83)</f>
        <v>32439</v>
      </c>
      <c r="L84" s="1667">
        <f>SUM(L78:L83)</f>
        <v>44500</v>
      </c>
    </row>
    <row r="85" spans="1:12" ht="12.75" customHeight="1" thickTop="1" thickBot="1" x14ac:dyDescent="0.25">
      <c r="A85" s="1508" t="s">
        <v>255</v>
      </c>
      <c r="B85" s="632">
        <v>4210</v>
      </c>
      <c r="C85" s="613"/>
      <c r="D85" s="613"/>
      <c r="E85" s="633"/>
      <c r="F85" s="613"/>
      <c r="G85" s="613"/>
      <c r="H85" s="532">
        <v>0</v>
      </c>
      <c r="I85" s="475"/>
      <c r="J85" s="475"/>
      <c r="K85" s="1674">
        <f>H85</f>
        <v>0</v>
      </c>
      <c r="L85" s="527">
        <v>0</v>
      </c>
    </row>
    <row r="86" spans="1:12" ht="12.75" customHeight="1" thickTop="1" thickBot="1" x14ac:dyDescent="0.25">
      <c r="A86" s="1509" t="s">
        <v>699</v>
      </c>
      <c r="B86" s="634">
        <v>4220</v>
      </c>
      <c r="C86" s="613"/>
      <c r="D86" s="613"/>
      <c r="E86" s="635"/>
      <c r="F86" s="613"/>
      <c r="G86" s="613"/>
      <c r="H86" s="467">
        <v>59715</v>
      </c>
      <c r="I86" s="475"/>
      <c r="J86" s="475"/>
      <c r="K86" s="1674">
        <f t="shared" ref="K86:K98" si="12">H86</f>
        <v>59715</v>
      </c>
      <c r="L86" s="527">
        <v>85000</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0</v>
      </c>
      <c r="I88" s="475"/>
      <c r="J88" s="475"/>
      <c r="K88" s="1674">
        <f t="shared" si="12"/>
        <v>0</v>
      </c>
      <c r="L88" s="527">
        <v>0</v>
      </c>
    </row>
    <row r="89" spans="1:12" ht="12.75" customHeight="1" thickTop="1" thickBot="1" x14ac:dyDescent="0.25">
      <c r="A89" s="1510" t="s">
        <v>701</v>
      </c>
      <c r="B89" s="636">
        <v>4270</v>
      </c>
      <c r="C89" s="613"/>
      <c r="D89" s="613"/>
      <c r="E89" s="635"/>
      <c r="F89" s="613"/>
      <c r="G89" s="613"/>
      <c r="H89" s="467">
        <v>0</v>
      </c>
      <c r="I89" s="475"/>
      <c r="J89" s="475"/>
      <c r="K89" s="1674">
        <f t="shared" si="12"/>
        <v>0</v>
      </c>
      <c r="L89" s="527">
        <v>0</v>
      </c>
    </row>
    <row r="90" spans="1:12" ht="12.75" customHeight="1" thickTop="1" thickBot="1" x14ac:dyDescent="0.25">
      <c r="A90" s="1510" t="s">
        <v>686</v>
      </c>
      <c r="B90" s="636">
        <v>4280</v>
      </c>
      <c r="C90" s="613"/>
      <c r="D90" s="613"/>
      <c r="E90" s="635"/>
      <c r="F90" s="613"/>
      <c r="G90" s="613"/>
      <c r="H90" s="467">
        <v>0</v>
      </c>
      <c r="I90" s="475"/>
      <c r="J90" s="475"/>
      <c r="K90" s="1674">
        <f t="shared" si="12"/>
        <v>0</v>
      </c>
      <c r="L90" s="527">
        <v>0</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1560</v>
      </c>
      <c r="B92" s="1675">
        <v>4200</v>
      </c>
      <c r="C92" s="613"/>
      <c r="D92" s="613"/>
      <c r="E92" s="635"/>
      <c r="F92" s="613"/>
      <c r="G92" s="613"/>
      <c r="H92" s="1667">
        <f>SUM(H85:H91)</f>
        <v>59715</v>
      </c>
      <c r="I92" s="475"/>
      <c r="J92" s="475"/>
      <c r="K92" s="1674">
        <f t="shared" si="12"/>
        <v>59715</v>
      </c>
      <c r="L92" s="1667">
        <f>SUM(L85:L91)</f>
        <v>85000</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0</v>
      </c>
      <c r="I94" s="475"/>
      <c r="J94" s="475"/>
      <c r="K94" s="1674">
        <f t="shared" si="12"/>
        <v>0</v>
      </c>
      <c r="L94" s="527">
        <v>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0</v>
      </c>
      <c r="I96" s="475"/>
      <c r="J96" s="475"/>
      <c r="K96" s="1674">
        <f t="shared" si="12"/>
        <v>0</v>
      </c>
      <c r="L96" s="527">
        <v>0</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7000</v>
      </c>
    </row>
    <row r="100" spans="1:14" ht="14.25" thickTop="1" thickBot="1" x14ac:dyDescent="0.25">
      <c r="A100" s="1677" t="s">
        <v>1486</v>
      </c>
      <c r="B100" s="1678">
        <v>4300</v>
      </c>
      <c r="C100" s="613"/>
      <c r="D100" s="613"/>
      <c r="E100" s="1674">
        <f>SUM(E93:E99)</f>
        <v>0</v>
      </c>
      <c r="F100" s="613"/>
      <c r="G100" s="613"/>
      <c r="H100" s="1674">
        <f>SUM(H93:H99)</f>
        <v>0</v>
      </c>
      <c r="I100" s="475"/>
      <c r="J100" s="475"/>
      <c r="K100" s="1674">
        <f>SUM(K93:K99)</f>
        <v>0</v>
      </c>
      <c r="L100" s="1674">
        <f>SUM(L93:L99)</f>
        <v>7000</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30100</v>
      </c>
      <c r="F102" s="613"/>
      <c r="G102" s="613"/>
      <c r="H102" s="1674">
        <f>SUM(H84,H92,H100,H101)</f>
        <v>62054</v>
      </c>
      <c r="I102" s="475"/>
      <c r="J102" s="475"/>
      <c r="K102" s="1674">
        <f>SUM(K84,K92,K100,K101)</f>
        <v>92154</v>
      </c>
      <c r="L102" s="1674">
        <f>SUM(L84,L92,L100,L101)</f>
        <v>136500</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0</v>
      </c>
      <c r="M113" s="610"/>
      <c r="N113" s="610"/>
    </row>
    <row r="114" spans="1:14" ht="12.75" customHeight="1" thickTop="1" thickBot="1" x14ac:dyDescent="0.25">
      <c r="A114" s="1665" t="s">
        <v>48</v>
      </c>
      <c r="B114" s="1679"/>
      <c r="C114" s="1667">
        <f>SUM(C33,C74,C75,C102,C112,C113)</f>
        <v>2452612</v>
      </c>
      <c r="D114" s="1667">
        <f t="shared" ref="D114:K114" si="13">SUM(D33,D74,D75,D102,D112,D113)</f>
        <v>527115</v>
      </c>
      <c r="E114" s="1667">
        <f t="shared" si="13"/>
        <v>252308</v>
      </c>
      <c r="F114" s="1667">
        <f t="shared" si="13"/>
        <v>243511</v>
      </c>
      <c r="G114" s="1667">
        <f t="shared" si="13"/>
        <v>33813</v>
      </c>
      <c r="H114" s="1667">
        <f>SUM(H33,H74,H75,H102,H112,H113)</f>
        <v>133473</v>
      </c>
      <c r="I114" s="1667">
        <f t="shared" si="13"/>
        <v>0</v>
      </c>
      <c r="J114" s="1667">
        <f t="shared" si="13"/>
        <v>0</v>
      </c>
      <c r="K114" s="1667">
        <f t="shared" si="13"/>
        <v>3642832</v>
      </c>
      <c r="L114" s="1667">
        <f>SUM(L33,L74,L75,L102,L112,L113)</f>
        <v>3857793</v>
      </c>
    </row>
    <row r="115" spans="1:14" ht="13.5" thickTop="1" x14ac:dyDescent="0.2">
      <c r="A115" s="2199" t="s">
        <v>996</v>
      </c>
      <c r="B115" s="2200"/>
      <c r="C115" s="615"/>
      <c r="D115" s="615"/>
      <c r="E115" s="615"/>
      <c r="F115" s="615"/>
      <c r="G115" s="615"/>
      <c r="H115" s="615"/>
      <c r="I115" s="615"/>
      <c r="J115" s="615"/>
      <c r="K115" s="1681">
        <f>'Revenues 9-14'!C268-'Expenditures 15-22'!K114</f>
        <v>-576665</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77" t="s">
        <v>296</v>
      </c>
      <c r="B117" s="2178"/>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2060</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0</v>
      </c>
      <c r="H123" s="466">
        <v>0</v>
      </c>
      <c r="I123" s="467">
        <v>0</v>
      </c>
      <c r="J123" s="467">
        <v>0</v>
      </c>
      <c r="K123" s="1667">
        <f>SUM(C123:J123)</f>
        <v>0</v>
      </c>
      <c r="L123" s="466">
        <v>0</v>
      </c>
    </row>
    <row r="124" spans="1:14" ht="14.25" thickTop="1" thickBot="1" x14ac:dyDescent="0.25">
      <c r="A124" s="1501" t="s">
        <v>197</v>
      </c>
      <c r="B124" s="611">
        <v>2540</v>
      </c>
      <c r="C124" s="466">
        <v>160431</v>
      </c>
      <c r="D124" s="466">
        <v>26181</v>
      </c>
      <c r="E124" s="466">
        <v>84154</v>
      </c>
      <c r="F124" s="466">
        <v>141347</v>
      </c>
      <c r="G124" s="466">
        <v>6000</v>
      </c>
      <c r="H124" s="466">
        <v>0</v>
      </c>
      <c r="I124" s="467">
        <v>0</v>
      </c>
      <c r="J124" s="467">
        <v>0</v>
      </c>
      <c r="K124" s="1667">
        <f>SUM(C124:J124)</f>
        <v>418113</v>
      </c>
      <c r="L124" s="466">
        <v>532397</v>
      </c>
    </row>
    <row r="125" spans="1:14" ht="14.25" thickTop="1" thickBot="1" x14ac:dyDescent="0.25">
      <c r="A125" s="1501" t="s">
        <v>953</v>
      </c>
      <c r="B125" s="611">
        <v>2550</v>
      </c>
      <c r="C125" s="466">
        <v>0</v>
      </c>
      <c r="D125" s="466">
        <v>0</v>
      </c>
      <c r="E125" s="466">
        <v>1900</v>
      </c>
      <c r="F125" s="466">
        <v>4870</v>
      </c>
      <c r="G125" s="466">
        <v>0</v>
      </c>
      <c r="H125" s="466">
        <v>0</v>
      </c>
      <c r="I125" s="467">
        <v>0</v>
      </c>
      <c r="J125" s="467">
        <v>0</v>
      </c>
      <c r="K125" s="1667">
        <f>SUM(C125:J125)</f>
        <v>6770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160431</v>
      </c>
      <c r="D127" s="1667">
        <f t="shared" ref="D127:L127" si="14">SUM(D122:D126)</f>
        <v>26181</v>
      </c>
      <c r="E127" s="1667">
        <f t="shared" si="14"/>
        <v>86054</v>
      </c>
      <c r="F127" s="1667">
        <f t="shared" si="14"/>
        <v>146217</v>
      </c>
      <c r="G127" s="1667">
        <f t="shared" si="14"/>
        <v>6000</v>
      </c>
      <c r="H127" s="1667">
        <f t="shared" si="14"/>
        <v>0</v>
      </c>
      <c r="I127" s="1667">
        <f t="shared" si="14"/>
        <v>0</v>
      </c>
      <c r="J127" s="1667">
        <f t="shared" si="14"/>
        <v>0</v>
      </c>
      <c r="K127" s="1667">
        <f t="shared" si="14"/>
        <v>424883</v>
      </c>
      <c r="L127" s="1667">
        <f t="shared" si="14"/>
        <v>532397</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160431</v>
      </c>
      <c r="D129" s="1674">
        <f t="shared" ref="D129:L129" si="15">SUM(D120,D127,D128)</f>
        <v>26181</v>
      </c>
      <c r="E129" s="1674">
        <f t="shared" si="15"/>
        <v>86054</v>
      </c>
      <c r="F129" s="1674">
        <f t="shared" si="15"/>
        <v>146217</v>
      </c>
      <c r="G129" s="1674">
        <f t="shared" si="15"/>
        <v>6000</v>
      </c>
      <c r="H129" s="1674">
        <f t="shared" si="15"/>
        <v>0</v>
      </c>
      <c r="I129" s="1674">
        <f t="shared" si="15"/>
        <v>0</v>
      </c>
      <c r="J129" s="1674">
        <f t="shared" si="15"/>
        <v>0</v>
      </c>
      <c r="K129" s="1674">
        <f t="shared" si="15"/>
        <v>424883</v>
      </c>
      <c r="L129" s="1674">
        <f t="shared" si="15"/>
        <v>532397</v>
      </c>
    </row>
    <row r="130" spans="1:14" ht="15.75" customHeight="1" thickTop="1" thickBot="1" x14ac:dyDescent="0.25">
      <c r="A130" s="1607" t="s">
        <v>1036</v>
      </c>
      <c r="B130" s="1608" t="s">
        <v>575</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1845</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0</v>
      </c>
      <c r="F135" s="613"/>
      <c r="G135" s="613"/>
      <c r="H135" s="466">
        <v>0</v>
      </c>
      <c r="I135" s="475"/>
      <c r="J135" s="613"/>
      <c r="K135" s="1669">
        <f>SUM(E135,H135)</f>
        <v>0</v>
      </c>
      <c r="L135" s="466">
        <v>0</v>
      </c>
    </row>
    <row r="136" spans="1:14" x14ac:dyDescent="0.2">
      <c r="A136" s="1505" t="s">
        <v>698</v>
      </c>
      <c r="B136" s="625">
        <v>4190</v>
      </c>
      <c r="C136" s="613"/>
      <c r="D136" s="613"/>
      <c r="E136" s="467">
        <v>0</v>
      </c>
      <c r="F136" s="613"/>
      <c r="G136" s="613"/>
      <c r="H136" s="466">
        <v>150</v>
      </c>
      <c r="I136" s="475"/>
      <c r="J136" s="613"/>
      <c r="K136" s="1669">
        <f>SUM(E136,H136)</f>
        <v>150</v>
      </c>
      <c r="L136" s="466">
        <v>0</v>
      </c>
    </row>
    <row r="137" spans="1:14" ht="12.75" customHeight="1" thickBot="1" x14ac:dyDescent="0.25">
      <c r="A137" s="1665" t="s">
        <v>480</v>
      </c>
      <c r="B137" s="1675">
        <v>4100</v>
      </c>
      <c r="C137" s="613"/>
      <c r="D137" s="613"/>
      <c r="E137" s="1667">
        <f>SUM(E133:E136)</f>
        <v>0</v>
      </c>
      <c r="F137" s="613"/>
      <c r="G137" s="613"/>
      <c r="H137" s="1667">
        <f>SUM(H133:H136)</f>
        <v>150</v>
      </c>
      <c r="I137" s="475"/>
      <c r="J137" s="613"/>
      <c r="K137" s="1667">
        <f>SUM(K133:K136)</f>
        <v>150</v>
      </c>
      <c r="L137" s="1667">
        <f>SUM(L133:L136)</f>
        <v>0</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0</v>
      </c>
      <c r="F139" s="613"/>
      <c r="G139" s="613"/>
      <c r="H139" s="1676">
        <f>SUM(H137:H138)</f>
        <v>150</v>
      </c>
      <c r="I139" s="475"/>
      <c r="J139" s="613"/>
      <c r="K139" s="1669">
        <f>SUM(K137,K138)</f>
        <v>150</v>
      </c>
      <c r="L139" s="1676">
        <f>SUM(L137,L138)</f>
        <v>0</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0</v>
      </c>
    </row>
    <row r="151" spans="1:14" ht="12.75" customHeight="1" thickTop="1" thickBot="1" x14ac:dyDescent="0.25">
      <c r="A151" s="2189" t="s">
        <v>620</v>
      </c>
      <c r="B151" s="2171"/>
      <c r="C151" s="1667">
        <f>SUM(C129,C130,C139,C149,C150)</f>
        <v>160431</v>
      </c>
      <c r="D151" s="1667">
        <f t="shared" ref="D151:K151" si="16">SUM(D129,D130,D139,D149,D150)</f>
        <v>26181</v>
      </c>
      <c r="E151" s="1667">
        <f t="shared" si="16"/>
        <v>86054</v>
      </c>
      <c r="F151" s="1667">
        <f t="shared" si="16"/>
        <v>146217</v>
      </c>
      <c r="G151" s="1667">
        <f t="shared" si="16"/>
        <v>6000</v>
      </c>
      <c r="H151" s="1667">
        <f t="shared" si="16"/>
        <v>150</v>
      </c>
      <c r="I151" s="1667">
        <f t="shared" si="16"/>
        <v>0</v>
      </c>
      <c r="J151" s="1667">
        <f t="shared" si="16"/>
        <v>0</v>
      </c>
      <c r="K151" s="1667">
        <f t="shared" si="16"/>
        <v>425033</v>
      </c>
      <c r="L151" s="1667">
        <f>SUM(L129,L130,L139,L149,L150)</f>
        <v>532397</v>
      </c>
    </row>
    <row r="152" spans="1:14" ht="12.75" customHeight="1" thickTop="1" x14ac:dyDescent="0.2">
      <c r="A152" s="2192" t="s">
        <v>1178</v>
      </c>
      <c r="B152" s="2193"/>
      <c r="C152" s="615"/>
      <c r="D152" s="615"/>
      <c r="E152" s="615"/>
      <c r="F152" s="615"/>
      <c r="G152" s="615"/>
      <c r="H152" s="615"/>
      <c r="I152" s="615"/>
      <c r="J152" s="613"/>
      <c r="K152" s="1681">
        <f>'Revenues 9-14'!D268-'Expenditures 15-22'!K151</f>
        <v>-59529</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77" t="s">
        <v>621</v>
      </c>
      <c r="B154" s="2179"/>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1846</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1845</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1847</v>
      </c>
      <c r="C158" s="613"/>
      <c r="D158" s="613"/>
      <c r="E158" s="613"/>
      <c r="F158" s="613"/>
      <c r="G158" s="613"/>
      <c r="H158" s="467">
        <v>0</v>
      </c>
      <c r="I158" s="613"/>
      <c r="J158" s="613"/>
      <c r="K158" s="1668">
        <f>H158</f>
        <v>0</v>
      </c>
      <c r="L158" s="467">
        <v>0</v>
      </c>
      <c r="M158" s="616"/>
      <c r="N158" s="616"/>
    </row>
    <row r="159" spans="1:14" s="617" customFormat="1" ht="12" x14ac:dyDescent="0.2">
      <c r="A159" s="1823" t="s">
        <v>1848</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1849</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36221</v>
      </c>
      <c r="I169" s="613"/>
      <c r="J169" s="613"/>
      <c r="K169" s="1668">
        <f>SUM(C169:H169)</f>
        <v>36221</v>
      </c>
      <c r="L169" s="653">
        <v>32500</v>
      </c>
    </row>
    <row r="170" spans="1:14" ht="33.75" customHeight="1" x14ac:dyDescent="0.2">
      <c r="A170" s="666" t="s">
        <v>1670</v>
      </c>
      <c r="B170" s="668" t="s">
        <v>31</v>
      </c>
      <c r="C170" s="613"/>
      <c r="D170" s="613"/>
      <c r="E170" s="613"/>
      <c r="F170" s="613"/>
      <c r="G170" s="613"/>
      <c r="H170" s="566">
        <v>380000</v>
      </c>
      <c r="I170" s="613"/>
      <c r="J170" s="613"/>
      <c r="K170" s="1668">
        <f>SUM(C170:J170)</f>
        <v>380000</v>
      </c>
      <c r="L170" s="566">
        <v>355000</v>
      </c>
    </row>
    <row r="171" spans="1:14" ht="15.75" customHeight="1" x14ac:dyDescent="0.2">
      <c r="A171" s="618" t="s">
        <v>766</v>
      </c>
      <c r="B171" s="669" t="s">
        <v>84</v>
      </c>
      <c r="C171" s="613"/>
      <c r="D171" s="613"/>
      <c r="E171" s="466">
        <v>0</v>
      </c>
      <c r="F171" s="613"/>
      <c r="G171" s="613"/>
      <c r="H171" s="566">
        <v>500</v>
      </c>
      <c r="I171" s="475"/>
      <c r="J171" s="613"/>
      <c r="K171" s="1668">
        <f>SUM(C171:J171)</f>
        <v>500</v>
      </c>
      <c r="L171" s="566">
        <v>1500</v>
      </c>
    </row>
    <row r="172" spans="1:14" ht="12.75" customHeight="1" thickBot="1" x14ac:dyDescent="0.25">
      <c r="A172" s="1665" t="s">
        <v>638</v>
      </c>
      <c r="B172" s="1666" t="s">
        <v>492</v>
      </c>
      <c r="C172" s="613"/>
      <c r="D172" s="613"/>
      <c r="E172" s="1674">
        <f>SUM(E168,E169,E170,E171)</f>
        <v>0</v>
      </c>
      <c r="F172" s="613"/>
      <c r="G172" s="613"/>
      <c r="H172" s="1674">
        <f>SUM(H168,H169,H170,H171)</f>
        <v>416721</v>
      </c>
      <c r="I172" s="635"/>
      <c r="J172" s="613"/>
      <c r="K172" s="1674">
        <f>SUM(K168,K169,K170,K171)</f>
        <v>416721</v>
      </c>
      <c r="L172" s="1674">
        <f>SUM(L168,L169,L170,L171)</f>
        <v>389000</v>
      </c>
    </row>
    <row r="173" spans="1:14" ht="15.75" customHeight="1" thickTop="1" thickBot="1" x14ac:dyDescent="0.25">
      <c r="A173" s="1616" t="s">
        <v>85</v>
      </c>
      <c r="B173" s="1608" t="s">
        <v>861</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0</v>
      </c>
      <c r="F174" s="613"/>
      <c r="G174" s="613"/>
      <c r="H174" s="1674">
        <f>SUM(H160,H172,H173)</f>
        <v>416721</v>
      </c>
      <c r="I174" s="635"/>
      <c r="J174" s="613"/>
      <c r="K174" s="1674">
        <f>SUM(K160,K172,K173)</f>
        <v>416721</v>
      </c>
      <c r="L174" s="1674">
        <f>SUM(L160,L172,L173)</f>
        <v>389000</v>
      </c>
    </row>
    <row r="175" spans="1:14" ht="13.5" thickTop="1" x14ac:dyDescent="0.2">
      <c r="A175" s="2199" t="s">
        <v>996</v>
      </c>
      <c r="B175" s="2200"/>
      <c r="C175" s="613"/>
      <c r="D175" s="613"/>
      <c r="E175" s="613"/>
      <c r="F175" s="613"/>
      <c r="G175" s="613"/>
      <c r="H175" s="615"/>
      <c r="I175" s="613"/>
      <c r="J175" s="613"/>
      <c r="K175" s="1681">
        <f>'Revenues 9-14'!E268-'Expenditures 15-22'!K174</f>
        <v>-228212</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2060</v>
      </c>
      <c r="B180" s="611" t="s">
        <v>716</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165968</v>
      </c>
      <c r="D182" s="466">
        <v>5886</v>
      </c>
      <c r="E182" s="466">
        <v>84346</v>
      </c>
      <c r="F182" s="466">
        <v>39389</v>
      </c>
      <c r="G182" s="466">
        <v>33130</v>
      </c>
      <c r="H182" s="466">
        <v>13989</v>
      </c>
      <c r="I182" s="467">
        <v>0</v>
      </c>
      <c r="J182" s="467">
        <v>0</v>
      </c>
      <c r="K182" s="1668">
        <f>SUM(C182:J182)</f>
        <v>342708</v>
      </c>
      <c r="L182" s="466">
        <v>350328</v>
      </c>
    </row>
    <row r="183" spans="1:14" ht="12.75" customHeight="1" thickBot="1" x14ac:dyDescent="0.25">
      <c r="A183" s="1506" t="s">
        <v>980</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811</v>
      </c>
      <c r="B184" s="1666" t="s">
        <v>569</v>
      </c>
      <c r="C184" s="1674">
        <f>SUM(C180,C182,C183)</f>
        <v>165968</v>
      </c>
      <c r="D184" s="1674">
        <f t="shared" ref="D184:J184" si="17">SUM(D180,D182,D183)</f>
        <v>5886</v>
      </c>
      <c r="E184" s="1674">
        <f t="shared" si="17"/>
        <v>84346</v>
      </c>
      <c r="F184" s="1674">
        <f t="shared" si="17"/>
        <v>39389</v>
      </c>
      <c r="G184" s="1674">
        <f t="shared" si="17"/>
        <v>33130</v>
      </c>
      <c r="H184" s="1674">
        <f t="shared" si="17"/>
        <v>13989</v>
      </c>
      <c r="I184" s="1674">
        <f t="shared" si="17"/>
        <v>0</v>
      </c>
      <c r="J184" s="1674">
        <f t="shared" si="17"/>
        <v>0</v>
      </c>
      <c r="K184" s="1674">
        <f>SUM(K180,K182,K183)</f>
        <v>342708</v>
      </c>
      <c r="L184" s="1674">
        <f>SUM(L180, L182:L183)</f>
        <v>350328</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0</v>
      </c>
      <c r="F188" s="613"/>
      <c r="G188" s="613"/>
      <c r="H188" s="466">
        <v>0</v>
      </c>
      <c r="I188" s="475"/>
      <c r="J188" s="613"/>
      <c r="K188" s="1668">
        <f t="shared" ref="K188:K193" si="18">SUM(E188,H188)</f>
        <v>0</v>
      </c>
      <c r="L188" s="466">
        <v>0</v>
      </c>
    </row>
    <row r="189" spans="1:14" x14ac:dyDescent="0.2">
      <c r="A189" s="1501" t="s">
        <v>304</v>
      </c>
      <c r="B189" s="611">
        <v>4120</v>
      </c>
      <c r="C189" s="613"/>
      <c r="D189" s="613"/>
      <c r="E189" s="466">
        <v>0</v>
      </c>
      <c r="F189" s="613"/>
      <c r="G189" s="613"/>
      <c r="H189" s="466">
        <v>0</v>
      </c>
      <c r="I189" s="475"/>
      <c r="J189" s="613"/>
      <c r="K189" s="1668">
        <f t="shared" si="18"/>
        <v>0</v>
      </c>
      <c r="L189" s="466">
        <v>0</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0</v>
      </c>
      <c r="F194" s="613"/>
      <c r="G194" s="613"/>
      <c r="H194" s="1667">
        <f>SUM(H188:H193)</f>
        <v>0</v>
      </c>
      <c r="I194" s="475"/>
      <c r="J194" s="613"/>
      <c r="K194" s="1667">
        <f>SUM(K188:K193)</f>
        <v>0</v>
      </c>
      <c r="L194" s="1667">
        <f>SUM(L188:L193)</f>
        <v>0</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0</v>
      </c>
      <c r="F196" s="613"/>
      <c r="G196" s="613"/>
      <c r="H196" s="1674">
        <f>SUM(H194,H195)</f>
        <v>0</v>
      </c>
      <c r="I196" s="475"/>
      <c r="J196" s="613"/>
      <c r="K196" s="1674">
        <f>SUM(K194,K195)</f>
        <v>0</v>
      </c>
      <c r="L196" s="1674">
        <f>SUM(L194,L195)</f>
        <v>0</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1671</v>
      </c>
      <c r="B206" s="669" t="s">
        <v>31</v>
      </c>
      <c r="C206" s="613"/>
      <c r="D206" s="613"/>
      <c r="E206" s="613"/>
      <c r="F206" s="613"/>
      <c r="G206" s="613"/>
      <c r="H206" s="466">
        <v>0</v>
      </c>
      <c r="I206" s="613"/>
      <c r="J206" s="613"/>
      <c r="K206" s="1668">
        <f>SUM(H206)</f>
        <v>0</v>
      </c>
      <c r="L206" s="466">
        <v>0</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872</v>
      </c>
      <c r="B209" s="1610" t="s">
        <v>861</v>
      </c>
      <c r="C209" s="620"/>
      <c r="D209" s="620"/>
      <c r="E209" s="620"/>
      <c r="F209" s="620"/>
      <c r="G209" s="620"/>
      <c r="H209" s="620"/>
      <c r="I209" s="613"/>
      <c r="J209" s="613"/>
      <c r="K209" s="620"/>
      <c r="L209" s="573">
        <v>0</v>
      </c>
    </row>
    <row r="210" spans="1:14" ht="12.75" customHeight="1" thickTop="1" thickBot="1" x14ac:dyDescent="0.25">
      <c r="A210" s="1689" t="s">
        <v>277</v>
      </c>
      <c r="B210" s="1690"/>
      <c r="C210" s="1667">
        <f>SUM(C184,C185)</f>
        <v>165968</v>
      </c>
      <c r="D210" s="1667">
        <f>SUM(D184,D185)</f>
        <v>5886</v>
      </c>
      <c r="E210" s="1667">
        <f>SUM(E184,E185,E196)</f>
        <v>84346</v>
      </c>
      <c r="F210" s="1667">
        <f>SUM(F184,F185)</f>
        <v>39389</v>
      </c>
      <c r="G210" s="1667">
        <f>SUM(G184,G185)</f>
        <v>33130</v>
      </c>
      <c r="H210" s="1667">
        <f>SUM(H184,H185,H196,H208,H209)</f>
        <v>13989</v>
      </c>
      <c r="I210" s="1667">
        <f>SUM(I184,I185)</f>
        <v>0</v>
      </c>
      <c r="J210" s="1667">
        <f>SUM(J184,J185)</f>
        <v>0</v>
      </c>
      <c r="K210" s="1668">
        <f>SUM(K184,K185,K196,K208,K209)</f>
        <v>342708</v>
      </c>
      <c r="L210" s="1667">
        <f>SUM(L184,L185,L196,L208,L209)</f>
        <v>350328</v>
      </c>
    </row>
    <row r="211" spans="1:14" ht="13.5" thickTop="1" x14ac:dyDescent="0.2">
      <c r="A211" s="2199" t="s">
        <v>996</v>
      </c>
      <c r="B211" s="2200"/>
      <c r="C211" s="615"/>
      <c r="D211" s="615"/>
      <c r="E211" s="615"/>
      <c r="F211" s="615"/>
      <c r="G211" s="615"/>
      <c r="H211" s="615"/>
      <c r="I211" s="613"/>
      <c r="J211" s="613"/>
      <c r="K211" s="1681">
        <f>'Revenues 9-14'!F268-'Expenditures 15-22'!K210</f>
        <v>-136427</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194" t="s">
        <v>965</v>
      </c>
      <c r="B213" s="2195"/>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16968</v>
      </c>
      <c r="E215" s="613"/>
      <c r="F215" s="613"/>
      <c r="G215" s="613"/>
      <c r="H215" s="613"/>
      <c r="I215" s="613"/>
      <c r="J215" s="613"/>
      <c r="K215" s="1668">
        <f>D215</f>
        <v>16968</v>
      </c>
      <c r="L215" s="466">
        <v>17781</v>
      </c>
    </row>
    <row r="216" spans="1:14" x14ac:dyDescent="0.2">
      <c r="A216" s="1501" t="s">
        <v>163</v>
      </c>
      <c r="B216" s="611" t="s">
        <v>967</v>
      </c>
      <c r="C216" s="613"/>
      <c r="D216" s="467">
        <v>4034</v>
      </c>
      <c r="E216" s="613"/>
      <c r="F216" s="613"/>
      <c r="G216" s="613"/>
      <c r="H216" s="613"/>
      <c r="I216" s="613"/>
      <c r="J216" s="613"/>
      <c r="K216" s="1668">
        <f t="shared" ref="K216:K228" si="19">D216</f>
        <v>4034</v>
      </c>
      <c r="L216" s="466">
        <v>2894</v>
      </c>
    </row>
    <row r="217" spans="1:14" x14ac:dyDescent="0.2">
      <c r="A217" s="1501" t="s">
        <v>164</v>
      </c>
      <c r="B217" s="611">
        <v>1200</v>
      </c>
      <c r="C217" s="613"/>
      <c r="D217" s="466">
        <v>32763</v>
      </c>
      <c r="E217" s="613"/>
      <c r="F217" s="613"/>
      <c r="G217" s="613"/>
      <c r="H217" s="613"/>
      <c r="I217" s="613"/>
      <c r="J217" s="613"/>
      <c r="K217" s="1668">
        <f t="shared" si="19"/>
        <v>32763</v>
      </c>
      <c r="L217" s="466">
        <v>33545</v>
      </c>
    </row>
    <row r="218" spans="1:14" x14ac:dyDescent="0.2">
      <c r="A218" s="1501" t="s">
        <v>278</v>
      </c>
      <c r="B218" s="611" t="s">
        <v>968</v>
      </c>
      <c r="C218" s="613"/>
      <c r="D218" s="467">
        <v>0</v>
      </c>
      <c r="E218" s="613"/>
      <c r="F218" s="613"/>
      <c r="G218" s="613"/>
      <c r="H218" s="613"/>
      <c r="I218" s="613"/>
      <c r="J218" s="613"/>
      <c r="K218" s="1668">
        <f t="shared" si="19"/>
        <v>0</v>
      </c>
      <c r="L218" s="466">
        <v>0</v>
      </c>
    </row>
    <row r="219" spans="1:14" x14ac:dyDescent="0.2">
      <c r="A219" s="1501" t="s">
        <v>279</v>
      </c>
      <c r="B219" s="611">
        <v>1250</v>
      </c>
      <c r="C219" s="613"/>
      <c r="D219" s="466">
        <v>9758</v>
      </c>
      <c r="E219" s="613"/>
      <c r="F219" s="613"/>
      <c r="G219" s="613"/>
      <c r="H219" s="613"/>
      <c r="I219" s="613"/>
      <c r="J219" s="613"/>
      <c r="K219" s="1668">
        <f t="shared" si="19"/>
        <v>9758</v>
      </c>
      <c r="L219" s="466">
        <v>9268</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0</v>
      </c>
    </row>
    <row r="222" spans="1:14" x14ac:dyDescent="0.2">
      <c r="A222" s="1501" t="s">
        <v>723</v>
      </c>
      <c r="B222" s="611">
        <v>1400</v>
      </c>
      <c r="C222" s="613"/>
      <c r="D222" s="466">
        <v>1237</v>
      </c>
      <c r="E222" s="613"/>
      <c r="F222" s="613"/>
      <c r="G222" s="613"/>
      <c r="H222" s="613"/>
      <c r="I222" s="613"/>
      <c r="J222" s="613"/>
      <c r="K222" s="1668">
        <f t="shared" si="19"/>
        <v>1237</v>
      </c>
      <c r="L222" s="466">
        <v>1354</v>
      </c>
    </row>
    <row r="223" spans="1:14" x14ac:dyDescent="0.2">
      <c r="A223" s="1501" t="s">
        <v>963</v>
      </c>
      <c r="B223" s="611">
        <v>1500</v>
      </c>
      <c r="C223" s="613"/>
      <c r="D223" s="466">
        <v>2</v>
      </c>
      <c r="E223" s="613"/>
      <c r="F223" s="613"/>
      <c r="G223" s="613"/>
      <c r="H223" s="613"/>
      <c r="I223" s="613"/>
      <c r="J223" s="613"/>
      <c r="K223" s="1668">
        <f t="shared" si="19"/>
        <v>2</v>
      </c>
      <c r="L223" s="466">
        <v>700</v>
      </c>
    </row>
    <row r="224" spans="1:14" x14ac:dyDescent="0.2">
      <c r="A224" s="1501" t="s">
        <v>964</v>
      </c>
      <c r="B224" s="611">
        <v>1600</v>
      </c>
      <c r="C224" s="613"/>
      <c r="D224" s="466">
        <v>0</v>
      </c>
      <c r="E224" s="613"/>
      <c r="F224" s="613"/>
      <c r="G224" s="613"/>
      <c r="H224" s="613"/>
      <c r="I224" s="613"/>
      <c r="J224" s="613"/>
      <c r="K224" s="1668">
        <f t="shared" si="19"/>
        <v>0</v>
      </c>
      <c r="L224" s="466">
        <v>0</v>
      </c>
    </row>
    <row r="225" spans="1:12" x14ac:dyDescent="0.2">
      <c r="A225" s="1501" t="s">
        <v>987</v>
      </c>
      <c r="B225" s="611">
        <v>1650</v>
      </c>
      <c r="C225" s="613"/>
      <c r="D225" s="466">
        <v>0</v>
      </c>
      <c r="E225" s="613"/>
      <c r="F225" s="613"/>
      <c r="G225" s="613"/>
      <c r="H225" s="613"/>
      <c r="I225" s="613"/>
      <c r="J225" s="613"/>
      <c r="K225" s="1668">
        <f t="shared" si="19"/>
        <v>0</v>
      </c>
      <c r="L225" s="466">
        <v>0</v>
      </c>
    </row>
    <row r="226" spans="1:12" x14ac:dyDescent="0.2">
      <c r="A226" s="1501" t="s">
        <v>724</v>
      </c>
      <c r="B226" s="611" t="s">
        <v>162</v>
      </c>
      <c r="C226" s="613"/>
      <c r="D226" s="467">
        <v>0</v>
      </c>
      <c r="E226" s="613"/>
      <c r="F226" s="613"/>
      <c r="G226" s="613"/>
      <c r="H226" s="613"/>
      <c r="I226" s="613"/>
      <c r="J226" s="613"/>
      <c r="K226" s="1668">
        <f t="shared" si="19"/>
        <v>0</v>
      </c>
      <c r="L226" s="466">
        <v>0</v>
      </c>
    </row>
    <row r="227" spans="1:12" x14ac:dyDescent="0.2">
      <c r="A227" s="1501" t="s">
        <v>1087</v>
      </c>
      <c r="B227" s="611">
        <v>1800</v>
      </c>
      <c r="C227" s="613"/>
      <c r="D227" s="466">
        <v>0</v>
      </c>
      <c r="E227" s="613"/>
      <c r="F227" s="613"/>
      <c r="G227" s="613"/>
      <c r="H227" s="613"/>
      <c r="I227" s="613"/>
      <c r="J227" s="613"/>
      <c r="K227" s="1668">
        <f t="shared" si="19"/>
        <v>0</v>
      </c>
      <c r="L227" s="466">
        <v>0</v>
      </c>
    </row>
    <row r="228" spans="1:12" x14ac:dyDescent="0.2">
      <c r="A228" s="1501" t="s">
        <v>1088</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715</v>
      </c>
      <c r="B229" s="1672" t="s">
        <v>570</v>
      </c>
      <c r="C229" s="613"/>
      <c r="D229" s="1667">
        <f>SUM(D215:D228)</f>
        <v>64762</v>
      </c>
      <c r="E229" s="613"/>
      <c r="F229" s="613"/>
      <c r="G229" s="613"/>
      <c r="H229" s="613"/>
      <c r="I229" s="613"/>
      <c r="J229" s="613"/>
      <c r="K229" s="1667">
        <f>SUM(K215:K228)</f>
        <v>64762</v>
      </c>
      <c r="L229" s="1667">
        <f>SUM(L215:L228)</f>
        <v>65542</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659</v>
      </c>
      <c r="E232" s="613"/>
      <c r="F232" s="613"/>
      <c r="G232" s="613"/>
      <c r="H232" s="613"/>
      <c r="I232" s="613"/>
      <c r="J232" s="613"/>
      <c r="K232" s="1668">
        <f t="shared" ref="K232:K237" si="20">D232</f>
        <v>659</v>
      </c>
      <c r="L232" s="466">
        <v>0</v>
      </c>
    </row>
    <row r="233" spans="1:12" x14ac:dyDescent="0.2">
      <c r="A233" s="1501" t="s">
        <v>1090</v>
      </c>
      <c r="B233" s="611">
        <v>2120</v>
      </c>
      <c r="C233" s="613"/>
      <c r="D233" s="466">
        <v>95</v>
      </c>
      <c r="E233" s="613"/>
      <c r="F233" s="613"/>
      <c r="G233" s="613"/>
      <c r="H233" s="613"/>
      <c r="I233" s="613"/>
      <c r="J233" s="613"/>
      <c r="K233" s="1668">
        <f t="shared" si="20"/>
        <v>95</v>
      </c>
      <c r="L233" s="466">
        <v>0</v>
      </c>
    </row>
    <row r="234" spans="1:12" x14ac:dyDescent="0.2">
      <c r="A234" s="1501" t="s">
        <v>198</v>
      </c>
      <c r="B234" s="611">
        <v>2130</v>
      </c>
      <c r="C234" s="613"/>
      <c r="D234" s="466">
        <v>0</v>
      </c>
      <c r="E234" s="613"/>
      <c r="F234" s="613"/>
      <c r="G234" s="613"/>
      <c r="H234" s="613"/>
      <c r="I234" s="613"/>
      <c r="J234" s="613"/>
      <c r="K234" s="1668">
        <f t="shared" si="20"/>
        <v>0</v>
      </c>
      <c r="L234" s="466">
        <v>0</v>
      </c>
    </row>
    <row r="235" spans="1:12" x14ac:dyDescent="0.2">
      <c r="A235" s="1501" t="s">
        <v>199</v>
      </c>
      <c r="B235" s="611">
        <v>2140</v>
      </c>
      <c r="C235" s="613"/>
      <c r="D235" s="466">
        <v>65</v>
      </c>
      <c r="E235" s="613"/>
      <c r="F235" s="613"/>
      <c r="G235" s="613"/>
      <c r="H235" s="613"/>
      <c r="I235" s="613"/>
      <c r="J235" s="613"/>
      <c r="K235" s="1668">
        <f t="shared" si="20"/>
        <v>65</v>
      </c>
      <c r="L235" s="466">
        <v>667</v>
      </c>
    </row>
    <row r="236" spans="1:12" x14ac:dyDescent="0.2">
      <c r="A236" s="1501" t="s">
        <v>200</v>
      </c>
      <c r="B236" s="611">
        <v>2150</v>
      </c>
      <c r="C236" s="613"/>
      <c r="D236" s="466">
        <v>3154</v>
      </c>
      <c r="E236" s="613"/>
      <c r="F236" s="613"/>
      <c r="G236" s="613"/>
      <c r="H236" s="613"/>
      <c r="I236" s="613"/>
      <c r="J236" s="613"/>
      <c r="K236" s="1668">
        <f t="shared" si="20"/>
        <v>3154</v>
      </c>
      <c r="L236" s="466">
        <v>6805</v>
      </c>
    </row>
    <row r="237" spans="1:12" x14ac:dyDescent="0.2">
      <c r="A237" s="1501" t="s">
        <v>165</v>
      </c>
      <c r="B237" s="611">
        <v>2190</v>
      </c>
      <c r="C237" s="613"/>
      <c r="D237" s="466">
        <v>0</v>
      </c>
      <c r="E237" s="613"/>
      <c r="F237" s="613"/>
      <c r="G237" s="613"/>
      <c r="H237" s="613"/>
      <c r="I237" s="613"/>
      <c r="J237" s="613"/>
      <c r="K237" s="1668">
        <f t="shared" si="20"/>
        <v>0</v>
      </c>
      <c r="L237" s="466">
        <v>0</v>
      </c>
    </row>
    <row r="238" spans="1:12" ht="12.75" customHeight="1" thickBot="1" x14ac:dyDescent="0.25">
      <c r="A238" s="1665" t="s">
        <v>560</v>
      </c>
      <c r="B238" s="1672" t="s">
        <v>716</v>
      </c>
      <c r="C238" s="613"/>
      <c r="D238" s="1667">
        <f>SUM(D232:D237)</f>
        <v>3973</v>
      </c>
      <c r="E238" s="613"/>
      <c r="F238" s="613"/>
      <c r="G238" s="613"/>
      <c r="H238" s="613"/>
      <c r="I238" s="613"/>
      <c r="J238" s="613"/>
      <c r="K238" s="1667">
        <f>SUM(K232:K237)</f>
        <v>3973</v>
      </c>
      <c r="L238" s="1667">
        <f>SUM(L232:L237)</f>
        <v>7472</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215</v>
      </c>
      <c r="E240" s="613"/>
      <c r="F240" s="613"/>
      <c r="G240" s="613"/>
      <c r="H240" s="613"/>
      <c r="I240" s="613"/>
      <c r="J240" s="613"/>
      <c r="K240" s="1669">
        <f>D240</f>
        <v>215</v>
      </c>
      <c r="L240" s="479">
        <v>565</v>
      </c>
    </row>
    <row r="241" spans="1:12" x14ac:dyDescent="0.2">
      <c r="A241" s="1501" t="s">
        <v>815</v>
      </c>
      <c r="B241" s="611">
        <v>2220</v>
      </c>
      <c r="C241" s="613"/>
      <c r="D241" s="466">
        <v>2918</v>
      </c>
      <c r="E241" s="613"/>
      <c r="F241" s="613"/>
      <c r="G241" s="613"/>
      <c r="H241" s="613"/>
      <c r="I241" s="613"/>
      <c r="J241" s="613"/>
      <c r="K241" s="1669">
        <f>D241</f>
        <v>2918</v>
      </c>
      <c r="L241" s="466">
        <v>3439</v>
      </c>
    </row>
    <row r="242" spans="1:12" x14ac:dyDescent="0.2">
      <c r="A242" s="1501" t="s">
        <v>816</v>
      </c>
      <c r="B242" s="611">
        <v>2230</v>
      </c>
      <c r="C242" s="613"/>
      <c r="D242" s="466">
        <v>0</v>
      </c>
      <c r="E242" s="613"/>
      <c r="F242" s="613"/>
      <c r="G242" s="613"/>
      <c r="H242" s="613"/>
      <c r="I242" s="613"/>
      <c r="J242" s="613"/>
      <c r="K242" s="1669">
        <f>D242</f>
        <v>0</v>
      </c>
      <c r="L242" s="466">
        <v>0</v>
      </c>
    </row>
    <row r="243" spans="1:12" ht="12.75" customHeight="1" thickBot="1" x14ac:dyDescent="0.25">
      <c r="A243" s="1691" t="s">
        <v>561</v>
      </c>
      <c r="B243" s="1692">
        <v>2200</v>
      </c>
      <c r="C243" s="613"/>
      <c r="D243" s="1667">
        <f>SUM(D240:D242)</f>
        <v>3133</v>
      </c>
      <c r="E243" s="613"/>
      <c r="F243" s="613"/>
      <c r="G243" s="613"/>
      <c r="H243" s="613"/>
      <c r="I243" s="613"/>
      <c r="J243" s="613"/>
      <c r="K243" s="1667">
        <f>SUM(K240:K242)</f>
        <v>3133</v>
      </c>
      <c r="L243" s="1667">
        <f>SUM(L240:L242)</f>
        <v>4004</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92</v>
      </c>
      <c r="E245" s="613"/>
      <c r="F245" s="613"/>
      <c r="G245" s="613"/>
      <c r="H245" s="613"/>
      <c r="I245" s="613"/>
      <c r="J245" s="613"/>
      <c r="K245" s="1669">
        <f>D245</f>
        <v>92</v>
      </c>
      <c r="L245" s="479">
        <v>100</v>
      </c>
    </row>
    <row r="246" spans="1:12" x14ac:dyDescent="0.2">
      <c r="A246" s="1501" t="s">
        <v>818</v>
      </c>
      <c r="B246" s="611">
        <v>2320</v>
      </c>
      <c r="C246" s="613"/>
      <c r="D246" s="466">
        <v>938</v>
      </c>
      <c r="E246" s="613"/>
      <c r="F246" s="613"/>
      <c r="G246" s="613"/>
      <c r="H246" s="613"/>
      <c r="I246" s="613"/>
      <c r="J246" s="613"/>
      <c r="K246" s="1669">
        <f t="shared" ref="K246:K256" si="21">D246</f>
        <v>938</v>
      </c>
      <c r="L246" s="466">
        <v>921</v>
      </c>
    </row>
    <row r="247" spans="1:12" x14ac:dyDescent="0.2">
      <c r="A247" s="1501" t="s">
        <v>819</v>
      </c>
      <c r="B247" s="611">
        <v>2330</v>
      </c>
      <c r="C247" s="613"/>
      <c r="D247" s="466">
        <v>0</v>
      </c>
      <c r="E247" s="613"/>
      <c r="F247" s="613"/>
      <c r="G247" s="613"/>
      <c r="H247" s="613"/>
      <c r="I247" s="613"/>
      <c r="J247" s="613"/>
      <c r="K247" s="1669">
        <f t="shared" si="21"/>
        <v>0</v>
      </c>
      <c r="L247" s="466">
        <v>0</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1805</v>
      </c>
      <c r="B249" s="680" t="s">
        <v>282</v>
      </c>
      <c r="C249" s="613"/>
      <c r="D249" s="473">
        <v>0</v>
      </c>
      <c r="E249" s="613"/>
      <c r="F249" s="613"/>
      <c r="G249" s="613"/>
      <c r="H249" s="613"/>
      <c r="I249" s="613"/>
      <c r="J249" s="613"/>
      <c r="K249" s="1669">
        <f t="shared" si="21"/>
        <v>0</v>
      </c>
      <c r="L249" s="466">
        <v>0</v>
      </c>
    </row>
    <row r="250" spans="1:12" x14ac:dyDescent="0.2">
      <c r="A250" s="1502" t="s">
        <v>1806</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0</v>
      </c>
      <c r="E252" s="613"/>
      <c r="F252" s="613"/>
      <c r="G252" s="613"/>
      <c r="H252" s="613"/>
      <c r="I252" s="613"/>
      <c r="J252" s="613"/>
      <c r="K252" s="1669">
        <f t="shared" si="21"/>
        <v>0</v>
      </c>
      <c r="L252" s="466">
        <v>0</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0</v>
      </c>
      <c r="E254" s="613"/>
      <c r="F254" s="613"/>
      <c r="G254" s="613"/>
      <c r="H254" s="613"/>
      <c r="I254" s="613"/>
      <c r="J254" s="613"/>
      <c r="K254" s="1669">
        <f t="shared" si="21"/>
        <v>0</v>
      </c>
      <c r="L254" s="466">
        <v>0</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1030</v>
      </c>
      <c r="E257" s="613"/>
      <c r="F257" s="613"/>
      <c r="G257" s="613"/>
      <c r="H257" s="613"/>
      <c r="I257" s="613"/>
      <c r="J257" s="613"/>
      <c r="K257" s="1667">
        <f>SUM(K245:K256)</f>
        <v>1030</v>
      </c>
      <c r="L257" s="1667">
        <f>SUM(L245:L256)</f>
        <v>1021</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30507</v>
      </c>
      <c r="E259" s="613"/>
      <c r="F259" s="613"/>
      <c r="G259" s="613"/>
      <c r="H259" s="613"/>
      <c r="I259" s="613"/>
      <c r="J259" s="613"/>
      <c r="K259" s="1669">
        <f>D259</f>
        <v>30507</v>
      </c>
      <c r="L259" s="479">
        <v>38829</v>
      </c>
    </row>
    <row r="260" spans="1:14" s="594" customFormat="1" x14ac:dyDescent="0.2">
      <c r="A260" s="1519" t="s">
        <v>1804</v>
      </c>
      <c r="B260" s="625">
        <v>2490</v>
      </c>
      <c r="C260" s="613"/>
      <c r="D260" s="466">
        <v>0</v>
      </c>
      <c r="E260" s="613"/>
      <c r="F260" s="613"/>
      <c r="G260" s="613"/>
      <c r="H260" s="613"/>
      <c r="I260" s="613"/>
      <c r="J260" s="613"/>
      <c r="K260" s="1669">
        <f>D260</f>
        <v>0</v>
      </c>
      <c r="L260" s="466">
        <v>0</v>
      </c>
      <c r="M260" s="210"/>
      <c r="N260" s="210"/>
    </row>
    <row r="261" spans="1:14" ht="12.75" customHeight="1" thickBot="1" x14ac:dyDescent="0.25">
      <c r="A261" s="1689" t="s">
        <v>263</v>
      </c>
      <c r="B261" s="1694" t="s">
        <v>34</v>
      </c>
      <c r="C261" s="613"/>
      <c r="D261" s="1667">
        <f>SUM(D259:D260)</f>
        <v>30507</v>
      </c>
      <c r="E261" s="613"/>
      <c r="F261" s="613"/>
      <c r="G261" s="613"/>
      <c r="H261" s="613"/>
      <c r="I261" s="613"/>
      <c r="J261" s="613"/>
      <c r="K261" s="1667">
        <f>SUM(K259:K260)</f>
        <v>30507</v>
      </c>
      <c r="L261" s="1667">
        <f>SUM(L259:L260)</f>
        <v>38829</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0</v>
      </c>
      <c r="E263" s="613"/>
      <c r="F263" s="613"/>
      <c r="G263" s="613"/>
      <c r="H263" s="613"/>
      <c r="I263" s="613"/>
      <c r="J263" s="613"/>
      <c r="K263" s="1669">
        <f>D263</f>
        <v>0</v>
      </c>
      <c r="L263" s="479">
        <v>0</v>
      </c>
    </row>
    <row r="264" spans="1:14" x14ac:dyDescent="0.2">
      <c r="A264" s="1501" t="s">
        <v>463</v>
      </c>
      <c r="B264" s="682">
        <v>2520</v>
      </c>
      <c r="C264" s="613"/>
      <c r="D264" s="466">
        <v>16799</v>
      </c>
      <c r="E264" s="613"/>
      <c r="F264" s="613"/>
      <c r="G264" s="613"/>
      <c r="H264" s="613"/>
      <c r="I264" s="613"/>
      <c r="J264" s="613"/>
      <c r="K264" s="1669">
        <f t="shared" ref="K264:K269" si="22">D264</f>
        <v>16799</v>
      </c>
      <c r="L264" s="466">
        <v>17131</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36250</v>
      </c>
      <c r="E266" s="613"/>
      <c r="F266" s="613"/>
      <c r="G266" s="613"/>
      <c r="H266" s="613"/>
      <c r="I266" s="613"/>
      <c r="J266" s="613"/>
      <c r="K266" s="1669">
        <f t="shared" si="22"/>
        <v>36250</v>
      </c>
      <c r="L266" s="466">
        <v>34541</v>
      </c>
    </row>
    <row r="267" spans="1:14" x14ac:dyDescent="0.2">
      <c r="A267" s="1501" t="s">
        <v>953</v>
      </c>
      <c r="B267" s="611">
        <v>2550</v>
      </c>
      <c r="C267" s="613"/>
      <c r="D267" s="466">
        <v>31015</v>
      </c>
      <c r="E267" s="613"/>
      <c r="F267" s="613"/>
      <c r="G267" s="613"/>
      <c r="H267" s="613"/>
      <c r="I267" s="613"/>
      <c r="J267" s="613"/>
      <c r="K267" s="1669">
        <f t="shared" si="22"/>
        <v>31015</v>
      </c>
      <c r="L267" s="466">
        <v>34590</v>
      </c>
    </row>
    <row r="268" spans="1:14" x14ac:dyDescent="0.2">
      <c r="A268" s="1501" t="s">
        <v>100</v>
      </c>
      <c r="B268" s="611">
        <v>2560</v>
      </c>
      <c r="C268" s="613"/>
      <c r="D268" s="466">
        <v>13040</v>
      </c>
      <c r="E268" s="613"/>
      <c r="F268" s="613"/>
      <c r="G268" s="613"/>
      <c r="H268" s="613"/>
      <c r="I268" s="613"/>
      <c r="J268" s="613"/>
      <c r="K268" s="1669">
        <f t="shared" si="22"/>
        <v>13040</v>
      </c>
      <c r="L268" s="466">
        <v>16400</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719</v>
      </c>
      <c r="B270" s="1672" t="s">
        <v>35</v>
      </c>
      <c r="C270" s="613"/>
      <c r="D270" s="1667">
        <f>SUM(D263:D269)</f>
        <v>97104</v>
      </c>
      <c r="E270" s="613"/>
      <c r="F270" s="613"/>
      <c r="G270" s="613"/>
      <c r="H270" s="613"/>
      <c r="I270" s="613"/>
      <c r="J270" s="613"/>
      <c r="K270" s="1667">
        <f>SUM(K263:K269)</f>
        <v>97104</v>
      </c>
      <c r="L270" s="1667">
        <f>SUM(L263:L269)</f>
        <v>102662</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0</v>
      </c>
      <c r="E273" s="613"/>
      <c r="F273" s="613"/>
      <c r="G273" s="613"/>
      <c r="H273" s="613"/>
      <c r="I273" s="613"/>
      <c r="J273" s="613"/>
      <c r="K273" s="1669">
        <f>D273</f>
        <v>0</v>
      </c>
      <c r="L273" s="466">
        <v>0</v>
      </c>
    </row>
    <row r="274" spans="1:12" ht="12" customHeight="1" x14ac:dyDescent="0.2">
      <c r="A274" s="1501" t="s">
        <v>1061</v>
      </c>
      <c r="B274" s="611">
        <v>2630</v>
      </c>
      <c r="C274" s="613"/>
      <c r="D274" s="466">
        <v>0</v>
      </c>
      <c r="E274" s="613"/>
      <c r="F274" s="613"/>
      <c r="G274" s="613"/>
      <c r="H274" s="613"/>
      <c r="I274" s="613"/>
      <c r="J274" s="613"/>
      <c r="K274" s="1669">
        <f>D274</f>
        <v>0</v>
      </c>
      <c r="L274" s="466">
        <v>0</v>
      </c>
    </row>
    <row r="275" spans="1:12" x14ac:dyDescent="0.2">
      <c r="A275" s="1501" t="s">
        <v>403</v>
      </c>
      <c r="B275" s="611">
        <v>2640</v>
      </c>
      <c r="C275" s="613"/>
      <c r="D275" s="466">
        <v>0</v>
      </c>
      <c r="E275" s="613"/>
      <c r="F275" s="613"/>
      <c r="G275" s="613"/>
      <c r="H275" s="613"/>
      <c r="I275" s="613"/>
      <c r="J275" s="613"/>
      <c r="K275" s="1669">
        <f>D275</f>
        <v>0</v>
      </c>
      <c r="L275" s="466">
        <v>0</v>
      </c>
    </row>
    <row r="276" spans="1:12" x14ac:dyDescent="0.2">
      <c r="A276" s="1501" t="s">
        <v>404</v>
      </c>
      <c r="B276" s="611">
        <v>2660</v>
      </c>
      <c r="C276" s="613"/>
      <c r="D276" s="466">
        <v>0</v>
      </c>
      <c r="E276" s="613"/>
      <c r="F276" s="613"/>
      <c r="G276" s="613"/>
      <c r="H276" s="613"/>
      <c r="I276" s="613"/>
      <c r="J276" s="613"/>
      <c r="K276" s="1669">
        <f>D276</f>
        <v>0</v>
      </c>
      <c r="L276" s="466">
        <v>0</v>
      </c>
    </row>
    <row r="277" spans="1:12" ht="12.75" customHeight="1" thickBot="1" x14ac:dyDescent="0.25">
      <c r="A277" s="1688" t="s">
        <v>37</v>
      </c>
      <c r="B277" s="1666" t="s">
        <v>36</v>
      </c>
      <c r="C277" s="613"/>
      <c r="D277" s="1667">
        <f>SUM(D272:D276)</f>
        <v>0</v>
      </c>
      <c r="E277" s="613"/>
      <c r="F277" s="613"/>
      <c r="G277" s="613"/>
      <c r="H277" s="613"/>
      <c r="I277" s="613"/>
      <c r="J277" s="613"/>
      <c r="K277" s="1667">
        <f>SUM(K272:K276)</f>
        <v>0</v>
      </c>
      <c r="L277" s="1667">
        <f>SUM(L272:L276)</f>
        <v>0</v>
      </c>
    </row>
    <row r="278" spans="1:12" ht="13.5" customHeight="1" thickTop="1" x14ac:dyDescent="0.2">
      <c r="A278" s="1507" t="s">
        <v>980</v>
      </c>
      <c r="B278" s="652" t="s">
        <v>574</v>
      </c>
      <c r="C278" s="613"/>
      <c r="D278" s="653">
        <v>0</v>
      </c>
      <c r="E278" s="613"/>
      <c r="F278" s="613"/>
      <c r="G278" s="613"/>
      <c r="H278" s="613"/>
      <c r="I278" s="613"/>
      <c r="J278" s="613"/>
      <c r="K278" s="1682">
        <f>D278</f>
        <v>0</v>
      </c>
      <c r="L278" s="653">
        <v>0</v>
      </c>
    </row>
    <row r="279" spans="1:12" ht="12.75" customHeight="1" thickBot="1" x14ac:dyDescent="0.25">
      <c r="A279" s="1695" t="s">
        <v>811</v>
      </c>
      <c r="B279" s="1678">
        <v>2000</v>
      </c>
      <c r="C279" s="613"/>
      <c r="D279" s="1674">
        <f>SUM(D238,D243,D257,D261,D270,D277,D278)</f>
        <v>135747</v>
      </c>
      <c r="E279" s="613"/>
      <c r="F279" s="613"/>
      <c r="G279" s="613"/>
      <c r="H279" s="613"/>
      <c r="I279" s="613"/>
      <c r="J279" s="613"/>
      <c r="K279" s="1674">
        <f>SUM(K238,K243,K257,K261,K270,K277,K278)</f>
        <v>135747</v>
      </c>
      <c r="L279" s="1674">
        <f>SUM(L238,L243,L257,L261,L270,L277,L278)</f>
        <v>153988</v>
      </c>
    </row>
    <row r="280" spans="1:12" ht="15.75" customHeight="1" thickTop="1" thickBot="1" x14ac:dyDescent="0.25">
      <c r="A280" s="1621" t="s">
        <v>875</v>
      </c>
      <c r="B280" s="1610">
        <v>3000</v>
      </c>
      <c r="C280" s="613"/>
      <c r="D280" s="573">
        <v>0</v>
      </c>
      <c r="E280" s="613"/>
      <c r="F280" s="613"/>
      <c r="G280" s="613"/>
      <c r="H280" s="613"/>
      <c r="I280" s="613"/>
      <c r="J280" s="613"/>
      <c r="K280" s="1676">
        <f>D280</f>
        <v>0</v>
      </c>
      <c r="L280" s="573">
        <v>0</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1845</v>
      </c>
      <c r="C282" s="613"/>
      <c r="D282" s="467">
        <v>0</v>
      </c>
      <c r="E282" s="613"/>
      <c r="F282" s="613"/>
      <c r="G282" s="613"/>
      <c r="H282" s="613"/>
      <c r="I282" s="613"/>
      <c r="J282" s="613"/>
      <c r="K282" s="1668">
        <f>D282</f>
        <v>0</v>
      </c>
      <c r="L282" s="467">
        <v>0</v>
      </c>
    </row>
    <row r="283" spans="1:12" x14ac:dyDescent="0.2">
      <c r="A283" s="1501" t="s">
        <v>304</v>
      </c>
      <c r="B283" s="611">
        <v>4120</v>
      </c>
      <c r="C283" s="613"/>
      <c r="D283" s="466">
        <v>0</v>
      </c>
      <c r="E283" s="613"/>
      <c r="F283" s="613"/>
      <c r="G283" s="613"/>
      <c r="H283" s="613"/>
      <c r="I283" s="613"/>
      <c r="J283" s="613"/>
      <c r="K283" s="1668">
        <f>D283</f>
        <v>0</v>
      </c>
      <c r="L283" s="466">
        <v>0</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0</v>
      </c>
      <c r="E285" s="613"/>
      <c r="F285" s="613"/>
      <c r="G285" s="613"/>
      <c r="H285" s="613"/>
      <c r="I285" s="613"/>
      <c r="J285" s="613"/>
      <c r="K285" s="1667">
        <f>SUM(K282:K284)</f>
        <v>0</v>
      </c>
      <c r="L285" s="1667">
        <f>SUM(L282:L284)</f>
        <v>0</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0</v>
      </c>
    </row>
    <row r="295" spans="1:14" ht="12.75" customHeight="1" thickTop="1" thickBot="1" x14ac:dyDescent="0.25">
      <c r="A295" s="2190" t="s">
        <v>505</v>
      </c>
      <c r="B295" s="2191"/>
      <c r="C295" s="613"/>
      <c r="D295" s="1667">
        <f>SUM(D229,D279,D280,D285)</f>
        <v>200509</v>
      </c>
      <c r="E295" s="613"/>
      <c r="F295" s="613"/>
      <c r="G295" s="613"/>
      <c r="H295" s="1667">
        <f>H293</f>
        <v>0</v>
      </c>
      <c r="I295" s="613"/>
      <c r="J295" s="613"/>
      <c r="K295" s="1667">
        <f>SUM(K229,K279,K280,K285,K293,K294)</f>
        <v>200509</v>
      </c>
      <c r="L295" s="1667">
        <f>SUM(L229,L279,L280,L285,L293,L294)</f>
        <v>219530</v>
      </c>
    </row>
    <row r="296" spans="1:14" ht="13.5" thickTop="1" x14ac:dyDescent="0.2">
      <c r="A296" s="2199" t="s">
        <v>996</v>
      </c>
      <c r="B296" s="2200"/>
      <c r="C296" s="613"/>
      <c r="D296" s="615"/>
      <c r="E296" s="613"/>
      <c r="F296" s="613"/>
      <c r="G296" s="613"/>
      <c r="H296" s="684"/>
      <c r="I296" s="613"/>
      <c r="J296" s="613"/>
      <c r="K296" s="1681">
        <f>'Revenues 9-14'!G268-'Expenditures 15-22'!K295</f>
        <v>-79681</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182" t="s">
        <v>143</v>
      </c>
      <c r="B298" s="2176"/>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450</v>
      </c>
      <c r="F301" s="466">
        <v>0</v>
      </c>
      <c r="G301" s="466">
        <v>143154</v>
      </c>
      <c r="H301" s="466">
        <v>0</v>
      </c>
      <c r="I301" s="467">
        <v>0</v>
      </c>
      <c r="J301" s="467">
        <v>0</v>
      </c>
      <c r="K301" s="1668">
        <f>SUM(C301:J301)</f>
        <v>143604</v>
      </c>
      <c r="L301" s="467">
        <v>136000</v>
      </c>
    </row>
    <row r="302" spans="1:14" ht="13.5" customHeight="1" x14ac:dyDescent="0.2">
      <c r="A302" s="1514" t="s">
        <v>980</v>
      </c>
      <c r="B302" s="611" t="s">
        <v>574</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450</v>
      </c>
      <c r="F303" s="1674">
        <f t="shared" si="23"/>
        <v>0</v>
      </c>
      <c r="G303" s="1674">
        <f t="shared" si="23"/>
        <v>143154</v>
      </c>
      <c r="H303" s="1674">
        <f t="shared" si="23"/>
        <v>0</v>
      </c>
      <c r="I303" s="1674">
        <f t="shared" si="23"/>
        <v>0</v>
      </c>
      <c r="J303" s="1674">
        <f t="shared" si="23"/>
        <v>0</v>
      </c>
      <c r="K303" s="1674">
        <f t="shared" si="23"/>
        <v>143604</v>
      </c>
      <c r="L303" s="1674">
        <f t="shared" si="23"/>
        <v>136000</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1850</v>
      </c>
      <c r="B306" s="687" t="s">
        <v>1845</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0</v>
      </c>
    </row>
    <row r="312" spans="1:14" s="671" customFormat="1" ht="12.75" customHeight="1" thickTop="1" thickBot="1" x14ac:dyDescent="0.25">
      <c r="A312" s="2187" t="s">
        <v>277</v>
      </c>
      <c r="B312" s="2188"/>
      <c r="C312" s="1667">
        <f>SUM(C303)</f>
        <v>0</v>
      </c>
      <c r="D312" s="1667">
        <f>SUM(D303)</f>
        <v>0</v>
      </c>
      <c r="E312" s="1667">
        <f>SUM(E303,E310)</f>
        <v>450</v>
      </c>
      <c r="F312" s="1667">
        <f>SUM(F303)</f>
        <v>0</v>
      </c>
      <c r="G312" s="1667">
        <f>SUM(G303)</f>
        <v>143154</v>
      </c>
      <c r="H312" s="1667">
        <f>SUM(H303,H310)</f>
        <v>0</v>
      </c>
      <c r="I312" s="1667">
        <f>SUM(I303)</f>
        <v>0</v>
      </c>
      <c r="J312" s="1667">
        <f>SUM(J303)</f>
        <v>0</v>
      </c>
      <c r="K312" s="1667">
        <f>SUM(K303,K310,K311)</f>
        <v>143604</v>
      </c>
      <c r="L312" s="1667">
        <f>SUM(L303,L310,L311)</f>
        <v>136000</v>
      </c>
      <c r="M312" s="662"/>
      <c r="N312" s="662"/>
    </row>
    <row r="313" spans="1:14" ht="13.5" thickTop="1" x14ac:dyDescent="0.2">
      <c r="A313" s="2183" t="s">
        <v>996</v>
      </c>
      <c r="B313" s="2184"/>
      <c r="C313" s="623"/>
      <c r="D313" s="623"/>
      <c r="E313" s="623"/>
      <c r="F313" s="623"/>
      <c r="G313" s="623"/>
      <c r="H313" s="623"/>
      <c r="I313" s="623"/>
      <c r="J313" s="623"/>
      <c r="K313" s="1682">
        <f>'Revenues 9-14'!H268-'Expenditures 15-22'!K312</f>
        <v>8683</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196" t="s">
        <v>149</v>
      </c>
      <c r="B315" s="2197"/>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198" t="s">
        <v>898</v>
      </c>
      <c r="B317" s="2197"/>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1805</v>
      </c>
      <c r="B320" s="695" t="s">
        <v>282</v>
      </c>
      <c r="C320" s="467">
        <v>0</v>
      </c>
      <c r="D320" s="467">
        <v>0</v>
      </c>
      <c r="E320" s="467">
        <v>36743</v>
      </c>
      <c r="F320" s="467">
        <v>0</v>
      </c>
      <c r="G320" s="467">
        <v>0</v>
      </c>
      <c r="H320" s="467">
        <v>0</v>
      </c>
      <c r="I320" s="467">
        <v>0</v>
      </c>
      <c r="J320" s="467">
        <v>0</v>
      </c>
      <c r="K320" s="1668">
        <f t="shared" ref="K320:K327" si="24">SUM(C320:J320)</f>
        <v>36743</v>
      </c>
      <c r="L320" s="467">
        <v>56000</v>
      </c>
      <c r="M320" s="662"/>
      <c r="N320" s="662"/>
    </row>
    <row r="321" spans="1:14" s="671" customFormat="1" x14ac:dyDescent="0.2">
      <c r="A321" s="1516" t="s">
        <v>300</v>
      </c>
      <c r="B321" s="694" t="s">
        <v>283</v>
      </c>
      <c r="C321" s="467">
        <v>0</v>
      </c>
      <c r="D321" s="467">
        <v>0</v>
      </c>
      <c r="E321" s="467">
        <v>0</v>
      </c>
      <c r="F321" s="467">
        <v>0</v>
      </c>
      <c r="G321" s="467">
        <v>0</v>
      </c>
      <c r="H321" s="467">
        <v>0</v>
      </c>
      <c r="I321" s="467">
        <v>0</v>
      </c>
      <c r="J321" s="467">
        <v>0</v>
      </c>
      <c r="K321" s="1668">
        <f t="shared" si="24"/>
        <v>0</v>
      </c>
      <c r="L321" s="467">
        <v>5000</v>
      </c>
      <c r="M321" s="662"/>
      <c r="N321" s="662"/>
    </row>
    <row r="322" spans="1:14" s="671" customFormat="1" x14ac:dyDescent="0.2">
      <c r="A322" s="1516" t="s">
        <v>238</v>
      </c>
      <c r="B322" s="694" t="s">
        <v>284</v>
      </c>
      <c r="C322" s="467">
        <v>0</v>
      </c>
      <c r="D322" s="467">
        <v>0</v>
      </c>
      <c r="E322" s="467">
        <v>46795</v>
      </c>
      <c r="F322" s="467">
        <v>0</v>
      </c>
      <c r="G322" s="467">
        <v>0</v>
      </c>
      <c r="H322" s="467">
        <v>0</v>
      </c>
      <c r="I322" s="467">
        <v>0</v>
      </c>
      <c r="J322" s="467">
        <v>0</v>
      </c>
      <c r="K322" s="1668">
        <f t="shared" si="24"/>
        <v>46795</v>
      </c>
      <c r="L322" s="467">
        <v>55000</v>
      </c>
      <c r="M322" s="662"/>
      <c r="N322" s="662"/>
    </row>
    <row r="323" spans="1:14" s="671" customFormat="1" x14ac:dyDescent="0.2">
      <c r="A323" s="1516" t="s">
        <v>702</v>
      </c>
      <c r="B323" s="694" t="s">
        <v>285</v>
      </c>
      <c r="C323" s="467">
        <v>0</v>
      </c>
      <c r="D323" s="467">
        <v>0</v>
      </c>
      <c r="E323" s="467">
        <v>0</v>
      </c>
      <c r="F323" s="467">
        <v>0</v>
      </c>
      <c r="G323" s="467">
        <v>0</v>
      </c>
      <c r="H323" s="467">
        <v>0</v>
      </c>
      <c r="I323" s="467">
        <v>0</v>
      </c>
      <c r="J323" s="467">
        <v>0</v>
      </c>
      <c r="K323" s="1668">
        <f t="shared" si="24"/>
        <v>0</v>
      </c>
      <c r="L323" s="467">
        <v>0</v>
      </c>
      <c r="M323" s="662"/>
      <c r="N323" s="662"/>
    </row>
    <row r="324" spans="1:14" s="671" customFormat="1" x14ac:dyDescent="0.2">
      <c r="A324" s="1516" t="s">
        <v>239</v>
      </c>
      <c r="B324" s="694" t="s">
        <v>286</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1029</v>
      </c>
      <c r="B325" s="695" t="s">
        <v>287</v>
      </c>
      <c r="C325" s="467">
        <v>56151</v>
      </c>
      <c r="D325" s="467">
        <v>0</v>
      </c>
      <c r="E325" s="467">
        <v>2966</v>
      </c>
      <c r="F325" s="467">
        <v>0</v>
      </c>
      <c r="G325" s="467">
        <v>0</v>
      </c>
      <c r="H325" s="467">
        <v>0</v>
      </c>
      <c r="I325" s="467">
        <v>0</v>
      </c>
      <c r="J325" s="467">
        <v>0</v>
      </c>
      <c r="K325" s="1668">
        <f t="shared" si="24"/>
        <v>59117</v>
      </c>
      <c r="L325" s="467">
        <v>61068</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10980</v>
      </c>
      <c r="F327" s="467">
        <v>0</v>
      </c>
      <c r="G327" s="467">
        <v>0</v>
      </c>
      <c r="H327" s="467">
        <v>0</v>
      </c>
      <c r="I327" s="467">
        <v>0</v>
      </c>
      <c r="J327" s="467">
        <v>0</v>
      </c>
      <c r="K327" s="1668">
        <f t="shared" si="24"/>
        <v>10980</v>
      </c>
      <c r="L327" s="467">
        <v>10000</v>
      </c>
      <c r="M327" s="662"/>
      <c r="N327" s="662"/>
    </row>
    <row r="328" spans="1:14" s="671" customFormat="1" x14ac:dyDescent="0.2">
      <c r="A328" s="1517" t="s">
        <v>472</v>
      </c>
      <c r="B328" s="687" t="s">
        <v>1132</v>
      </c>
      <c r="C328" s="473">
        <v>0</v>
      </c>
      <c r="D328" s="473">
        <v>0</v>
      </c>
      <c r="E328" s="473">
        <v>0</v>
      </c>
      <c r="F328" s="473">
        <v>0</v>
      </c>
      <c r="G328" s="473">
        <v>0</v>
      </c>
      <c r="H328" s="473">
        <v>0</v>
      </c>
      <c r="I328" s="473">
        <v>0</v>
      </c>
      <c r="J328" s="473">
        <v>0</v>
      </c>
      <c r="K328" s="1696">
        <f>SUM(C328:J328)</f>
        <v>0</v>
      </c>
      <c r="L328" s="473">
        <v>0</v>
      </c>
      <c r="M328" s="662"/>
      <c r="N328" s="662"/>
    </row>
    <row r="329" spans="1:14" s="671" customFormat="1" x14ac:dyDescent="0.2">
      <c r="A329" s="1517" t="s">
        <v>1133</v>
      </c>
      <c r="B329" s="687" t="s">
        <v>1134</v>
      </c>
      <c r="C329" s="473">
        <v>0</v>
      </c>
      <c r="D329" s="473">
        <v>0</v>
      </c>
      <c r="E329" s="473">
        <v>0</v>
      </c>
      <c r="F329" s="473">
        <v>0</v>
      </c>
      <c r="G329" s="473">
        <v>0</v>
      </c>
      <c r="H329" s="473">
        <v>0</v>
      </c>
      <c r="I329" s="473">
        <v>0</v>
      </c>
      <c r="J329" s="473">
        <v>0</v>
      </c>
      <c r="K329" s="1696">
        <f>SUM(C329:J329)</f>
        <v>0</v>
      </c>
      <c r="L329" s="473">
        <v>0</v>
      </c>
      <c r="M329" s="662"/>
      <c r="N329" s="662"/>
    </row>
    <row r="330" spans="1:14" s="671" customFormat="1" ht="12.75" customHeight="1" thickBot="1" x14ac:dyDescent="0.25">
      <c r="A330" s="1697" t="s">
        <v>717</v>
      </c>
      <c r="B330" s="1666" t="s">
        <v>569</v>
      </c>
      <c r="C330" s="1667">
        <f>SUM(C319:C329)</f>
        <v>56151</v>
      </c>
      <c r="D330" s="1667">
        <f t="shared" ref="D330:J330" si="25">SUM(D319:D329)</f>
        <v>0</v>
      </c>
      <c r="E330" s="1667">
        <f t="shared" si="25"/>
        <v>97484</v>
      </c>
      <c r="F330" s="1667">
        <f t="shared" si="25"/>
        <v>0</v>
      </c>
      <c r="G330" s="1667">
        <f t="shared" si="25"/>
        <v>0</v>
      </c>
      <c r="H330" s="1667">
        <f t="shared" si="25"/>
        <v>0</v>
      </c>
      <c r="I330" s="1667">
        <f t="shared" si="25"/>
        <v>0</v>
      </c>
      <c r="J330" s="1667">
        <f t="shared" si="25"/>
        <v>0</v>
      </c>
      <c r="K330" s="1667">
        <f>SUM(K319:K329)</f>
        <v>153635</v>
      </c>
      <c r="L330" s="1667">
        <f>SUM(L319:L329)</f>
        <v>187068</v>
      </c>
      <c r="M330" s="662"/>
      <c r="N330" s="662"/>
    </row>
    <row r="331" spans="1:14" s="671" customFormat="1" ht="12.75" customHeight="1" thickTop="1" x14ac:dyDescent="0.2">
      <c r="A331" s="1828" t="s">
        <v>1851</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1845</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304</v>
      </c>
      <c r="B333" s="1824" t="s">
        <v>1847</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1852</v>
      </c>
      <c r="B334" s="1824" t="s">
        <v>860</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0</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5"/>
      <c r="F341" s="468"/>
      <c r="G341" s="468"/>
      <c r="H341" s="475"/>
      <c r="I341" s="475"/>
      <c r="J341" s="468"/>
      <c r="K341" s="475"/>
      <c r="L341" s="573">
        <v>0</v>
      </c>
    </row>
    <row r="342" spans="1:14" ht="12.75" customHeight="1" thickTop="1" thickBot="1" x14ac:dyDescent="0.25">
      <c r="A342" s="1683" t="s">
        <v>505</v>
      </c>
      <c r="B342" s="1698"/>
      <c r="C342" s="1667">
        <f>SUM(C330)</f>
        <v>56151</v>
      </c>
      <c r="D342" s="1667">
        <f>SUM(D330)</f>
        <v>0</v>
      </c>
      <c r="E342" s="1667">
        <f>SUM(E330)</f>
        <v>97484</v>
      </c>
      <c r="F342" s="1667">
        <f>SUM(F330)</f>
        <v>0</v>
      </c>
      <c r="G342" s="1667">
        <f>SUM(G330)</f>
        <v>0</v>
      </c>
      <c r="H342" s="1667">
        <f>SUM(H330,H334,H340)</f>
        <v>0</v>
      </c>
      <c r="I342" s="1667">
        <f>SUM(I330)</f>
        <v>0</v>
      </c>
      <c r="J342" s="1667">
        <f>SUM(J330)</f>
        <v>0</v>
      </c>
      <c r="K342" s="1667">
        <f>SUM(K330,K334,K340)</f>
        <v>153635</v>
      </c>
      <c r="L342" s="1674">
        <f>SUM(L330,L340,L341)</f>
        <v>187068</v>
      </c>
    </row>
    <row r="343" spans="1:14" ht="12.75" customHeight="1" thickTop="1" x14ac:dyDescent="0.2">
      <c r="A343" s="2185" t="s">
        <v>996</v>
      </c>
      <c r="B343" s="2186"/>
      <c r="C343" s="613"/>
      <c r="D343" s="613"/>
      <c r="E343" s="613"/>
      <c r="F343" s="613"/>
      <c r="G343" s="613"/>
      <c r="H343" s="613"/>
      <c r="I343" s="613"/>
      <c r="J343" s="613"/>
      <c r="K343" s="1681">
        <f>'Revenues 9-14'!J268-'Expenditures 15-22'!K342</f>
        <v>-75134</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75" t="s">
        <v>966</v>
      </c>
      <c r="B345" s="2176"/>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713</v>
      </c>
      <c r="F348" s="466">
        <v>594</v>
      </c>
      <c r="G348" s="466">
        <v>0</v>
      </c>
      <c r="H348" s="466">
        <v>0</v>
      </c>
      <c r="I348" s="467">
        <v>0</v>
      </c>
      <c r="J348" s="467">
        <v>0</v>
      </c>
      <c r="K348" s="1668">
        <f>SUM(C348:J348)</f>
        <v>1307</v>
      </c>
      <c r="L348" s="466">
        <v>16500</v>
      </c>
    </row>
    <row r="349" spans="1:14" x14ac:dyDescent="0.2">
      <c r="A349" s="1501" t="s">
        <v>197</v>
      </c>
      <c r="B349" s="611">
        <v>2540</v>
      </c>
      <c r="C349" s="466">
        <v>0</v>
      </c>
      <c r="D349" s="466">
        <v>0</v>
      </c>
      <c r="E349" s="466">
        <v>0</v>
      </c>
      <c r="F349" s="466">
        <v>0</v>
      </c>
      <c r="G349" s="466">
        <v>0</v>
      </c>
      <c r="H349" s="466">
        <v>0</v>
      </c>
      <c r="I349" s="467">
        <v>0</v>
      </c>
      <c r="J349" s="467">
        <v>0</v>
      </c>
      <c r="K349" s="1668">
        <f>SUM(C349:J349)</f>
        <v>0</v>
      </c>
      <c r="L349" s="466">
        <v>0</v>
      </c>
    </row>
    <row r="350" spans="1:14" ht="12.75" customHeight="1" thickBot="1" x14ac:dyDescent="0.25">
      <c r="A350" s="1665" t="s">
        <v>719</v>
      </c>
      <c r="B350" s="1666" t="s">
        <v>35</v>
      </c>
      <c r="C350" s="1667">
        <f>SUM(C348:C349)</f>
        <v>0</v>
      </c>
      <c r="D350" s="1667">
        <f t="shared" ref="D350:L350" si="26">SUM(D348:D349)</f>
        <v>0</v>
      </c>
      <c r="E350" s="1667">
        <f t="shared" si="26"/>
        <v>713</v>
      </c>
      <c r="F350" s="1667">
        <f t="shared" si="26"/>
        <v>594</v>
      </c>
      <c r="G350" s="1667">
        <f t="shared" si="26"/>
        <v>0</v>
      </c>
      <c r="H350" s="1667">
        <f t="shared" si="26"/>
        <v>0</v>
      </c>
      <c r="I350" s="1667">
        <f t="shared" si="26"/>
        <v>0</v>
      </c>
      <c r="J350" s="1667">
        <f t="shared" si="26"/>
        <v>0</v>
      </c>
      <c r="K350" s="1667">
        <f t="shared" si="26"/>
        <v>1307</v>
      </c>
      <c r="L350" s="1667">
        <f t="shared" si="26"/>
        <v>16500</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713</v>
      </c>
      <c r="F352" s="1667">
        <f t="shared" si="27"/>
        <v>594</v>
      </c>
      <c r="G352" s="1667">
        <f t="shared" si="27"/>
        <v>0</v>
      </c>
      <c r="H352" s="1667">
        <f t="shared" si="27"/>
        <v>0</v>
      </c>
      <c r="I352" s="1667">
        <f t="shared" si="27"/>
        <v>0</v>
      </c>
      <c r="J352" s="1667">
        <f t="shared" si="27"/>
        <v>0</v>
      </c>
      <c r="K352" s="1667">
        <f t="shared" si="27"/>
        <v>1307</v>
      </c>
      <c r="L352" s="1667">
        <f t="shared" si="27"/>
        <v>16500</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1853</v>
      </c>
      <c r="B354" s="680" t="s">
        <v>1845</v>
      </c>
      <c r="C354" s="613"/>
      <c r="D354" s="613"/>
      <c r="E354" s="613"/>
      <c r="F354" s="613"/>
      <c r="G354" s="613"/>
      <c r="H354" s="473">
        <v>0</v>
      </c>
      <c r="I354" s="698"/>
      <c r="J354" s="613"/>
      <c r="K354" s="1696">
        <f>H354</f>
        <v>0</v>
      </c>
      <c r="L354" s="471">
        <v>0</v>
      </c>
    </row>
    <row r="355" spans="1:14" ht="12.75" customHeight="1" x14ac:dyDescent="0.2">
      <c r="A355" s="1510" t="s">
        <v>1854</v>
      </c>
      <c r="B355" s="687" t="s">
        <v>1847</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713</v>
      </c>
      <c r="F367" s="1667">
        <f t="shared" si="28"/>
        <v>594</v>
      </c>
      <c r="G367" s="1667">
        <f t="shared" si="28"/>
        <v>0</v>
      </c>
      <c r="H367" s="1667">
        <f t="shared" si="28"/>
        <v>0</v>
      </c>
      <c r="I367" s="1667">
        <f t="shared" si="28"/>
        <v>0</v>
      </c>
      <c r="J367" s="1667">
        <f t="shared" si="28"/>
        <v>0</v>
      </c>
      <c r="K367" s="1667">
        <f t="shared" si="28"/>
        <v>1307</v>
      </c>
      <c r="L367" s="1667">
        <f t="shared" si="28"/>
        <v>16500</v>
      </c>
    </row>
    <row r="368" spans="1:14" ht="13.5" thickTop="1" x14ac:dyDescent="0.2">
      <c r="A368" s="2199" t="s">
        <v>996</v>
      </c>
      <c r="B368" s="2200"/>
      <c r="C368" s="651"/>
      <c r="D368" s="651"/>
      <c r="E368" s="623"/>
      <c r="F368" s="623"/>
      <c r="G368" s="623"/>
      <c r="H368" s="623"/>
      <c r="I368" s="623"/>
      <c r="J368" s="620"/>
      <c r="K368" s="1668">
        <f>'Revenues 9-14'!K268-'Expenditures 15-22'!K367</f>
        <v>9054</v>
      </c>
      <c r="L368" s="651"/>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purl.org/dc/elements/1.1/"/>
    <ds:schemaRef ds:uri="http://www.w3.org/XML/1998/namespace"/>
    <ds:schemaRef ds:uri="d21dc803-237d-4c68-8692-8d731fd29118"/>
    <ds:schemaRef ds:uri="4d435f69-8686-490b-bd6d-b153bf22ab50"/>
    <ds:schemaRef ds:uri="http://schemas.microsoft.com/office/2006/metadata/properties"/>
    <ds:schemaRef ds:uri="http://purl.org/dc/dcmitype/"/>
    <ds:schemaRef ds:uri="http://purl.org/dc/terms/"/>
    <ds:schemaRef ds:uri="6ce3111e-7420-4802-b50a-75d4e9a0b980"/>
    <ds:schemaRef ds:uri="http://schemas.microsoft.com/office/infopath/2007/PartnerControls"/>
    <ds:schemaRef ds:uri="http://schemas.openxmlformats.org/package/2006/metadata/core-properties"/>
    <ds:schemaRef ds:uri="http://schemas.microsoft.com/sharepoint/v3"/>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2019-001</vt:lpstr>
      <vt:lpstr>SF&amp;QC Sec-3</vt:lpstr>
      <vt:lpstr>SSPAF</vt:lpstr>
      <vt:lpstr>CAP 2019-001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2019-09-25T21:01:45Z</cp:lastPrinted>
  <dcterms:created xsi:type="dcterms:W3CDTF">2003-10-29T19:06:34Z</dcterms:created>
  <dcterms:modified xsi:type="dcterms:W3CDTF">2019-11-20T15:05:36Z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