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B2B1246-3ECA-436F-B0EB-4518466B8D4C}"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D14" i="4" s="1"/>
  <c r="B2570" i="106" s="1"/>
  <c r="D2570" i="106" s="1"/>
  <c r="K185" i="29"/>
  <c r="B2836" i="106" s="1"/>
  <c r="D2836"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G26" i="108"/>
  <c r="E27" i="108"/>
  <c r="G27" i="108"/>
  <c r="F37" i="108"/>
  <c r="G28" i="108"/>
  <c r="G30" i="108"/>
  <c r="D37" i="108"/>
  <c r="E31" i="108"/>
  <c r="G31" i="108"/>
  <c r="E33" i="108"/>
  <c r="G33"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N22" i="3"/>
  <c r="B283" i="106" s="1"/>
  <c r="D283" i="106" s="1"/>
  <c r="D7" i="118"/>
  <c r="D8" i="118"/>
  <c r="D9" i="118"/>
  <c r="H14" i="118"/>
  <c r="H19" i="118"/>
  <c r="H24" i="118"/>
  <c r="H29" i="118"/>
  <c r="H33" i="118"/>
  <c r="D11" i="37"/>
  <c r="J22" i="37"/>
  <c r="L22" i="37"/>
  <c r="D24" i="37"/>
  <c r="B4270" i="106" s="1"/>
  <c r="D4270" i="106" s="1"/>
  <c r="D22" i="37" l="1"/>
  <c r="H28" i="118"/>
  <c r="K28" i="118" s="1"/>
  <c r="O27" i="118" s="1"/>
  <c r="O29" i="118" s="1"/>
  <c r="F19" i="7"/>
  <c r="B1807" i="106" s="1"/>
  <c r="D1807" i="106" s="1"/>
  <c r="F56" i="34"/>
  <c r="D31" i="108"/>
  <c r="F36" i="108"/>
  <c r="E26" i="108"/>
  <c r="J41" i="3"/>
  <c r="K76" i="4"/>
  <c r="B3586" i="106" s="1"/>
  <c r="D3586" i="106" s="1"/>
  <c r="L15" i="11"/>
  <c r="B3459" i="106" s="1"/>
  <c r="D3459" i="106" s="1"/>
  <c r="I24" i="12"/>
  <c r="F27" i="108"/>
  <c r="I210" i="29"/>
  <c r="B7071" i="106" s="1"/>
  <c r="D7071" i="106" s="1"/>
  <c r="B7047" i="106"/>
  <c r="D7047" i="106" s="1"/>
  <c r="B2805" i="106"/>
  <c r="D2805" i="106" s="1"/>
  <c r="F70" i="34"/>
  <c r="G38" i="108"/>
  <c r="E30" i="108"/>
  <c r="E38" i="108"/>
  <c r="D36" i="108"/>
  <c r="F28" i="108"/>
  <c r="F44" i="34"/>
  <c r="E28" i="108"/>
  <c r="L13" i="11"/>
  <c r="B2060" i="106" s="1"/>
  <c r="D2060" i="106" s="1"/>
  <c r="L5" i="11"/>
  <c r="B2056" i="106" s="1"/>
  <c r="D2056" i="106" s="1"/>
  <c r="L367" i="29"/>
  <c r="L342" i="29"/>
  <c r="F14" i="4"/>
  <c r="B2597" i="106" s="1"/>
  <c r="D2597" i="106" s="1"/>
  <c r="F46" i="34"/>
  <c r="F42" i="34"/>
  <c r="F50" i="34"/>
  <c r="F38" i="34"/>
  <c r="F72" i="34"/>
  <c r="G39" i="108"/>
  <c r="E35" i="108"/>
  <c r="D26" i="108"/>
  <c r="D41" i="108" s="1"/>
  <c r="E43" i="108" s="1"/>
  <c r="J210" i="29"/>
  <c r="B7072" i="106" s="1"/>
  <c r="D7072" i="106" s="1"/>
  <c r="F71" i="34"/>
  <c r="F68" i="34"/>
  <c r="H342" i="29"/>
  <c r="B7221" i="106" s="1"/>
  <c r="D7221" i="106" s="1"/>
  <c r="F62" i="34"/>
  <c r="G14" i="4"/>
  <c r="B2609" i="106" s="1"/>
  <c r="D2609" i="106" s="1"/>
  <c r="G35" i="108"/>
  <c r="F26" i="108"/>
  <c r="F41" i="108" s="1"/>
  <c r="G43" i="108" s="1"/>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L114" i="29" s="1"/>
  <c r="K33" i="29"/>
  <c r="B720" i="106"/>
  <c r="D720" i="106" s="1"/>
  <c r="B2031" i="106"/>
  <c r="D203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I26" i="12" l="1"/>
  <c r="B7741" i="106" s="1"/>
  <c r="D7741" i="106" s="1"/>
  <c r="B1996" i="106"/>
  <c r="D1996" i="106" s="1"/>
  <c r="B1328" i="106"/>
  <c r="D1328" i="106" s="1"/>
  <c r="L16" i="11"/>
  <c r="B2061" i="106" s="1"/>
  <c r="D2061" i="106" s="1"/>
  <c r="I7" i="4"/>
  <c r="B4444" i="106" s="1"/>
  <c r="D4444" i="106"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<sst xmlns="http://schemas.openxmlformats.org/spreadsheetml/2006/main" count="5070" uniqueCount="2089">
  <si>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</si>
  <si>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</si>
  <si>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</si>
  <si>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</si>
  <si>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</si>
  <si>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</si>
  <si>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</si>
  <si>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</si>
  <si>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</si>
  <si>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</si>
  <si>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</si>
  <si>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</si>
  <si>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</si>
  <si>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</si>
  <si>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</si>
  <si>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</si>
  <si>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</si>
  <si>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</si>
  <si>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</si>
  <si>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</si>
  <si>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</si>
  <si>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</si>
  <si>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</si>
  <si>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</si>
  <si>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</si>
  <si>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</si>
  <si>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</si>
  <si>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</si>
  <si>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</si>
  <si>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</si>
  <si>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</si>
  <si>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</si>
  <si>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</si>
  <si>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</si>
  <si>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</si>
  <si>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</si>
  <si>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</si>
  <si>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</si>
  <si>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</si>
  <si>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</si>
  <si>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</si>
  <si>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</si>
  <si>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</si>
  <si>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</si>
  <si>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</si>
  <si>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</si>
  <si>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</si>
  <si>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</si>
  <si>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</si>
  <si>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</si>
  <si>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</si>
  <si>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</si>
  <si>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</si>
  <si>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</si>
  <si>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</si>
  <si>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</si>
  <si>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</si>
  <si>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</si>
  <si>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</si>
  <si>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</si>
  <si>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</si>
  <si>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</si>
  <si>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</si>
  <si>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</si>
  <si>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</si>
  <si>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</si>
  <si>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</si>
  <si>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</si>
  <si>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</si>
  <si>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</si>
  <si>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</si>
  <si>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</si>
  <si>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</si>
  <si>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</si>
  <si>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</si>
  <si>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</si>
  <si>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</si>
  <si>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</si>
  <si>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</si>
  <si>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</si>
  <si>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</si>
  <si>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</si>
  <si>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</si>
  <si>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</si>
  <si>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</si>
  <si>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</si>
  <si>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</si>
  <si>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</si>
  <si>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</si>
  <si>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</si>
  <si>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</si>
  <si>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</si>
  <si>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</si>
  <si>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</si>
  <si>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</si>
  <si>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</si>
  <si>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</si>
  <si>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</si>
  <si>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</si>
  <si>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</si>
  <si>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</si>
  <si>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</si>
  <si>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</si>
  <si>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</si>
  <si>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</si>
  <si>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</si>
  <si>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</si>
  <si>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</si>
  <si>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</si>
  <si>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</si>
  <si>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</si>
  <si>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</si>
  <si>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</si>
  <si>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</si>
  <si>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</si>
  <si>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</si>
  <si>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</si>
  <si>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</si>
  <si>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</si>
  <si>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</si>
  <si>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</si>
  <si>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</si>
  <si>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</si>
  <si>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</si>
  <si>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</si>
  <si>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</si>
  <si>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</si>
  <si>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</si>
  <si>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</si>
  <si>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</si>
  <si>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</si>
  <si>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</si>
  <si>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</si>
  <si>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</si>
  <si>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</si>
  <si>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</si>
  <si>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</si>
  <si>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</si>
  <si>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</si>
  <si>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</si>
  <si>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</si>
  <si>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</si>
  <si>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</si>
  <si>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</si>
  <si>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</si>
  <si>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</si>
  <si>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</si>
  <si>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</si>
  <si>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</si>
  <si>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</si>
  <si>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</si>
  <si>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</si>
  <si>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</si>
  <si>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</si>
  <si>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</si>
  <si>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</si>
  <si>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</si>
  <si>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</si>
  <si>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</si>
  <si>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</si>
  <si>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</si>
  <si>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</si>
  <si>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</si>
  <si>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</si>
  <si>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</si>
  <si>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</si>
  <si>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</si>
  <si>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</si>
  <si>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</si>
  <si>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</si>
  <si>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</si>
  <si>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</si>
  <si>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</si>
  <si>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</si>
  <si>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</si>
  <si>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</si>
  <si>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</si>
  <si>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</si>
  <si>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</si>
  <si>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</si>
  <si>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</si>
  <si>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</si>
  <si>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</si>
  <si>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</si>
  <si>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</si>
  <si>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</si>
  <si>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</si>
  <si>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</si>
  <si>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</si>
  <si>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</si>
  <si>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</si>
  <si>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</si>
  <si>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</si>
  <si>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</si>
  <si>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</si>
  <si>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</si>
  <si>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</si>
  <si>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</si>
  <si>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</si>
  <si>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</si>
  <si>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</si>
  <si>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</si>
  <si>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</si>
  <si>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</si>
  <si>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</si>
  <si>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</si>
  <si>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</si>
  <si>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</si>
  <si>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</si>
  <si>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</si>
  <si>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</si>
  <si>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</si>
  <si>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</si>
  <si>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</si>
  <si>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</si>
  <si>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</si>
  <si>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</si>
  <si>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</si>
  <si>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</si>
  <si>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</si>
  <si>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</si>
  <si>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</si>
  <si>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</si>
  <si>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</si>
  <si>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</si>
  <si>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</si>
  <si>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</si>
  <si>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</si>
  <si>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</si>
  <si>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</si>
  <si>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</si>
  <si>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</si>
  <si>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</si>
  <si>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</si>
  <si>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</si>
  <si>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</si>
  <si>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</si>
  <si>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</si>
  <si>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</si>
  <si>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</si>
  <si>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</si>
  <si>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</si>
  <si>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</si>
  <si>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</si>
  <si>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</si>
  <si>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</si>
  <si>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</si>
  <si>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</si>
  <si>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</si>
  <si>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</si>
  <si>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</si>
  <si>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</si>
  <si>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</si>
  <si>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</si>
  <si>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</si>
  <si>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</si>
  <si>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</si>
  <si>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</si>
  <si>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</si>
  <si>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</si>
  <si>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</si>
  <si>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</si>
  <si>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</si>
  <si>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</si>
  <si>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</si>
  <si>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</si>
  <si>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</si>
  <si>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</si>
  <si>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</si>
  <si>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</si>
  <si>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</si>
  <si>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</si>
  <si>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</si>
  <si>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</si>
  <si>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</si>
  <si>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</si>
  <si>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</si>
  <si>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</si>
  <si>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</si>
  <si>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</si>
  <si>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</si>
  <si>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</si>
  <si>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</si>
  <si>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</si>
  <si>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</si>
  <si>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</si>
  <si>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</si>
  <si>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</si>
  <si>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</si>
  <si>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</si>
  <si>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</si>
  <si>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</si>
  <si>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</si>
  <si>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</si>
  <si>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</si>
  <si>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</si>
  <si>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</si>
  <si>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</si>
  <si>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</si>
  <si>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</si>
  <si>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</si>
  <si>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</si>
  <si>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</si>
  <si>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</si>
  <si>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</si>
  <si>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</si>
  <si>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</si>
  <si>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</si>
  <si>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</si>
  <si>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</si>
  <si>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</si>
  <si>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</si>
  <si>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</si>
  <si>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</si>
  <si>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</si>
  <si>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</si>
  <si>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</si>
  <si>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</si>
  <si>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</si>
  <si>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</si>
  <si>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</si>
  <si>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</si>
  <si>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</si>
  <si>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</si>
  <si>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</si>
  <si>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</si>
  <si>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</si>
  <si>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</si>
  <si>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</si>
  <si>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</si>
  <si>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</si>
  <si>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</si>
  <si>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</si>
  <si>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</si>
  <si>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</si>
  <si>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</si>
  <si>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</si>
  <si>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</si>
  <si>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</si>
  <si>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</si>
  <si>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</si>
  <si>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</si>
  <si>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</si>
  <si>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</si>
  <si>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</si>
  <si>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</si>
  <si>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</si>
  <si>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</si>
  <si>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</si>
  <si>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</si>
  <si>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</si>
  <si>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</si>
  <si>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</si>
  <si>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</si>
  <si>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</si>
  <si>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</si>
  <si>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</si>
  <si>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</si>
  <si>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</si>
  <si>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</si>
  <si>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</si>
  <si>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</si>
  <si>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</si>
  <si>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</si>
  <si>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</si>
  <si>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</si>
  <si>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</si>
  <si>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</si>
  <si>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</si>
  <si>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</si>
  <si>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</si>
  <si>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</si>
  <si>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</si>
  <si>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</si>
  <si>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</si>
  <si>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</si>
  <si>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</si>
  <si>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</si>
  <si>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</si>
  <si>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</si>
  <si>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</si>
  <si>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</si>
  <si>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</si>
  <si>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</si>
  <si>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</si>
  <si>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</si>
  <si>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</si>
  <si>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</si>
  <si>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</si>
  <si>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</si>
  <si>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</si>
  <si>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</si>
  <si>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</si>
  <si>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</si>
  <si>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</si>
  <si>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</si>
  <si>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</si>
  <si>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</si>
  <si>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</si>
  <si>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</si>
  <si>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</si>
  <si>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</si>
  <si>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</si>
  <si>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</si>
  <si>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</si>
  <si>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</si>
  <si>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</si>
  <si>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</si>
  <si>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</si>
  <si>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</si>
  <si>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</si>
  <si>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</si>
  <si>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</si>
  <si>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</si>
  <si>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</si>
  <si>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</si>
  <si>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</si>
  <si>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</si>
  <si>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</si>
  <si>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</si>
  <si>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</si>
  <si>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</si>
  <si>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</si>
  <si>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</si>
  <si>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</si>
  <si>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</si>
  <si>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</si>
  <si>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</si>
  <si>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</si>
  <si>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</si>
  <si>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</si>
  <si>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</si>
  <si>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</si>
  <si>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</si>
  <si>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</si>
  <si>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</si>
  <si>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</si>
  <si>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</si>
  <si>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</si>
  <si>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</si>
  <si>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</si>
  <si>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</si>
  <si>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</si>
  <si>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</si>
  <si>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</si>
  <si>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</si>
  <si>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</si>
  <si>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</si>
  <si>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</si>
  <si>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</si>
  <si>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</si>
  <si>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</si>
  <si>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</si>
  <si>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</si>
  <si>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</si>
  <si>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</si>
  <si>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</si>
  <si>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</si>
  <si>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</si>
  <si>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</si>
  <si>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</si>
  <si>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</si>
  <si>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</si>
  <si>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</si>
  <si>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</si>
  <si>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</si>
  <si>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</si>
  <si>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</si>
  <si>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</si>
  <si>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</si>
  <si>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</si>
  <si>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</si>
  <si>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</si>
  <si>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</si>
  <si>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</si>
  <si>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</si>
  <si>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</si>
  <si>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</si>
  <si>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</si>
  <si>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</si>
  <si>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</si>
  <si>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</si>
  <si>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</si>
  <si>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</si>
  <si>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</si>
  <si>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</si>
  <si>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</si>
  <si>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</si>
  <si>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</si>
  <si>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</si>
  <si>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</si>
  <si>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</si>
  <si>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</si>
  <si>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</si>
  <si>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</si>
  <si>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</si>
  <si>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</si>
  <si>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</si>
  <si>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</si>
  <si>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</si>
  <si>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</si>
  <si>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</si>
  <si>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</si>
  <si>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</si>
  <si>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</si>
  <si>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</si>
  <si>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</si>
  <si>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</si>
  <si>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</si>
  <si>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</si>
  <si>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</si>
  <si>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</si>
  <si>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</si>
  <si>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</si>
  <si>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</si>
  <si>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</si>
  <si>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</si>
  <si>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</si>
  <si>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</si>
  <si>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</si>
  <si>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</si>
  <si>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</si>
  <si>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</si>
  <si>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</si>
  <si>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</si>
  <si>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</si>
  <si>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</si>
  <si>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</si>
  <si>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</si>
  <si>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</si>
  <si>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</si>
  <si>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</si>
  <si>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</si>
  <si>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</si>
  <si>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</si>
  <si>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</si>
  <si>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</si>
  <si>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</si>
  <si>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</si>
  <si>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</si>
  <si>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</si>
  <si>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</si>
  <si>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</si>
  <si>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</si>
  <si>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</si>
  <si>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</si>
  <si>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</si>
  <si>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</si>
  <si>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</si>
  <si>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</si>
  <si>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</si>
  <si>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</si>
  <si>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</si>
  <si>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</si>
  <si>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</si>
  <si>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</si>
  <si>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</si>
  <si>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</si>
  <si>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</si>
  <si>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</si>
  <si>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</si>
  <si>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</si>
  <si>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</si>
  <si>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</si>
  <si>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</si>
  <si>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</si>
  <si>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</si>
  <si>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</si>
  <si>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</si>
  <si>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</si>
  <si>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</si>
  <si>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</si>
  <si>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</si>
  <si>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</si>
  <si>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</si>
  <si>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</si>
  <si>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</si>
  <si>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</si>
  <si>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</si>
  <si>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</si>
  <si>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</si>
  <si>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</si>
  <si>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</si>
  <si>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</si>
  <si>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</si>
  <si>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</si>
  <si>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</si>
  <si>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</si>
  <si>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</si>
  <si>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</si>
  <si>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</si>
  <si>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</si>
  <si>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</si>
  <si>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</si>
  <si>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</si>
  <si>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</si>
  <si>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</si>
  <si>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</si>
  <si>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</si>
  <si>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</si>
  <si>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</si>
  <si>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</si>
  <si>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</si>
  <si>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</si>
  <si>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</si>
  <si>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</si>
  <si>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</si>
  <si>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</si>
  <si>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</si>
  <si>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</si>
  <si>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</si>
  <si>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</si>
  <si>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</si>
  <si>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</si>
  <si>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</si>
  <si>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</si>
  <si>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</si>
  <si>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</si>
  <si>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</si>
  <si>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</si>
  <si>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</si>
  <si>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</si>
  <si>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</si>
  <si>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</si>
  <si>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</si>
  <si>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</si>
  <si>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</si>
  <si>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</si>
  <si>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</si>
  <si>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</si>
  <si>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</si>
  <si>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</si>
  <si>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</si>
  <si>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</si>
  <si>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</si>
  <si>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</si>
  <si>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</si>
  <si>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</si>
  <si>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</si>
  <si>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</si>
  <si>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</si>
  <si>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</si>
  <si>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</si>
  <si>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</si>
  <si>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</si>
  <si>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</si>
  <si>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</si>
  <si>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</si>
  <si>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</si>
  <si>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</si>
  <si>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</si>
  <si>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</si>
  <si>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</si>
  <si>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</si>
  <si>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</si>
  <si>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</si>
  <si>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</si>
  <si>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</si>
  <si>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</si>
  <si>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</si>
  <si>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</si>
  <si>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</si>
  <si>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</si>
  <si>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</si>
  <si>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</si>
  <si>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</si>
  <si>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</si>
  <si>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</si>
  <si>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</si>
  <si>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</si>
  <si>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</si>
  <si>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</si>
  <si>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</si>
  <si>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</si>
  <si>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</si>
  <si>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</si>
  <si>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</si>
  <si>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</si>
  <si>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</si>
  <si>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</si>
  <si>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</si>
  <si>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</si>
  <si>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</si>
  <si>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</si>
  <si>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</si>
  <si>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</si>
  <si>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</si>
  <si>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</si>
  <si>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</si>
  <si>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</si>
  <si>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</si>
  <si>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</si>
  <si>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</si>
  <si>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</si>
  <si>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</si>
  <si>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</si>
  <si>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</si>
  <si>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</si>
  <si>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</si>
  <si>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</si>
  <si>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</si>
  <si>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</si>
  <si>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</si>
  <si>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</si>
  <si>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</si>
  <si>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</si>
  <si>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</si>
  <si>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</si>
  <si>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</si>
  <si>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</si>
  <si>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</si>
  <si>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</si>
  <si>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</si>
  <si>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</si>
  <si>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</si>
  <si>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</si>
  <si>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</si>
  <si>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</si>
  <si>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</si>
  <si>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</si>
  <si>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</si>
  <si>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</si>
  <si>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</si>
  <si>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</si>
  <si>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</si>
  <si>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</si>
  <si>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</si>
  <si>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</si>
  <si>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</si>
  <si>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</si>
  <si>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</si>
  <si>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</si>
  <si>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</si>
  <si>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</si>
  <si>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</si>
  <si>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</si>
  <si>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</si>
  <si>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</si>
  <si>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</si>
  <si>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</si>
  <si>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</si>
  <si>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</si>
  <si>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</si>
  <si>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</si>
  <si>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</si>
  <si>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</si>
  <si>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</si>
  <si>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</si>
  <si>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</si>
  <si>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</si>
  <si>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</si>
  <si>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</si>
  <si>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</si>
  <si>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</si>
  <si>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</si>
  <si>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</si>
  <si>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</si>
  <si>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</si>
  <si>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</si>
  <si>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</si>
  <si>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</si>
  <si>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</si>
  <si>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</si>
  <si>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</si>
  <si>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</si>
  <si>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</si>
  <si>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</si>
  <si>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</si>
  <si>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</si>
  <si>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</si>
  <si>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</si>
  <si>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</si>
  <si>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</si>
  <si>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</si>
  <si>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</si>
  <si>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</si>
  <si>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</si>
  <si>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</si>
  <si>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</si>
  <si>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</si>
  <si>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</si>
  <si>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</si>
  <si>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</si>
  <si>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</si>
  <si>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</si>
  <si>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</si>
  <si>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</si>
  <si>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</si>
  <si>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</si>
  <si>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</si>
  <si>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</si>
  <si>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</si>
  <si>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</si>
  <si>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</si>
  <si>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</si>
  <si>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</si>
  <si>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</si>
  <si>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</si>
  <si>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</si>
  <si>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</si>
  <si>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</si>
  <si>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</si>
  <si>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</si>
  <si>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</si>
  <si>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</si>
  <si>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</si>
  <si>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</si>
  <si>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</si>
  <si>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</si>
  <si>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</si>
  <si>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</si>
  <si>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</si>
  <si>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</si>
  <si>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</si>
  <si>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</si>
  <si>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</si>
  <si>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</si>
  <si>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</si>
  <si>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</si>
  <si>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</si>
  <si>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</si>
  <si>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</si>
  <si>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</si>
  <si>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</si>
  <si>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</si>
  <si>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</si>
  <si>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</si>
  <si>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</si>
  <si>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</si>
  <si>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</si>
  <si>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</si>
  <si>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</si>
  <si>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</si>
  <si>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</si>
  <si>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</si>
  <si>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</si>
  <si>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</si>
  <si>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</si>
  <si>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</si>
  <si>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</si>
  <si>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</si>
  <si>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</si>
  <si>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</si>
  <si>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</si>
  <si>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</si>
  <si>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</si>
  <si>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</si>
  <si>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</si>
  <si>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</si>
  <si>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</si>
  <si>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</si>
  <si>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</si>
  <si>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</si>
  <si>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</si>
  <si>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</si>
  <si>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</si>
  <si>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</si>
  <si>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</si>
  <si>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</si>
  <si>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</si>
  <si>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</si>
  <si>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</si>
  <si>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</si>
  <si>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</si>
  <si>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</si>
  <si>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</si>
  <si>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</si>
  <si>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</si>
  <si>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</si>
  <si>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</si>
  <si>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</si>
  <si>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</si>
  <si>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</si>
  <si>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</si>
  <si>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</si>
  <si>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</si>
  <si>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</si>
  <si>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</si>
  <si>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</si>
  <si>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</si>
  <si>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</si>
  <si>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</si>
  <si>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</si>
  <si>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</si>
  <si>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</si>
  <si>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</si>
  <si>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</si>
  <si>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</si>
  <si>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</si>
  <si>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</si>
  <si>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</si>
  <si>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</si>
  <si>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</si>
  <si>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</si>
  <si>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</si>
  <si>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</si>
  <si>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</si>
  <si>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</si>
  <si>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</si>
  <si>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</si>
  <si>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</si>
  <si>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</si>
  <si>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</si>
  <si>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</si>
  <si>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</si>
  <si>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</si>
  <si>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</si>
  <si>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</si>
  <si>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</si>
  <si>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</si>
  <si>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</si>
  <si>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</si>
  <si>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</si>
  <si>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</si>
  <si>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</si>
  <si>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</si>
  <si>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</si>
  <si>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</si>
  <si>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</si>
  <si>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</si>
  <si>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</si>
  <si>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</si>
  <si>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</si>
  <si>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</si>
  <si>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</si>
  <si>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</si>
  <si>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</si>
  <si>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</si>
  <si>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</si>
  <si>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</si>
  <si>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</si>
  <si>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</si>
  <si>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</si>
  <si>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</si>
  <si>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</si>
  <si>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</si>
  <si>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</si>
  <si>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</si>
  <si>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</si>
  <si>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</si>
  <si>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</si>
  <si>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</si>
  <si>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</si>
  <si>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</si>
  <si>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</si>
  <si>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</si>
  <si>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</si>
  <si>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</si>
  <si>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</si>
  <si>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</si>
  <si>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</si>
  <si>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</si>
  <si>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</si>
  <si>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</si>
  <si>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</si>
  <si>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</si>
  <si>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</si>
  <si>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</si>
  <si>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</si>
  <si>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</si>
  <si>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</si>
  <si>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</si>
  <si>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</si>
  <si>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</si>
  <si>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</si>
  <si>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</si>
  <si>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</si>
  <si>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</si>
  <si>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</si>
  <si>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</si>
  <si>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</si>
  <si>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</si>
  <si>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</si>
  <si>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</si>
  <si>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</si>
  <si>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</si>
  <si>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</si>
  <si>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</si>
  <si>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</si>
  <si>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</si>
  <si>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</si>
  <si>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</si>
  <si>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</si>
  <si>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</si>
  <si>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</si>
  <si>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</si>
  <si>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</si>
  <si>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</si>
  <si>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</si>
  <si>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</si>
  <si>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</si>
  <si>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</si>
  <si>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</si>
  <si>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</si>
  <si>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</si>
  <si>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</si>
  <si>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</si>
  <si>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</si>
  <si>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</si>
  <si>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</si>
  <si>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</si>
  <si>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</si>
  <si>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</si>
  <si>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</si>
  <si>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</si>
  <si>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</si>
  <si>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</si>
  <si>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</si>
  <si>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</si>
  <si>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</si>
  <si>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</si>
  <si>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</si>
  <si>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</si>
  <si>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</si>
  <si>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</si>
  <si>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</si>
  <si>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</si>
  <si>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</si>
  <si>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</si>
  <si>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</si>
  <si>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</si>
  <si>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</si>
  <si>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</si>
  <si>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</si>
  <si>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</si>
  <si>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</si>
  <si>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</si>
  <si>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</si>
  <si>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</si>
  <si>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</si>
  <si>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</si>
  <si>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</si>
  <si>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</si>
  <si>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</si>
  <si>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</si>
  <si>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</si>
  <si>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</si>
  <si>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</si>
  <si>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</si>
  <si>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</si>
  <si>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</si>
  <si>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</si>
  <si>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</si>
  <si>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</si>
  <si>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</si>
  <si>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</si>
  <si>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</si>
  <si>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</si>
  <si>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</si>
  <si>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</si>
  <si>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</si>
  <si>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</si>
  <si>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</si>
  <si>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</si>
  <si>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</si>
  <si>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</si>
  <si>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</si>
  <si>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</si>
  <si>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</si>
  <si>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</si>
  <si>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</si>
  <si>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</si>
  <si>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</si>
  <si>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</si>
  <si>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</si>
  <si>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</si>
  <si>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</si>
  <si>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</si>
  <si>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</si>
  <si>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</si>
  <si>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</si>
  <si>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</si>
  <si>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</si>
  <si>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</si>
  <si>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</si>
  <si>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</si>
  <si>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</si>
  <si>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</si>
  <si>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</si>
  <si>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</si>
  <si>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</si>
  <si>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</si>
  <si>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</si>
  <si>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</si>
  <si>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</si>
  <si>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</si>
  <si>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</si>
  <si>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</si>
  <si>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</si>
  <si>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</si>
  <si>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</si>
  <si>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</si>
  <si>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</si>
  <si>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</si>
  <si>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</si>
  <si>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</si>
  <si>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</si>
  <si>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</si>
  <si>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</si>
  <si>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</si>
  <si>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</si>
  <si>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</si>
  <si>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</si>
  <si>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</si>
  <si>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</si>
  <si>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</si>
  <si>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</si>
  <si>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</si>
  <si>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</si>
  <si>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</si>
  <si>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</si>
  <si>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</si>
  <si>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</si>
  <si>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</si>
  <si>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</si>
  <si>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</si>
  <si>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</si>
  <si>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</si>
  <si>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</si>
  <si>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</si>
  <si>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</si>
  <si>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</si>
  <si>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</si>
  <si>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</si>
  <si>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</si>
  <si>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</si>
  <si>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</si>
  <si>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</si>
  <si>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</si>
  <si>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</si>
  <si>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</si>
  <si>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</si>
  <si>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</si>
  <si>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</si>
  <si>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</si>
  <si>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</si>
  <si>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</si>
  <si>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</si>
  <si>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</si>
  <si>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</si>
  <si>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</si>
  <si>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</si>
  <si>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</si>
  <si>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</si>
  <si>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</si>
  <si>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</si>
  <si>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</si>
  <si>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</si>
  <si>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</si>
  <si>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</si>
  <si>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</si>
  <si>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</si>
  <si>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</si>
  <si>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</si>
  <si>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</si>
  <si>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</si>
  <si>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</si>
  <si>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</si>
  <si>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</si>
  <si>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</si>
  <si>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</si>
  <si>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</si>
  <si>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</si>
  <si>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</si>
  <si>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</si>
  <si>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</si>
  <si>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</si>
  <si>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</si>
  <si>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</si>
  <si>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</si>
  <si>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</si>
  <si>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</si>
  <si>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</si>
  <si>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</si>
  <si>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</si>
  <si>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</si>
  <si>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</si>
  <si>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</si>
  <si>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</si>
  <si>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</si>
  <si>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</si>
  <si>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</si>
  <si>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</si>
  <si>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</si>
  <si>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</si>
  <si>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</si>
  <si>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</si>
  <si>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</si>
  <si>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</si>
  <si>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</si>
  <si>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</si>
  <si>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</si>
  <si>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</si>
  <si>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</si>
  <si>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</si>
  <si>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</si>
  <si>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</si>
  <si>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</si>
  <si>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</si>
  <si>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</si>
  <si>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</si>
  <si>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</si>
  <si>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</si>
  <si>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</si>
  <si>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</si>
  <si>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</si>
  <si>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</si>
  <si>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</si>
  <si>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</si>
  <si>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</si>
  <si>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</si>
  <si>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</si>
  <si>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</si>
  <si>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</si>
  <si>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</si>
  <si>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</si>
  <si>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</si>
  <si>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</si>
  <si>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</si>
  <si>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</si>
  <si>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</si>
  <si>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</si>
  <si>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</si>
  <si>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</si>
  <si>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</si>
  <si>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</si>
  <si>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</si>
  <si>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</si>
  <si>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</si>
  <si>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</si>
  <si>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</si>
  <si>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</si>
  <si>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</si>
  <si>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</si>
  <si>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</si>
  <si>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</si>
  <si>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</si>
  <si>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</si>
  <si>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</si>
  <si>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</si>
  <si>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</si>
  <si>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</si>
  <si>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</si>
  <si>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</si>
  <si>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</si>
  <si>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</si>
  <si>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</si>
  <si>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</si>
  <si>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</si>
  <si>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</si>
  <si>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</si>
  <si>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</si>
  <si>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</si>
  <si>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</si>
  <si>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</si>
  <si>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</si>
  <si>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</si>
  <si>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</si>
  <si>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</si>
  <si>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</si>
  <si>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</si>
  <si>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</si>
  <si>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</si>
  <si>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</si>
  <si>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</si>
  <si>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</si>
  <si>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</si>
  <si>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</si>
  <si>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</si>
  <si>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</si>
  <si>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</si>
  <si>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</si>
  <si>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</si>
  <si>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</si>
  <si>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</si>
  <si>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</si>
  <si>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</si>
  <si>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</si>
  <si>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</si>
  <si>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</si>
  <si>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</si>
  <si>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</si>
  <si>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</si>
  <si>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</si>
  <si>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</si>
  <si>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</si>
  <si>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</si>
  <si>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</si>
  <si>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</si>
  <si>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</si>
  <si>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</si>
  <si>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</si>
  <si>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</si>
  <si>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</si>
  <si>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</si>
  <si>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</si>
  <si>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</si>
  <si>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</si>
  <si>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</si>
  <si>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</si>
  <si>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</si>
  <si>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</si>
  <si>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</si>
  <si>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</si>
  <si>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</si>
  <si>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</si>
  <si>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</si>
  <si>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</si>
  <si>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</si>
  <si>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</si>
  <si>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</si>
  <si>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</si>
  <si>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</si>
  <si>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</si>
  <si>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</si>
  <si>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</si>
  <si>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</si>
  <si>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</si>
  <si>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</si>
  <si>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</si>
  <si>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</si>
  <si>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</si>
  <si>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</si>
  <si>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</si>
  <si>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</si>
  <si>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</si>
  <si>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</si>
  <si>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</si>
  <si>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</si>
  <si>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</si>
  <si>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</si>
  <si>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</si>
  <si>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</si>
  <si>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</si>
  <si>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</si>
  <si>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</si>
  <si>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</si>
  <si>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</si>
  <si>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</si>
  <si>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</si>
  <si>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</si>
  <si>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</si>
  <si>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</si>
  <si>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</si>
  <si>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</si>
  <si>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</si>
  <si>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</si>
  <si>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</si>
  <si>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</si>
  <si>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</si>
  <si>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</si>
  <si>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</si>
  <si>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</si>
  <si>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</si>
  <si>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</si>
  <si>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</si>
  <si>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</si>
  <si>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</si>
  <si>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</si>
  <si>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</si>
  <si>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</si>
  <si>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</si>
  <si>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</si>
  <si>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</si>
  <si>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</si>
  <si>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</si>
  <si>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</si>
  <si>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</si>
  <si>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</si>
  <si>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</si>
  <si>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</si>
  <si>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</si>
  <si>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</si>
  <si>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</si>
  <si>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</si>
  <si>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</si>
  <si>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</si>
  <si>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</si>
  <si>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</si>
  <si>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</si>
  <si>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</si>
  <si>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</si>
  <si>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</si>
  <si>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</si>
  <si>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</si>
  <si>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</si>
  <si>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</si>
  <si>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</si>
  <si>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</si>
  <si>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</si>
  <si>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</si>
  <si>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</si>
  <si>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</si>
  <si>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</si>
  <si>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</si>
  <si>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</si>
  <si>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</si>
  <si>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</si>
  <si>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</si>
  <si>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</si>
  <si>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</si>
  <si>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</si>
  <si>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</si>
  <si>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</si>
  <si>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</si>
  <si>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</si>
  <si>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</si>
  <si>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</si>
  <si>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</si>
  <si>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</si>
  <si>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</si>
  <si>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</si>
  <si>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</si>
  <si>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</si>
  <si>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</si>
  <si>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</si>
  <si>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</si>
  <si>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</si>
  <si>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</si>
  <si>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</si>
  <si>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</si>
  <si>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</si>
  <si>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</si>
  <si>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</si>
  <si>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</si>
  <si>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</si>
  <si>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</si>
  <si>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</si>
  <si>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</si>
  <si>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</si>
  <si>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</si>
  <si>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</si>
  <si>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</si>
  <si>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</si>
  <si>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</si>
  <si>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</si>
  <si>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</si>
  <si>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</si>
  <si>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</si>
  <si>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</si>
  <si>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</si>
  <si>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</si>
  <si>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</si>
  <si>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</si>
  <si>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</si>
  <si>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</si>
  <si>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</si>
  <si>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</si>
  <si>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</si>
  <si>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</si>
  <si>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</si>
  <si>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</si>
  <si>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</si>
  <si>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</si>
  <si>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</si>
  <si>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</si>
  <si>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</si>
  <si>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</si>
  <si>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</si>
  <si>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</si>
  <si>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</si>
  <si>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</si>
  <si>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</si>
  <si>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</si>
  <si>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</si>
  <si>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</si>
  <si>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</si>
  <si>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</si>
  <si>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</si>
  <si>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</si>
  <si>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</si>
  <si>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</si>
  <si>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</si>
  <si>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</si>
  <si>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</si>
  <si>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</si>
  <si>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</si>
  <si>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</si>
  <si>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</si>
  <si>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</si>
  <si>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</si>
  <si>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</si>
  <si>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</si>
  <si>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</si>
  <si>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</si>
  <si>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</si>
  <si>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</si>
  <si>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</si>
  <si>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</si>
  <si>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</si>
  <si>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</si>
  <si>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</si>
  <si>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</si>
  <si>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</si>
  <si>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</si>
  <si>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</si>
  <si>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</si>
  <si>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</si>
  <si>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</si>
  <si>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</si>
  <si>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</si>
  <si>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</si>
  <si>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</si>
  <si>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</si>
  <si>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</si>
  <si>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</si>
  <si>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</si>
  <si>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</si>
  <si>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</si>
  <si>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</si>
  <si>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</si>
  <si>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</si>
  <si>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</si>
  <si>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</si>
  <si>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</si>
  <si>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</si>
  <si>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</si>
  <si>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</si>
  <si>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</si>
  <si>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</si>
  <si>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</si>
  <si>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</si>
  <si>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</si>
  <si>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</si>
  <si>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</si>
  <si>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</si>
  <si>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</si>
  <si>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</si>
  <si>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</si>
  <si>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</si>
  <si>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</si>
  <si>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</si>
  <si>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</si>
  <si>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</si>
  <si>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</si>
  <si>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</si>
  <si>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</si>
  <si>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</si>
  <si>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</si>
  <si>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</si>
  <si>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</si>
  <si>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</si>
  <si>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</si>
  <si>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</si>
  <si>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</si>
  <si>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</si>
  <si>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</si>
  <si>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</si>
  <si>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</si>
  <si>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</si>
  <si>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</si>
  <si>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</si>
  <si>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</si>
  <si>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</si>
  <si>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</si>
  <si>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</si>
  <si>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</si>
  <si>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</si>
  <si>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</si>
  <si>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</si>
  <si>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</si>
  <si>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</si>
  <si>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</si>
  <si>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</si>
  <si>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</si>
  <si>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</si>
  <si>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</si>
  <si>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</si>
  <si>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</si>
  <si>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</si>
  <si>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</si>
  <si>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</si>
  <si>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</si>
  <si>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</si>
  <si>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</si>
  <si>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</si>
  <si>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</si>
  <si>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</si>
  <si>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</si>
  <si>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</si>
  <si>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</si>
  <si>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</si>
  <si>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</si>
  <si>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</si>
  <si>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</si>
  <si>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</si>
  <si>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</si>
  <si>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</si>
  <si>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</si>
  <si>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</si>
  <si>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</si>
  <si>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</si>
  <si>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</si>
  <si>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</si>
  <si>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</si>
  <si>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</si>
  <si>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</si>
  <si>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</si>
  <si>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</si>
  <si>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</si>
  <si>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</si>
  <si>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</si>
  <si>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</si>
  <si>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</si>
  <si>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</si>
  <si>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</si>
  <si>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</si>
  <si>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</si>
  <si>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</si>
  <si>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</si>
  <si>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</si>
  <si>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</si>
  <si>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</si>
  <si>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</si>
  <si>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</si>
  <si>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</si>
  <si>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</si>
  <si>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</si>
  <si>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</si>
  <si>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</si>
  <si>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</si>
  <si>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</si>
  <si>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</si>
  <si>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</si>
  <si>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</si>
  <si>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</si>
  <si>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</si>
  <si>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</si>
  <si>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</si>
  <si>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</si>
  <si>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</si>
  <si>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</si>
  <si>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</si>
  <si>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</si>
  <si>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</si>
  <si>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</si>
  <si>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</si>
  <si>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</si>
  <si>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</si>
  <si>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</si>
  <si>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</si>
  <si>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</si>
  <si>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</si>
  <si>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</si>
  <si>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</si>
  <si>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</si>
  <si>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</si>
  <si>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</si>
  <si>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</si>
  <si>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</si>
  <si>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</si>
  <si>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</si>
  <si>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</si>
  <si>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</si>
  <si>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</si>
  <si>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</si>
  <si>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</si>
  <si>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</si>
  <si>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</si>
  <si>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</si>
  <si>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</si>
  <si>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</si>
  <si>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</si>
  <si>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</si>
  <si>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</si>
  <si>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</si>
  <si>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</si>
  <si>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</si>
  <si>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</si>
  <si>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</si>
  <si>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</si>
  <si>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</si>
  <si>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</si>
  <si>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</si>
  <si>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</si>
  <si>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</si>
  <si>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</si>
  <si>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</si>
  <si>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</si>
  <si>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</si>
  <si>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</si>
  <si>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</si>
  <si>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</si>
  <si>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</si>
  <si>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</si>
  <si>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</si>
  <si>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</si>
  <si>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</si>
  <si>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</si>
  <si>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</si>
  <si>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</si>
  <si>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</si>
  <si>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</si>
  <si>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</si>
  <si>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</si>
  <si>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</si>
  <si>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</si>
  <si>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</si>
  <si>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</si>
  <si>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</si>
  <si>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</si>
  <si>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</si>
  <si>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</si>
  <si>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</si>
  <si>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</si>
  <si>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</si>
  <si>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</si>
  <si>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</si>
  <si>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</si>
  <si>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</si>
  <si>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</si>
  <si>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</si>
  <si>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</si>
  <si>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</si>
  <si>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</si>
  <si>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</si>
  <si>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</si>
  <si>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</si>
  <si>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</si>
  <si>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</si>
  <si>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</si>
  <si>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</si>
  <si>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</si>
  <si>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</si>
  <si>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</si>
  <si>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</si>
  <si>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</si>
  <si>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</si>
  <si>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</si>
  <si>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</si>
  <si>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</si>
  <si>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</si>
  <si>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</si>
  <si>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</si>
  <si>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</si>
  <si>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</si>
  <si>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</si>
  <si>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</si>
  <si>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</si>
  <si>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</si>
  <si>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</si>
  <si>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</si>
  <si>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</si>
  <si>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</si>
  <si>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</si>
  <si>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</si>
  <si>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</si>
  <si>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</si>
  <si>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</si>
  <si>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</si>
  <si>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</si>
  <si>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</si>
  <si>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</si>
  <si>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</si>
  <si>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</si>
  <si>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</si>
  <si>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</si>
  <si>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</si>
  <si>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</si>
  <si>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</si>
  <si>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</si>
  <si>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</si>
  <si>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</si>
  <si>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</si>
  <si>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</si>
  <si>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</si>
  <si>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</si>
  <si>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</si>
  <si>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</si>
  <si>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</si>
  <si>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</si>
  <si>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</si>
  <si>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</si>
  <si>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</si>
  <si>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</si>
  <si>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</si>
  <si>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</si>
  <si>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</si>
  <si>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</si>
  <si>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</si>
  <si>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</si>
  <si>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</si>
  <si>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</si>
  <si>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</si>
  <si>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</si>
  <si>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</si>
  <si>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</si>
  <si>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</si>
  <si>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</si>
  <si>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</si>
  <si>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</si>
  <si>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</si>
  <si>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</si>
  <si>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</si>
  <si>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</si>
  <si>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</si>
  <si>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</si>
  <si>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</si>
  <si>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</si>
  <si>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</si>
  <si>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</si>
  <si>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</si>
  <si>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</si>
  <si>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</si>
  <si>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</si>
  <si>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</si>
  <si>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</si>
  <si>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</si>
  <si>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</si>
  <si>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</si>
  <si>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</si>
  <si>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</si>
  <si>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</si>
  <si>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</si>
  <si>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</si>
  <si>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</si>
  <si>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</si>
  <si>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</si>
  <si>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</si>
  <si>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</si>
  <si>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</si>
  <si>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</si>
  <si>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</si>
  <si>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</si>
  <si>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</si>
  <si>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</si>
  <si>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</si>
  <si>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</si>
  <si>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</si>
  <si>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</si>
  <si>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</si>
  <si>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</si>
  <si>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</si>
  <si>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</si>
  <si>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</si>
  <si>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</si>
  <si>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</si>
  <si>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</si>
  <si>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</si>
  <si>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</si>
  <si>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</si>
  <si>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</si>
  <si>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</si>
  <si>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</si>
  <si>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</si>
  <si>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</si>
  <si>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</si>
  <si>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</si>
  <si>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</si>
  <si>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</si>
  <si>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</si>
  <si>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</si>
  <si>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</si>
  <si>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</si>
  <si>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</si>
  <si>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</si>
  <si>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</si>
  <si>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</si>
  <si>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</si>
  <si>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</si>
  <si>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</si>
  <si>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</si>
  <si>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</si>
  <si>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</si>
  <si>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</si>
  <si>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</si>
  <si>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</si>
  <si>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</si>
  <si>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</si>
  <si>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</si>
  <si>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</si>
  <si>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</si>
  <si>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</si>
  <si>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</si>
  <si>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</si>
  <si>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</si>
  <si>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</si>
  <si>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</si>
  <si>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</si>
  <si>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</si>
  <si>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</si>
  <si>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</si>
  <si>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</si>
  <si>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</si>
  <si>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</si>
  <si>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</si>
  <si>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</si>
  <si>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</si>
  <si>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</si>
  <si>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</si>
  <si>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</si>
  <si>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</si>
  <si>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</si>
  <si>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</si>
  <si>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</si>
  <si>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</si>
  <si>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</si>
  <si>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</si>
  <si>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</si>
  <si>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</si>
  <si>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</si>
  <si>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</si>
  <si>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</si>
  <si>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</si>
  <si>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</si>
  <si>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</si>
  <si>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</si>
  <si>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</si>
  <si>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</si>
  <si>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</si>
  <si>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</si>
  <si>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</si>
  <si>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</si>
  <si>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</si>
  <si>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</si>
  <si>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</si>
  <si>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</si>
  <si>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</si>
  <si>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</si>
  <si>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</si>
  <si>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</si>
  <si>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</si>
  <si>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</si>
  <si>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</si>
  <si>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</si>
  <si>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</si>
  <si>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</si>
  <si>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</si>
  <si>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</si>
  <si>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</si>
  <si>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</si>
  <si>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</si>
  <si>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</si>
  <si>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</si>
  <si>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</si>
  <si>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</si>
  <si>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</si>
  <si>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</si>
  <si>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</si>
  <si>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</si>
  <si>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</si>
  <si>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</si>
  <si>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</si>
  <si>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</si>
  <si>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</si>
  <si>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</si>
  <si>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</si>
  <si>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</si>
  <si>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</si>
  <si>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</si>
  <si>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</si>
  <si>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</si>
  <si>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</si>
  <si>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</si>
  <si>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</si>
  <si>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</si>
  <si>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</si>
  <si>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</si>
  <si>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</si>
  <si>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</si>
  <si>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</si>
  <si>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</si>
  <si>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</si>
  <si>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</si>
  <si>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</si>
  <si>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</si>
  <si>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</si>
  <si>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</si>
  <si>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</si>
  <si>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</si>
  <si>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</si>
  <si>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</si>
  <si>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</si>
  <si>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</si>
  <si>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</si>
  <si>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</si>
  <si>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</si>
  <si>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</si>
  <si>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</si>
  <si>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</si>
  <si>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</si>
  <si>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</si>
  <si>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</si>
  <si>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</si>
  <si>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</si>
  <si>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</si>
  <si>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</si>
  <si>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</si>
  <si>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</si>
  <si>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</si>
  <si>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</si>
  <si>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</si>
  <si>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</si>
  <si>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</si>
  <si>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</si>
  <si>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</si>
  <si>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</si>
  <si>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</si>
  <si>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</si>
  <si>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</si>
  <si>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</si>
  <si>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</si>
  <si>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</si>
  <si>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</si>
  <si>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</si>
  <si>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</si>
  <si>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</si>
  <si>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</si>
  <si>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</si>
  <si>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</si>
  <si>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</si>
  <si>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</si>
  <si>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</si>
  <si>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</si>
  <si>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</si>
  <si>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</si>
  <si>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</si>
  <si>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</si>
  <si>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</si>
  <si>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</si>
  <si>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</si>
  <si>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</si>
  <si>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</si>
  <si>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</si>
  <si>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</si>
  <si>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</si>
  <si>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</si>
  <si>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</si>
  <si>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</si>
  <si>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</si>
  <si>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</si>
  <si>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</si>
  <si>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</si>
  <si>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</si>
  <si>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</si>
  <si>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</si>
  <si>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</si>
  <si>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</si>
  <si>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</si>
  <si>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</si>
  <si>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</si>
  <si>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</si>
  <si>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</si>
  <si>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</si>
  <si>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</si>
  <si>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</si>
  <si>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</si>
  <si>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</si>
  <si>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</si>
  <si>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</si>
  <si>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</si>
  <si>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</si>
  <si>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</si>
  <si>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</si>
  <si>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</si>
  <si>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</si>
  <si>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</si>
  <si>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</si>
  <si>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</si>
  <si>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</si>
  <si>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</si>
  <si>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</si>
  <si>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</si>
  <si>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</si>
  <si>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</si>
  <si>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KENDALL</t>
  </si>
  <si>
    <t>127 SOUTH CANAL</t>
  </si>
  <si>
    <t>NEWARK</t>
  </si>
  <si>
    <t>GASSENSMITH &amp; MICHALESKO, LTD</t>
  </si>
  <si>
    <t>JILL E GASSENSMITH</t>
  </si>
  <si>
    <t>323 SPRINGFIELD AVE</t>
  </si>
  <si>
    <t>JOLIET</t>
  </si>
  <si>
    <t>IL</t>
  </si>
  <si>
    <t>815-744-6200</t>
  </si>
  <si>
    <t>815-744-3822</t>
  </si>
  <si>
    <t>JILLE@GASSENSMITH.COM</t>
  </si>
  <si>
    <t>Newark HS (Newark Elem/Nettle Creek Schools)</t>
  </si>
  <si>
    <t>PMA</t>
  </si>
  <si>
    <t>Regional Office of Ed/Joliet PDA</t>
  </si>
  <si>
    <t>Plano Sp Ed Coop</t>
  </si>
  <si>
    <t>LIFE SAFETY BONDS</t>
  </si>
  <si>
    <t>GO SCHOOL BONDS</t>
  </si>
  <si>
    <t>Payments for special education programs</t>
  </si>
  <si>
    <t>10-4120-300</t>
  </si>
  <si>
    <t>PASEC</t>
  </si>
  <si>
    <t>066-004945</t>
  </si>
  <si>
    <t>Melanie Elias</t>
  </si>
  <si>
    <t>GASSENSMITH &amp; MICHALESKO, LTD.</t>
  </si>
  <si>
    <t>Lisbon CCSD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</si>
</sst>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6CACCFD-BAAC-4DE7-A118-23BD8746299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24047090004</v>
      </c>
      <c r="B13" s="2019"/>
      <c r="C13" s="2019"/>
      <c r="D13" s="2019"/>
      <c r="E13" s="2019"/>
      <c r="F13" s="2019"/>
      <c r="G13" s="2019"/>
      <c r="H13" s="2020"/>
      <c r="I13" s="31"/>
      <c r="J13" s="30"/>
      <c r="K13" s="28"/>
      <c r="L13" s="30"/>
      <c r="M13" s="30"/>
      <c r="N13" s="30"/>
      <c r="O13" s="30"/>
      <c r="P13" s="30"/>
      <c r="Q13" s="30"/>
      <c r="R13" s="30"/>
      <c r="S13" s="30"/>
      <c r="T13" s="2023" t="s">
        <v>2068</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2069</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2088</v>
      </c>
      <c r="B17" s="1978"/>
      <c r="C17" s="1978"/>
      <c r="D17" s="1978"/>
      <c r="E17" s="1978"/>
      <c r="F17" s="1978"/>
      <c r="G17" s="1978"/>
      <c r="H17" s="2003"/>
      <c r="T17" s="2034" t="s">
        <v>2070</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2071</v>
      </c>
      <c r="U19" s="1942"/>
      <c r="V19" s="1942"/>
      <c r="W19" s="1943"/>
      <c r="X19" s="2032" t="s">
        <v>2072</v>
      </c>
      <c r="Y19" s="2033"/>
      <c r="Z19" s="2030">
        <v>60435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41" t="s">
        <v>2073</v>
      </c>
      <c r="U21" s="2042"/>
      <c r="V21" s="2042"/>
      <c r="W21" s="2042"/>
      <c r="X21" s="2047" t="s">
        <v>2074</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2085</v>
      </c>
      <c r="U23" s="2040"/>
      <c r="V23" s="2040"/>
      <c r="W23" s="2040"/>
      <c r="X23" s="2044"/>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60541</v>
      </c>
      <c r="B25" s="1942"/>
      <c r="C25" s="1942"/>
      <c r="D25" s="1942"/>
      <c r="E25" s="1942"/>
      <c r="F25" s="1942"/>
      <c r="G25" s="1942"/>
      <c r="H25" s="1943"/>
      <c r="I25" s="113"/>
      <c r="J25" s="1966"/>
      <c r="K25" s="1966"/>
      <c r="L25" s="1966"/>
      <c r="M25" s="1966"/>
      <c r="N25" s="1966"/>
      <c r="O25" s="1966"/>
      <c r="P25" s="1966"/>
      <c r="Q25" s="1966"/>
      <c r="R25" s="1966"/>
      <c r="S25" s="1967"/>
      <c r="T25" s="2037" t="s">
        <v>2075</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2086</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c r="B42" s="1961"/>
      <c r="C42" s="1962"/>
      <c r="D42" s="1960"/>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68" sqref="C6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609240</v>
      </c>
      <c r="C4" s="1524">
        <v>355970.01</v>
      </c>
      <c r="D4" s="1752">
        <f>B4-C4</f>
        <v>253269.99</v>
      </c>
      <c r="E4" s="1524">
        <v>619128.91</v>
      </c>
      <c r="F4" s="1752">
        <f>E4-C4</f>
        <v>263158.90000000002</v>
      </c>
    </row>
    <row r="5" spans="1:6" ht="13.7" customHeight="1" x14ac:dyDescent="0.2">
      <c r="A5" s="715" t="s">
        <v>870</v>
      </c>
      <c r="B5" s="1750">
        <f>'Revenues 9-14'!D5</f>
        <v>128262</v>
      </c>
      <c r="C5" s="585">
        <v>74941.460000000006</v>
      </c>
      <c r="D5" s="1753">
        <f t="shared" ref="D5:D18" si="0">B5-C5</f>
        <v>53320.539999999994</v>
      </c>
      <c r="E5" s="585">
        <v>130342.93</v>
      </c>
      <c r="F5" s="1753">
        <f>E5-C5</f>
        <v>55401.469999999987</v>
      </c>
    </row>
    <row r="6" spans="1:6" ht="13.7" customHeight="1" x14ac:dyDescent="0.2">
      <c r="A6" s="715" t="s">
        <v>411</v>
      </c>
      <c r="B6" s="1750">
        <f>'Revenues 9-14'!E5</f>
        <v>71748</v>
      </c>
      <c r="C6" s="585">
        <v>43265.61</v>
      </c>
      <c r="D6" s="1753">
        <f t="shared" si="0"/>
        <v>28482.39</v>
      </c>
      <c r="E6" s="585">
        <v>75198.09</v>
      </c>
      <c r="F6" s="1753">
        <f t="shared" ref="F6:F18" si="1">E6-C6</f>
        <v>31932.479999999996</v>
      </c>
    </row>
    <row r="7" spans="1:6" ht="13.7" customHeight="1" x14ac:dyDescent="0.2">
      <c r="A7" s="715" t="s">
        <v>155</v>
      </c>
      <c r="B7" s="1750">
        <f>'Revenues 9-14'!F5</f>
        <v>38479</v>
      </c>
      <c r="C7" s="585">
        <v>22482.22</v>
      </c>
      <c r="D7" s="1753">
        <f t="shared" si="0"/>
        <v>15996.779999999999</v>
      </c>
      <c r="E7" s="585">
        <v>39102.879999999997</v>
      </c>
      <c r="F7" s="1753">
        <f t="shared" si="1"/>
        <v>16620.659999999996</v>
      </c>
    </row>
    <row r="8" spans="1:6" ht="13.7" customHeight="1" x14ac:dyDescent="0.2">
      <c r="A8" s="715" t="s">
        <v>1179</v>
      </c>
      <c r="B8" s="1750">
        <f>'Revenues 9-14'!G5</f>
        <v>15194</v>
      </c>
      <c r="C8" s="585">
        <v>8976.2999999999993</v>
      </c>
      <c r="D8" s="1753">
        <f t="shared" si="0"/>
        <v>6217.7000000000007</v>
      </c>
      <c r="E8" s="585">
        <v>15598.79</v>
      </c>
      <c r="F8" s="1753">
        <f t="shared" si="1"/>
        <v>6622.4900000000016</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16033</v>
      </c>
      <c r="C10" s="585">
        <v>9367.81</v>
      </c>
      <c r="D10" s="1753">
        <f t="shared" si="0"/>
        <v>6665.1900000000005</v>
      </c>
      <c r="E10" s="585">
        <v>16292.87</v>
      </c>
      <c r="F10" s="1753">
        <f t="shared" si="1"/>
        <v>6925.0600000000013</v>
      </c>
    </row>
    <row r="11" spans="1:6" x14ac:dyDescent="0.2">
      <c r="A11" s="715" t="s">
        <v>409</v>
      </c>
      <c r="B11" s="1750">
        <f>'Revenues 9-14'!J5</f>
        <v>39736</v>
      </c>
      <c r="C11" s="585">
        <v>23014.32</v>
      </c>
      <c r="D11" s="1753">
        <f t="shared" si="0"/>
        <v>16721.68</v>
      </c>
      <c r="E11" s="585">
        <v>39998.99</v>
      </c>
      <c r="F11" s="1753">
        <f t="shared" si="1"/>
        <v>16984.669999999998</v>
      </c>
    </row>
    <row r="12" spans="1:6" ht="13.7" customHeight="1" x14ac:dyDescent="0.2">
      <c r="A12" s="715" t="s">
        <v>157</v>
      </c>
      <c r="B12" s="1750">
        <f>'Revenues 9-14'!K5</f>
        <v>16033</v>
      </c>
      <c r="C12" s="585">
        <v>9367.81</v>
      </c>
      <c r="D12" s="1753">
        <f t="shared" si="0"/>
        <v>6665.1900000000005</v>
      </c>
      <c r="E12" s="585">
        <v>16292.87</v>
      </c>
      <c r="F12" s="1753">
        <f t="shared" si="1"/>
        <v>6925.0600000000013</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6413</v>
      </c>
      <c r="C14" s="585">
        <v>3747.13</v>
      </c>
      <c r="D14" s="1753">
        <f t="shared" si="0"/>
        <v>2665.87</v>
      </c>
      <c r="E14" s="585">
        <v>6517.15</v>
      </c>
      <c r="F14" s="1753">
        <f t="shared" si="1"/>
        <v>2770.0199999999995</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15194</v>
      </c>
      <c r="C16" s="585">
        <v>8976.2999999999993</v>
      </c>
      <c r="D16" s="1753">
        <f t="shared" si="0"/>
        <v>6217.7000000000007</v>
      </c>
      <c r="E16" s="585">
        <v>15598.79</v>
      </c>
      <c r="F16" s="1753">
        <f t="shared" si="1"/>
        <v>6622.4900000000016</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956332</v>
      </c>
      <c r="C19" s="1751">
        <f>SUM(C4:C18)</f>
        <v>560108.97000000009</v>
      </c>
      <c r="D19" s="1751">
        <f>SUM(D4:D18)</f>
        <v>396223.02999999997</v>
      </c>
      <c r="E19" s="1751">
        <f>SUM(E4:E18)</f>
        <v>974072.27000000014</v>
      </c>
      <c r="F19" s="1751">
        <f>SUM(F4:F18)</f>
        <v>413963.29999999993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C68" sqref="C6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2080</v>
      </c>
      <c r="B31" s="733">
        <v>40940</v>
      </c>
      <c r="C31" s="734">
        <v>405000</v>
      </c>
      <c r="D31" s="735">
        <v>4</v>
      </c>
      <c r="E31" s="734">
        <v>65000</v>
      </c>
      <c r="F31" s="734"/>
      <c r="G31" s="734"/>
      <c r="H31" s="734">
        <v>65000</v>
      </c>
      <c r="I31" s="1756">
        <f>((E31+F31)-H31)+G31</f>
        <v>0</v>
      </c>
      <c r="J31" s="734"/>
      <c r="K31" s="736"/>
    </row>
    <row r="32" spans="1:11" ht="12" customHeight="1" x14ac:dyDescent="0.2">
      <c r="A32" s="732" t="s">
        <v>2081</v>
      </c>
      <c r="B32" s="733">
        <v>43523</v>
      </c>
      <c r="C32" s="734">
        <v>510000</v>
      </c>
      <c r="D32" s="735">
        <v>2</v>
      </c>
      <c r="E32" s="734"/>
      <c r="F32" s="734">
        <v>510000</v>
      </c>
      <c r="G32" s="734"/>
      <c r="H32" s="734"/>
      <c r="I32" s="1756">
        <f>((E32+F32)-H32)+G32</f>
        <v>510000</v>
      </c>
      <c r="J32" s="734">
        <v>466489</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915000</v>
      </c>
      <c r="D49" s="745"/>
      <c r="E49" s="1756">
        <f t="shared" ref="E49:J49" si="2">SUM(E31:E48)</f>
        <v>65000</v>
      </c>
      <c r="F49" s="1756">
        <f t="shared" si="2"/>
        <v>510000</v>
      </c>
      <c r="G49" s="1756">
        <f t="shared" si="2"/>
        <v>0</v>
      </c>
      <c r="H49" s="1756">
        <f t="shared" si="2"/>
        <v>65000</v>
      </c>
      <c r="I49" s="1756">
        <f t="shared" si="2"/>
        <v>510000</v>
      </c>
      <c r="J49" s="1756">
        <f t="shared" si="2"/>
        <v>466489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3" colorId="8" zoomScale="110" zoomScaleNormal="110" workbookViewId="0">
      <selection activeCell="C68" sqref="C6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v>0</v>
      </c>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6413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6413</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6413</v>
      </c>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6413</v>
      </c>
      <c r="I23" s="1758">
        <f>SUM(I14:I16,I21,I22)</f>
        <v>0</v>
      </c>
      <c r="J23" s="1758">
        <f>SUM(J14:J16,J21,J22)</f>
        <v>0</v>
      </c>
      <c r="K23" s="1758">
        <f>SUM(K14:K16,K21,K22)</f>
        <v>0</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68" sqref="C6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3000</v>
      </c>
      <c r="D5" s="841"/>
      <c r="E5" s="841"/>
      <c r="F5" s="1760">
        <f>(C5+D5)-E5</f>
        <v>3000</v>
      </c>
      <c r="G5" s="837"/>
      <c r="H5" s="842"/>
      <c r="I5" s="842"/>
      <c r="J5" s="842"/>
      <c r="K5" s="793"/>
      <c r="L5" s="1769">
        <f>F5-K5</f>
        <v>3000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1462975</v>
      </c>
      <c r="D8" s="844"/>
      <c r="E8" s="844"/>
      <c r="F8" s="1760">
        <f>(C8+D8)-E8</f>
        <v>1462975</v>
      </c>
      <c r="G8" s="843">
        <v>50</v>
      </c>
      <c r="H8" s="765">
        <v>675451</v>
      </c>
      <c r="I8" s="765">
        <v>31324</v>
      </c>
      <c r="J8" s="765"/>
      <c r="K8" s="1769">
        <f>(H8+I8)-J8</f>
        <v>706775</v>
      </c>
      <c r="L8" s="1769">
        <f>F8-K8</f>
        <v>756200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151607</v>
      </c>
      <c r="D10" s="846"/>
      <c r="E10" s="846"/>
      <c r="F10" s="1764">
        <f>(C10+D10)-E10</f>
        <v>151607</v>
      </c>
      <c r="G10" s="843">
        <v>20</v>
      </c>
      <c r="H10" s="847">
        <v>41063</v>
      </c>
      <c r="I10" s="847">
        <v>7608</v>
      </c>
      <c r="J10" s="847"/>
      <c r="K10" s="1769">
        <f>(H10+I10)-J10</f>
        <v>48671</v>
      </c>
      <c r="L10" s="1769">
        <f>F10-K10</f>
        <v>102936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264518</v>
      </c>
      <c r="D12" s="844">
        <v>6200</v>
      </c>
      <c r="E12" s="844"/>
      <c r="F12" s="1760">
        <f>(C12+D12)-E12</f>
        <v>270718</v>
      </c>
      <c r="G12" s="843">
        <v>10</v>
      </c>
      <c r="H12" s="765">
        <v>251337</v>
      </c>
      <c r="I12" s="765">
        <v>3601</v>
      </c>
      <c r="J12" s="765"/>
      <c r="K12" s="1769">
        <f>(H12+I12)-J12</f>
        <v>254938</v>
      </c>
      <c r="L12" s="1769">
        <f>F12-K12</f>
        <v>15780</v>
      </c>
    </row>
    <row r="13" spans="1:14" ht="14.25" thickTop="1" thickBot="1" x14ac:dyDescent="0.25">
      <c r="A13" s="848" t="s">
        <v>1122</v>
      </c>
      <c r="B13" s="840">
        <v>252</v>
      </c>
      <c r="C13" s="844">
        <v>11802</v>
      </c>
      <c r="D13" s="844"/>
      <c r="E13" s="844"/>
      <c r="F13" s="1760">
        <f>(C13+D13)-E13</f>
        <v>11802</v>
      </c>
      <c r="G13" s="843">
        <v>5</v>
      </c>
      <c r="H13" s="765">
        <v>7602</v>
      </c>
      <c r="I13" s="765">
        <v>1034</v>
      </c>
      <c r="J13" s="765"/>
      <c r="K13" s="1769">
        <f>(H13+I13)-J13</f>
        <v>8636</v>
      </c>
      <c r="L13" s="1769">
        <f>F13-K13</f>
        <v>3166</v>
      </c>
    </row>
    <row r="14" spans="1:14" ht="14.25" thickTop="1" thickBot="1" x14ac:dyDescent="0.25">
      <c r="A14" s="848" t="s">
        <v>1123</v>
      </c>
      <c r="B14" s="840">
        <v>253</v>
      </c>
      <c r="C14" s="765">
        <v>2657</v>
      </c>
      <c r="D14" s="765"/>
      <c r="E14" s="765"/>
      <c r="F14" s="1760">
        <f>(C14+D14)-E14</f>
        <v>2657</v>
      </c>
      <c r="G14" s="843">
        <v>3</v>
      </c>
      <c r="H14" s="765">
        <v>2657</v>
      </c>
      <c r="I14" s="765"/>
      <c r="J14" s="765"/>
      <c r="K14" s="1769">
        <f>(H14+I14)-J14</f>
        <v>2657</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1896559</v>
      </c>
      <c r="D16" s="1760">
        <f>SUM(D3,D5:D6,D8:D10,D12:D15)</f>
        <v>6200</v>
      </c>
      <c r="E16" s="1760">
        <f>SUM(E3,E5:E6,E8:E10,E12:E15)</f>
        <v>0</v>
      </c>
      <c r="F16" s="1760">
        <f>SUM(F3,F5:F6,F8:F10,F12:F15)</f>
        <v>1902759</v>
      </c>
      <c r="G16" s="843"/>
      <c r="H16" s="1760">
        <f>SUM(H3,H6,H8:H10,H12:H14,)</f>
        <v>978110</v>
      </c>
      <c r="I16" s="1760">
        <f>SUM(I3,I6,I8:I10,I12:I14,)</f>
        <v>43567</v>
      </c>
      <c r="J16" s="1760">
        <f>SUM(J3,J6,J8:J10,J12:J14,)</f>
        <v>0</v>
      </c>
      <c r="K16" s="1760">
        <f>(H16+I16)-J16</f>
        <v>1021677</v>
      </c>
      <c r="L16" s="1760">
        <f>F16-K16</f>
        <v>881082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4088</v>
      </c>
      <c r="G17" s="837">
        <v>10</v>
      </c>
      <c r="H17" s="769"/>
      <c r="I17" s="1769">
        <f>F17/G17</f>
        <v>408.8</v>
      </c>
      <c r="J17" s="769"/>
      <c r="K17" s="795"/>
      <c r="L17" s="795"/>
    </row>
    <row r="18" spans="1:12" ht="14.25" thickTop="1" thickBot="1" x14ac:dyDescent="0.25">
      <c r="A18" s="1767" t="s">
        <v>685</v>
      </c>
      <c r="B18" s="1768"/>
      <c r="C18" s="771"/>
      <c r="D18" s="771"/>
      <c r="E18" s="771"/>
      <c r="F18" s="850"/>
      <c r="G18" s="851"/>
      <c r="H18" s="773"/>
      <c r="I18" s="1760">
        <f>SUM(I16,I17)</f>
        <v>43975.8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C68" sqref="C68"/>
      <selection pane="bottomLeft" activeCell="C68" sqref="C6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858970</v>
      </c>
      <c r="G8" s="865"/>
    </row>
    <row r="9" spans="1:7" x14ac:dyDescent="0.2">
      <c r="A9" s="869" t="s">
        <v>460</v>
      </c>
      <c r="B9" s="870" t="s">
        <v>1877</v>
      </c>
      <c r="C9" s="871"/>
      <c r="D9" s="869" t="s">
        <v>501</v>
      </c>
      <c r="E9" s="868"/>
      <c r="F9" s="1909">
        <f>'Expenditures 15-22'!K151</f>
        <v>124189</v>
      </c>
      <c r="G9" s="872"/>
    </row>
    <row r="10" spans="1:7" x14ac:dyDescent="0.2">
      <c r="A10" s="869" t="s">
        <v>499</v>
      </c>
      <c r="B10" s="870" t="s">
        <v>1878</v>
      </c>
      <c r="C10" s="871"/>
      <c r="D10" s="869" t="s">
        <v>501</v>
      </c>
      <c r="E10" s="868"/>
      <c r="F10" s="1909">
        <f>'Expenditures 15-22'!K174</f>
        <v>66930</v>
      </c>
      <c r="G10" s="872"/>
    </row>
    <row r="11" spans="1:7" x14ac:dyDescent="0.2">
      <c r="A11" s="869" t="s">
        <v>461</v>
      </c>
      <c r="B11" s="870" t="s">
        <v>1879</v>
      </c>
      <c r="C11" s="871"/>
      <c r="D11" s="869" t="s">
        <v>501</v>
      </c>
      <c r="E11" s="868"/>
      <c r="F11" s="1909">
        <f>'Expenditures 15-22'!K210</f>
        <v>66334</v>
      </c>
      <c r="G11" s="872"/>
    </row>
    <row r="12" spans="1:7" x14ac:dyDescent="0.2">
      <c r="A12" s="869" t="s">
        <v>462</v>
      </c>
      <c r="B12" s="870" t="s">
        <v>1880</v>
      </c>
      <c r="C12" s="871"/>
      <c r="D12" s="869" t="s">
        <v>501</v>
      </c>
      <c r="E12" s="868"/>
      <c r="F12" s="1909">
        <f>'Expenditures 15-22'!K295</f>
        <v>34872</v>
      </c>
      <c r="G12" s="872"/>
    </row>
    <row r="13" spans="1:7" x14ac:dyDescent="0.2">
      <c r="A13" s="869" t="s">
        <v>106</v>
      </c>
      <c r="B13" s="870" t="s">
        <v>1881</v>
      </c>
      <c r="C13" s="871"/>
      <c r="D13" s="869" t="s">
        <v>501</v>
      </c>
      <c r="E13" s="868"/>
      <c r="F13" s="1909">
        <f>'Expenditures 15-22'!K342</f>
        <v>37145</v>
      </c>
      <c r="G13" s="873"/>
    </row>
    <row r="14" spans="1:7" ht="12" customHeight="1" thickBot="1" x14ac:dyDescent="0.25">
      <c r="A14" s="1770"/>
      <c r="B14" s="1771"/>
      <c r="C14" s="1772"/>
      <c r="D14" s="1773" t="s">
        <v>501</v>
      </c>
      <c r="E14" s="1774" t="s">
        <v>958</v>
      </c>
      <c r="F14" s="1775">
        <f>SUM(F8:F13)</f>
        <v>1188440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73192</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2663</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1425</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65000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142280</v>
      </c>
      <c r="G76" s="865"/>
    </row>
    <row r="77" spans="1:8" s="893" customFormat="1" ht="12" customHeight="1" thickTop="1" thickBot="1" x14ac:dyDescent="0.25">
      <c r="A77" s="1779"/>
      <c r="B77" s="1776"/>
      <c r="C77" s="1772"/>
      <c r="D77" s="1777" t="s">
        <v>1900</v>
      </c>
      <c r="E77" s="1774"/>
      <c r="F77" s="1780">
        <f>(F14-F76)</f>
        <v>1046160</v>
      </c>
      <c r="G77" s="869"/>
    </row>
    <row r="78" spans="1:8" s="893" customFormat="1" ht="12" customHeight="1" thickTop="1" x14ac:dyDescent="0.2">
      <c r="A78" s="1781"/>
      <c r="B78" s="1776"/>
      <c r="C78" s="1772"/>
      <c r="D78" s="1777" t="s">
        <v>2062</v>
      </c>
      <c r="E78" s="1774"/>
      <c r="F78" s="898">
        <v>103</v>
      </c>
      <c r="G78" s="899"/>
      <c r="H78" s="869"/>
    </row>
    <row r="79" spans="1:8" s="893" customFormat="1" ht="12" customHeight="1" thickBot="1" x14ac:dyDescent="0.25">
      <c r="A79" s="1782"/>
      <c r="B79" s="1776"/>
      <c r="C79" s="1772"/>
      <c r="D79" s="1777" t="s">
        <v>1901</v>
      </c>
      <c r="E79" s="1774" t="s">
        <v>958</v>
      </c>
      <c r="F79" s="1783">
        <f>IF(F78&gt;0,F77/F78," Complete Line 78")</f>
        <v>10156.893203883496</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37240</v>
      </c>
      <c r="G94" s="912"/>
    </row>
    <row r="95" spans="1:7" x14ac:dyDescent="0.2">
      <c r="A95" s="908" t="s">
        <v>140</v>
      </c>
      <c r="B95" s="908" t="s">
        <v>175</v>
      </c>
      <c r="C95" s="910">
        <v>1700</v>
      </c>
      <c r="D95" s="918" t="str">
        <f>'Revenues 9-14'!A82</f>
        <v>Total District/School Activity Income</v>
      </c>
      <c r="E95" s="906"/>
      <c r="F95" s="1789">
        <f>SUM('Revenues 9-14'!C82,'Revenues 9-14'!D82)</f>
        <v>5956</v>
      </c>
      <c r="G95" s="912"/>
    </row>
    <row r="96" spans="1:7" x14ac:dyDescent="0.2">
      <c r="A96" s="908" t="s">
        <v>459</v>
      </c>
      <c r="B96" s="908" t="s">
        <v>176</v>
      </c>
      <c r="C96" s="910">
        <f>'Revenues 9-14'!B84</f>
        <v>1811</v>
      </c>
      <c r="D96" s="911" t="str">
        <f>'Revenues 9-14'!A84</f>
        <v>Rentals - Regular Textbooks</v>
      </c>
      <c r="E96" s="906"/>
      <c r="F96" s="1789">
        <f>'Revenues 9-14'!C84</f>
        <v>4981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120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500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104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50645</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9537</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2079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23728</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134890</v>
      </c>
    </row>
    <row r="175" spans="1:7" ht="12" customHeight="1" x14ac:dyDescent="0.2">
      <c r="A175" s="1770"/>
      <c r="B175" s="1784"/>
      <c r="C175" s="1785"/>
      <c r="D175" s="1786" t="s">
        <v>2057</v>
      </c>
      <c r="E175" s="1787"/>
      <c r="F175" s="1789">
        <f>'PCTC-OEPP 27-28'!F77-F174</f>
        <v>911270</v>
      </c>
    </row>
    <row r="176" spans="1:7" ht="12" customHeight="1" x14ac:dyDescent="0.2">
      <c r="A176" s="1770"/>
      <c r="B176" s="1784"/>
      <c r="C176" s="1785"/>
      <c r="D176" s="1786" t="s">
        <v>1817</v>
      </c>
      <c r="E176" s="1787"/>
      <c r="F176" s="1789">
        <f>'Cap Outlay Deprec 26'!I18</f>
        <v>43975.8</v>
      </c>
    </row>
    <row r="177" spans="1:7" ht="12" customHeight="1" x14ac:dyDescent="0.2">
      <c r="A177" s="1770"/>
      <c r="B177" s="1784"/>
      <c r="C177" s="1785"/>
      <c r="D177" s="1786" t="s">
        <v>2058</v>
      </c>
      <c r="E177" s="1787"/>
      <c r="F177" s="1789">
        <f>F175+F176</f>
        <v>955245.8</v>
      </c>
    </row>
    <row r="178" spans="1:7" ht="12" customHeight="1" x14ac:dyDescent="0.2">
      <c r="A178" s="1770"/>
      <c r="B178" s="1790"/>
      <c r="C178" s="1785"/>
      <c r="D178" s="1786" t="str">
        <f>D78</f>
        <v>9 Month ADA from District Average Daily Attendance/Prior General State Aid Inquiry 2018-2019</v>
      </c>
      <c r="E178" s="1787"/>
      <c r="F178" s="1791">
        <f>'PCTC-OEPP 27-28'!F78</f>
        <v>103</v>
      </c>
      <c r="G178" s="930"/>
    </row>
    <row r="179" spans="1:7" ht="12" customHeight="1" thickBot="1" x14ac:dyDescent="0.25">
      <c r="A179" s="1770"/>
      <c r="B179" s="1790"/>
      <c r="C179" s="1785"/>
      <c r="D179" s="1786" t="s">
        <v>2059</v>
      </c>
      <c r="E179" s="1787" t="s">
        <v>1545</v>
      </c>
      <c r="F179" s="1792">
        <f>F177/F178</f>
        <v>9274.2310679611655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68" sqref="C6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2082</v>
      </c>
      <c r="B17" s="1939" t="s">
        <v>2083</v>
      </c>
      <c r="C17" s="1940" t="s">
        <v>2084</v>
      </c>
      <c r="D17" s="1844">
        <v>57251</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57251</v>
      </c>
      <c r="E141" s="1541">
        <f t="shared" si="0"/>
        <v>25000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C68" sqref="C6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26696</v>
      </c>
      <c r="F10" s="974"/>
      <c r="G10" s="975"/>
      <c r="H10" s="162"/>
      <c r="I10" s="162"/>
    </row>
    <row r="11" spans="1:9" s="668" customFormat="1" ht="22.5" customHeight="1" x14ac:dyDescent="0.2">
      <c r="A11" s="2287" t="s">
        <v>1977</v>
      </c>
      <c r="B11" s="2288"/>
      <c r="C11" s="2288"/>
      <c r="D11" s="2289"/>
      <c r="E11" s="977">
        <v>4107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602976</v>
      </c>
      <c r="F19" s="1799"/>
      <c r="G19" s="1801">
        <f>'Expenditures 15-22'!K33-SUM('Expenditures 15-22'!G33,'Expenditures 15-22'!I33)+'Expenditures 15-22'!D229</f>
        <v>602976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1673</v>
      </c>
      <c r="F21" s="1802"/>
      <c r="G21" s="1805">
        <f>'Expenditures 15-22'!K42-SUM('Expenditures 15-22'!G42,'Expenditures 15-22'!I42)+'Expenditures 15-22'!K120-SUM('Expenditures 15-22'!G120,'Expenditures 15-22'!I120)+'Expenditures 15-22'!K180-SUM('Expenditures 15-22'!G180,'Expenditures 15-22'!I180)+'Expenditures 15-22'!D238</f>
        <v>1673</v>
      </c>
      <c r="H21" s="987"/>
      <c r="I21" s="162"/>
    </row>
    <row r="22" spans="1:9" s="668" customFormat="1" ht="12" customHeight="1" x14ac:dyDescent="0.2">
      <c r="A22" s="994" t="s">
        <v>564</v>
      </c>
      <c r="B22" s="995"/>
      <c r="C22" s="993">
        <v>2200</v>
      </c>
      <c r="D22" s="1802"/>
      <c r="E22" s="1804">
        <f>'Expenditures 15-22'!K47-SUM('Expenditures 15-22'!G47,'Expenditures 15-22'!I47)+'Expenditures 15-22'!D243</f>
        <v>17259</v>
      </c>
      <c r="F22" s="1802"/>
      <c r="G22" s="1805">
        <f>'Expenditures 15-22'!K47-SUM('Expenditures 15-22'!G47,'Expenditures 15-22'!I47)+'Expenditures 15-22'!D243</f>
        <v>17259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114814</v>
      </c>
      <c r="F23" s="1802"/>
      <c r="G23" s="1804">
        <f>'Expenditures 15-22'!K53-SUM('Expenditures 15-22'!G53,'Expenditures 15-22'!I53)+'Expenditures 15-22'!D257+'Expenditures 15-22'!K330-SUM('Expenditures 15-22'!G330,'Expenditures 15-22'!I330)</f>
        <v>114814</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4164</v>
      </c>
      <c r="E26" s="1804">
        <f>'Expenditures 15-22'!K122-SUM('Expenditures 15-22'!G122,'Expenditures 15-22'!I122)+E7</f>
        <v>34981</v>
      </c>
      <c r="F26" s="1804">
        <f>'Expenditures 15-22'!K59-SUM('Expenditures 15-22'!G59,'Expenditures 15-22'!I59)+'Expenditures 15-22'!D263-E7</f>
        <v>4164</v>
      </c>
      <c r="G26" s="1805">
        <f>'Expenditures 15-22'!K122-SUM('Expenditures 15-22'!G122,'Expenditures 15-22'!I122)+E7</f>
        <v>34981</v>
      </c>
      <c r="H26" s="987"/>
      <c r="I26" s="162"/>
    </row>
    <row r="27" spans="1:9" s="668" customFormat="1" ht="12" customHeight="1" x14ac:dyDescent="0.2">
      <c r="A27" s="994" t="s">
        <v>463</v>
      </c>
      <c r="B27" s="997"/>
      <c r="C27" s="993">
        <v>2520</v>
      </c>
      <c r="D27" s="1804">
        <f>'Expenditures 15-22'!K60-SUM('Expenditures 15-22'!G60,'Expenditures 15-22'!I60)+'Expenditures 15-22'!D264-E8</f>
        <v>39097</v>
      </c>
      <c r="E27" s="1804">
        <f>E8</f>
        <v>0</v>
      </c>
      <c r="F27" s="1804">
        <f>'Expenditures 15-22'!K60-SUM('Expenditures 15-22'!G60,'Expenditures 15-22'!I60)+'Expenditures 15-22'!D264-E8</f>
        <v>39097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94436</v>
      </c>
      <c r="F28" s="1806">
        <f>'Expenditures 15-22'!K61-SUM('Expenditures 15-22'!G61,'Expenditures 15-22'!I61)+'Expenditures 15-22'!K124-SUM('Expenditures 15-22'!G124,'Expenditures 15-22'!I124)+'Expenditures 15-22'!D266-E9</f>
        <v>94436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70839</v>
      </c>
      <c r="F29" s="1802"/>
      <c r="G29" s="1805">
        <f>'Expenditures 15-22'!K62-SUM('Expenditures 15-22'!G62,'Expenditures 15-22'!I62)+'Expenditures 15-22'!K125-SUM('Expenditures 15-22'!G125,'Expenditures 15-22'!I125)+'Expenditures 15-22'!K182-SUM('Expenditures 15-22'!G182,'Expenditures 15-22'!I182)+'Expenditures 15-22'!D267</f>
        <v>70839</v>
      </c>
      <c r="H29" s="985"/>
    </row>
    <row r="30" spans="1:9" ht="12" customHeight="1" x14ac:dyDescent="0.2">
      <c r="A30" s="994" t="s">
        <v>100</v>
      </c>
      <c r="B30" s="997"/>
      <c r="C30" s="993">
        <v>2560</v>
      </c>
      <c r="D30" s="1802"/>
      <c r="E30" s="1804">
        <f>'Expenditures 15-22'!K63-SUM('Expenditures 15-22'!G63,'Expenditures 15-22'!I63)+'Expenditures 15-22'!D268-E10</f>
        <v>37295</v>
      </c>
      <c r="F30" s="1802"/>
      <c r="G30" s="1804">
        <f>'Expenditures 15-22'!K63-SUM('Expenditures 15-22'!G63,'Expenditures 15-22'!I63)+'Expenditures 15-22'!D268-E10</f>
        <v>37295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43261</v>
      </c>
      <c r="E41" s="1806">
        <f>SUM(E19:E40)</f>
        <v>974273</v>
      </c>
      <c r="F41" s="1806">
        <f>SUM(F19:F39)</f>
        <v>137697</v>
      </c>
      <c r="G41" s="1806">
        <f>SUM(G19:G40)</f>
        <v>879837</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43261</v>
      </c>
      <c r="F43" s="1807" t="s">
        <v>473</v>
      </c>
      <c r="G43" s="1808">
        <f>F41</f>
        <v>137697</v>
      </c>
    </row>
    <row r="44" spans="1:7" ht="12" customHeight="1" x14ac:dyDescent="0.2">
      <c r="A44" s="987"/>
      <c r="B44" s="162"/>
      <c r="C44" s="1001"/>
      <c r="D44" s="1807" t="s">
        <v>474</v>
      </c>
      <c r="E44" s="1808">
        <f>E41</f>
        <v>974273</v>
      </c>
      <c r="F44" s="1807" t="s">
        <v>474</v>
      </c>
      <c r="G44" s="1808">
        <f>G41</f>
        <v>879837</v>
      </c>
    </row>
    <row r="45" spans="1:7" ht="12" customHeight="1" x14ac:dyDescent="0.2">
      <c r="A45" s="987"/>
      <c r="B45" s="162"/>
      <c r="C45" s="162"/>
      <c r="D45" s="1809" t="s">
        <v>1006</v>
      </c>
      <c r="E45" s="1810">
        <f>(E43/E44)</f>
        <v>4.4403365381161131E-2</v>
      </c>
      <c r="F45" s="1809" t="s">
        <v>1006</v>
      </c>
      <c r="G45" s="1810">
        <f>(G43/G44)</f>
        <v>0.15650285223285676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C68" sqref="C68"/>
      <selection pane="bottomLeft" activeCell="C68" sqref="C6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Lisbon CCSD 90</v>
      </c>
      <c r="D6" s="2308"/>
      <c r="E6" s="2308"/>
      <c r="F6" s="1852"/>
    </row>
    <row r="7" spans="1:10" ht="11.25" customHeight="1" thickBot="1" x14ac:dyDescent="0.3">
      <c r="A7" s="1850"/>
      <c r="B7" s="1851"/>
      <c r="C7" s="2309">
        <f>COVER!A13</f>
        <v>24047090004</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2064</v>
      </c>
      <c r="D11" s="1865" t="s">
        <v>2064</v>
      </c>
      <c r="E11" s="1866" t="s">
        <v>2064</v>
      </c>
      <c r="F11" s="1867" t="s">
        <v>2076</v>
      </c>
      <c r="H11" s="1878">
        <f>IF(C11="X",5,0)</f>
        <v>5</v>
      </c>
      <c r="I11" s="1878">
        <f>IF(D11="X",5,0)</f>
        <v>5</v>
      </c>
      <c r="J11" s="1878">
        <f>IF(E11="X",5,0)</f>
        <v>5</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t="s">
        <v>2064</v>
      </c>
      <c r="D20" s="1865" t="s">
        <v>2064</v>
      </c>
      <c r="E20" s="1868" t="s">
        <v>2064</v>
      </c>
      <c r="F20" s="1867" t="s">
        <v>2077</v>
      </c>
      <c r="H20" s="1878">
        <f t="shared" si="0"/>
        <v>5</v>
      </c>
      <c r="I20" s="1878">
        <f t="shared" si="1"/>
        <v>5</v>
      </c>
      <c r="J20" s="1878">
        <f t="shared" si="2"/>
        <v>5</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2064</v>
      </c>
      <c r="D24" s="1865" t="s">
        <v>2064</v>
      </c>
      <c r="E24" s="1868" t="s">
        <v>2064</v>
      </c>
      <c r="F24" s="1867" t="s">
        <v>2078</v>
      </c>
      <c r="H24" s="1878">
        <f t="shared" si="0"/>
        <v>5</v>
      </c>
      <c r="I24" s="1878">
        <f t="shared" si="1"/>
        <v>5</v>
      </c>
      <c r="J24" s="1878">
        <f t="shared" si="2"/>
        <v>5</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2079</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68" sqref="C6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Lisbon CCSD 90</v>
      </c>
      <c r="J6" s="2318"/>
      <c r="Q6" s="1664"/>
    </row>
    <row r="7" spans="1:17" x14ac:dyDescent="0.2">
      <c r="A7" s="2319" t="s">
        <v>869</v>
      </c>
      <c r="B7" s="2320"/>
      <c r="C7" s="2320"/>
      <c r="D7" s="2320"/>
      <c r="E7" s="2321"/>
      <c r="F7" s="1017"/>
      <c r="G7" s="1009"/>
      <c r="H7" s="1016" t="s">
        <v>372</v>
      </c>
      <c r="I7" s="2322">
        <f>COVER!A13</f>
        <v>24047090004</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63298</v>
      </c>
      <c r="F12" s="1039"/>
      <c r="G12" s="1811">
        <f t="shared" ref="G12:G18" si="0">SUM(E12:F12)</f>
        <v>63298</v>
      </c>
      <c r="H12" s="1040">
        <v>67649</v>
      </c>
      <c r="I12" s="1039"/>
      <c r="J12" s="1811">
        <f t="shared" ref="J12:J18" si="1">SUM(H12:I12)</f>
        <v>67649</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34981</v>
      </c>
      <c r="G15" s="1811">
        <f t="shared" si="0"/>
        <v>34981</v>
      </c>
      <c r="H15" s="1040"/>
      <c r="I15" s="1040">
        <v>35550</v>
      </c>
      <c r="J15" s="1811">
        <f t="shared" si="1"/>
        <v>35550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63298</v>
      </c>
      <c r="F19" s="1813">
        <f t="shared" si="2"/>
        <v>34981</v>
      </c>
      <c r="G19" s="1813">
        <f t="shared" si="2"/>
        <v>98279</v>
      </c>
      <c r="H19" s="1813">
        <f t="shared" si="2"/>
        <v>67649</v>
      </c>
      <c r="I19" s="1813">
        <f t="shared" si="2"/>
        <v>35550</v>
      </c>
      <c r="J19" s="1813">
        <f t="shared" si="2"/>
        <v>103199</v>
      </c>
    </row>
    <row r="20" spans="1:10" ht="13.5" thickTop="1" x14ac:dyDescent="0.2">
      <c r="A20" s="1035">
        <v>9</v>
      </c>
      <c r="B20" s="2329" t="s">
        <v>1981</v>
      </c>
      <c r="C20" s="2329"/>
      <c r="D20" s="2330"/>
      <c r="E20" s="1046"/>
      <c r="F20" s="1046"/>
      <c r="G20" s="1046"/>
      <c r="H20" s="1046"/>
      <c r="I20" s="1046"/>
      <c r="J20" s="1814">
        <f>IF(AND(G19&gt;0,J19&gt;0),(((J19-G19)/G19)),"Enter Budget Data")</f>
        <v>5.0061559437926721E-2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68" sqref="C6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Lisbon CCSD 90</v>
      </c>
    </row>
    <row r="65" spans="2:2" x14ac:dyDescent="0.2">
      <c r="B65" s="1070">
        <f>COVER!A13</f>
        <v>24047090004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68" sqref="C6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68" sqref="C6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6</xdr:row>
                <xdr:rowOff>0</xdr:rowOff>
              </from>
              <to>
                <xdr:col>1</xdr:col>
                <xdr:colOff>914400</xdr:colOff>
                <xdr:row>10</xdr:row>
                <xdr:rowOff>123825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68" sqref="C6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867592</v>
      </c>
      <c r="C8" s="1815">
        <f>'Acct Summary 7-8'!D8</f>
        <v>132115</v>
      </c>
      <c r="D8" s="1815">
        <f>'Acct Summary 7-8'!F8</f>
        <v>90598</v>
      </c>
      <c r="E8" s="1815">
        <f>'Acct Summary 7-8'!I8</f>
        <v>16060</v>
      </c>
      <c r="F8" s="1815">
        <f>SUM(B8:E8)</f>
        <v>1106365</v>
      </c>
    </row>
    <row r="9" spans="1:8" s="1079" customFormat="1" ht="14.25" customHeight="1" thickBot="1" x14ac:dyDescent="0.25">
      <c r="A9" s="1078" t="s">
        <v>1369</v>
      </c>
      <c r="B9" s="1816">
        <f>'Acct Summary 7-8'!C17</f>
        <v>858970</v>
      </c>
      <c r="C9" s="1816">
        <f>'Acct Summary 7-8'!D17</f>
        <v>124189</v>
      </c>
      <c r="D9" s="1816">
        <f>'Acct Summary 7-8'!F17</f>
        <v>66334</v>
      </c>
      <c r="E9" s="1815"/>
      <c r="F9" s="1815">
        <f>SUM(B9:E9)</f>
        <v>1049493</v>
      </c>
    </row>
    <row r="10" spans="1:8" s="1079" customFormat="1" ht="14.25" thickTop="1" thickBot="1" x14ac:dyDescent="0.25">
      <c r="A10" s="1080" t="s">
        <v>1370</v>
      </c>
      <c r="B10" s="1817">
        <f>(B8-B9)</f>
        <v>8622</v>
      </c>
      <c r="C10" s="1817">
        <f>(C8-C9)</f>
        <v>7926</v>
      </c>
      <c r="D10" s="1817">
        <f>(D8-D9)</f>
        <v>24264</v>
      </c>
      <c r="E10" s="1816">
        <f>(E8-E9)</f>
        <v>16060</v>
      </c>
      <c r="F10" s="1818">
        <f>SUM(F8-F9)</f>
        <v>56872</v>
      </c>
    </row>
    <row r="11" spans="1:8" s="1079" customFormat="1" ht="14.25" thickTop="1" thickBot="1" x14ac:dyDescent="0.25">
      <c r="A11" s="1081" t="s">
        <v>1985</v>
      </c>
      <c r="B11" s="1819">
        <f>'Acct Summary 7-8'!C81</f>
        <v>198481</v>
      </c>
      <c r="C11" s="1819">
        <f>'Acct Summary 7-8'!D81</f>
        <v>422021</v>
      </c>
      <c r="D11" s="1819">
        <f>'Acct Summary 7-8'!F81</f>
        <v>149247</v>
      </c>
      <c r="E11" s="1819">
        <f>'Acct Summary 7-8'!I81</f>
        <v>29983</v>
      </c>
      <c r="F11" s="1820">
        <f>SUM(B11:E11)</f>
        <v>799732</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C86" sqref="C8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24047090004</v>
      </c>
    </row>
    <row r="3" spans="1:2" x14ac:dyDescent="0.2">
      <c r="A3" t="s">
        <v>956</v>
      </c>
      <c r="B3" s="138" t="str">
        <f>COVER!A15</f>
        <v>KENDALL</v>
      </c>
    </row>
    <row r="4" spans="1:2" x14ac:dyDescent="0.2">
      <c r="A4" t="s">
        <v>1007</v>
      </c>
      <c r="B4" s="138" t="str">
        <f>COVER!A17</f>
        <v>Lisbon CCSD 90</v>
      </c>
    </row>
    <row r="5" spans="1:2" x14ac:dyDescent="0.2">
      <c r="A5" t="s">
        <v>704</v>
      </c>
      <c r="B5" s="138" t="str">
        <f>COVER!A38</f>
        <v>Melanie Elias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JILL E GASSENSMITH</v>
      </c>
    </row>
    <row r="18" spans="1:2" x14ac:dyDescent="0.2">
      <c r="A18" t="s">
        <v>1150</v>
      </c>
      <c r="B18" s="138" t="str">
        <f>COVER!T17</f>
        <v>323 SPRINGFIELD AVE</v>
      </c>
    </row>
    <row r="19" spans="1:2" x14ac:dyDescent="0.2">
      <c r="A19" t="s">
        <v>886</v>
      </c>
      <c r="B19" s="138" t="str">
        <f>COVER!T25</f>
        <v>JILLE@GASSENSMITH.COM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198481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198481</v>
      </c>
      <c r="D92" s="2" t="str">
        <f t="shared" si="0"/>
        <v>Error?</v>
      </c>
    </row>
    <row r="93" spans="1:4" x14ac:dyDescent="0.2">
      <c r="A93" s="5">
        <v>32</v>
      </c>
      <c r="B93" s="138">
        <f>'Assets-Liab 5-6'!C41</f>
        <v>198481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422021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422021</v>
      </c>
      <c r="D123" s="2" t="str">
        <f t="shared" si="0"/>
        <v>Error?</v>
      </c>
    </row>
    <row r="124" spans="1:4" x14ac:dyDescent="0.2">
      <c r="A124" s="5">
        <v>63</v>
      </c>
      <c r="B124" s="138">
        <f>'Assets-Liab 5-6'!D41</f>
        <v>422021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43511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43511</v>
      </c>
      <c r="D140" s="2" t="str">
        <f t="shared" si="1"/>
        <v>Error?</v>
      </c>
    </row>
    <row r="141" spans="1:4" x14ac:dyDescent="0.2">
      <c r="A141" s="5">
        <v>80</v>
      </c>
      <c r="B141" s="138">
        <f>'Assets-Liab 5-6'!E41</f>
        <v>43511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149247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149247</v>
      </c>
      <c r="D170" s="2" t="str">
        <f t="shared" si="1"/>
        <v>Error?</v>
      </c>
    </row>
    <row r="171" spans="1:4" x14ac:dyDescent="0.2">
      <c r="A171" s="5">
        <v>110</v>
      </c>
      <c r="B171" s="138">
        <f>'Assets-Liab 5-6'!F41</f>
        <v>149247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55928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55928</v>
      </c>
      <c r="D189" s="2" t="str">
        <f t="shared" si="1"/>
        <v>Error?</v>
      </c>
    </row>
    <row r="190" spans="1:4" x14ac:dyDescent="0.2">
      <c r="A190" s="5">
        <v>129</v>
      </c>
      <c r="B190" s="138">
        <f>'Assets-Liab 5-6'!G41</f>
        <v>55928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3000</v>
      </c>
      <c r="D273" s="2" t="str">
        <f t="shared" si="3"/>
        <v>Error?</v>
      </c>
    </row>
    <row r="274" spans="1:4" x14ac:dyDescent="0.2">
      <c r="A274" s="5">
        <v>213</v>
      </c>
      <c r="B274" s="138">
        <f>'Assets-Liab 5-6'!M17</f>
        <v>1462795</v>
      </c>
      <c r="D274" s="2" t="str">
        <f t="shared" si="3"/>
        <v>Error?</v>
      </c>
    </row>
    <row r="275" spans="1:4" x14ac:dyDescent="0.2">
      <c r="A275" s="5">
        <v>214</v>
      </c>
      <c r="B275" s="138">
        <f>'Assets-Liab 5-6'!M18</f>
        <v>151607</v>
      </c>
      <c r="D275" s="2" t="str">
        <f t="shared" si="3"/>
        <v>Error?</v>
      </c>
    </row>
    <row r="276" spans="1:4" x14ac:dyDescent="0.2">
      <c r="A276" s="5">
        <v>215</v>
      </c>
      <c r="B276" s="138">
        <f>'Assets-Liab 5-6'!M19</f>
        <v>285177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1902579</v>
      </c>
      <c r="C279" s="2" t="s">
        <v>573</v>
      </c>
      <c r="D279" s="2" t="str">
        <f t="shared" si="3"/>
        <v>Error?</v>
      </c>
    </row>
    <row r="280" spans="1:4" x14ac:dyDescent="0.2">
      <c r="A280" s="5">
        <v>219</v>
      </c>
      <c r="B280" s="138">
        <f>'Assets-Liab 5-6'!M40</f>
        <v>1902579</v>
      </c>
      <c r="D280" s="2" t="str">
        <f t="shared" si="3"/>
        <v>Error?</v>
      </c>
    </row>
    <row r="281" spans="1:4" x14ac:dyDescent="0.2">
      <c r="A281" s="5">
        <v>220</v>
      </c>
      <c r="B281" s="138">
        <f>'Assets-Liab 5-6'!M41</f>
        <v>1902579</v>
      </c>
      <c r="C281" s="2" t="s">
        <v>573</v>
      </c>
      <c r="D281" s="2" t="str">
        <f t="shared" si="3"/>
        <v>Error?</v>
      </c>
    </row>
    <row r="282" spans="1:4" x14ac:dyDescent="0.2">
      <c r="A282" s="5">
        <v>221</v>
      </c>
      <c r="B282" s="138">
        <f>'Assets-Liab 5-6'!N21</f>
        <v>43511</v>
      </c>
      <c r="D282" s="2" t="str">
        <f t="shared" si="3"/>
        <v>Error?</v>
      </c>
    </row>
    <row r="283" spans="1:4" x14ac:dyDescent="0.2">
      <c r="A283" s="5">
        <v>222</v>
      </c>
      <c r="B283" s="138">
        <f>'Assets-Liab 5-6'!N22</f>
        <v>466489</v>
      </c>
      <c r="D283" s="2" t="str">
        <f t="shared" si="3"/>
        <v>Error?</v>
      </c>
    </row>
    <row r="284" spans="1:4" x14ac:dyDescent="0.2">
      <c r="A284" s="5">
        <v>223</v>
      </c>
      <c r="B284" s="138">
        <f>'Assets-Liab 5-6'!N23</f>
        <v>510000</v>
      </c>
      <c r="C284" s="2" t="s">
        <v>573</v>
      </c>
      <c r="D284" s="2" t="str">
        <f t="shared" si="3"/>
        <v>Error?</v>
      </c>
    </row>
    <row r="285" spans="1:4" x14ac:dyDescent="0.2">
      <c r="A285" s="5">
        <v>224</v>
      </c>
      <c r="B285" s="138">
        <f>'Assets-Liab 5-6'!N36</f>
        <v>510000</v>
      </c>
      <c r="D285" s="2" t="str">
        <f t="shared" si="3"/>
        <v>Error?</v>
      </c>
    </row>
    <row r="286" spans="1:4" x14ac:dyDescent="0.2">
      <c r="A286" s="10">
        <v>225</v>
      </c>
      <c r="D286" s="2" t="str">
        <f t="shared" si="3"/>
        <v>OK</v>
      </c>
    </row>
    <row r="287" spans="1:4" x14ac:dyDescent="0.2">
      <c r="A287" s="5">
        <v>226</v>
      </c>
      <c r="B287" s="138">
        <f>'Assets-Liab 5-6'!N37</f>
        <v>510000</v>
      </c>
      <c r="C287" s="2" t="s">
        <v>573</v>
      </c>
      <c r="D287" s="2" t="str">
        <f t="shared" si="3"/>
        <v>Error?</v>
      </c>
    </row>
    <row r="288" spans="1:4" x14ac:dyDescent="0.2">
      <c r="A288" s="5">
        <v>227</v>
      </c>
      <c r="B288" s="138">
        <f>'Assets-Liab 5-6'!N41</f>
        <v>510000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504627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6159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552503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1105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1105</v>
      </c>
      <c r="C727" s="2" t="s">
        <v>573</v>
      </c>
      <c r="D727" s="2" t="str">
        <f t="shared" si="10"/>
        <v>Error?</v>
      </c>
    </row>
    <row r="728" spans="1:4" x14ac:dyDescent="0.2">
      <c r="A728" s="5">
        <v>667</v>
      </c>
      <c r="B728" s="138">
        <f>'Expenditures 15-22'!C44</f>
        <v>1052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1052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52980</v>
      </c>
      <c r="D733" s="2" t="str">
        <f t="shared" si="10"/>
        <v>Error?</v>
      </c>
    </row>
    <row r="734" spans="1:4" x14ac:dyDescent="0.2">
      <c r="A734" s="5">
        <v>673</v>
      </c>
      <c r="B734" s="138">
        <f>'Expenditures 15-22'!C53</f>
        <v>52980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25862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31114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56976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112113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664616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569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9538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9538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6200</v>
      </c>
      <c r="D791" s="2" t="str">
        <f t="shared" si="11"/>
        <v>Error?</v>
      </c>
    </row>
    <row r="792" spans="1:4" x14ac:dyDescent="0.2">
      <c r="A792" s="5">
        <v>731</v>
      </c>
      <c r="B792" s="138">
        <f>'Expenditures 15-22'!D53</f>
        <v>6200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15738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16307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7857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v>
      </c>
      <c r="C843" s="2" t="s">
        <v>573</v>
      </c>
      <c r="D843" s="2" t="str">
        <f t="shared" si="12"/>
        <v>Error?</v>
      </c>
    </row>
    <row r="844" spans="1:4" x14ac:dyDescent="0.2">
      <c r="A844" s="5">
        <v>783</v>
      </c>
      <c r="B844" s="138">
        <f>'Expenditures 15-22'!E44</f>
        <v>1442</v>
      </c>
      <c r="D844" s="2" t="str">
        <f t="shared" si="12"/>
        <v>Error?</v>
      </c>
    </row>
    <row r="845" spans="1:4" x14ac:dyDescent="0.2">
      <c r="A845" s="5">
        <v>784</v>
      </c>
      <c r="B845" s="138">
        <f>'Expenditures 15-22'!E45</f>
        <v>2650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4092</v>
      </c>
      <c r="C847" s="2" t="s">
        <v>573</v>
      </c>
      <c r="D847" s="2" t="str">
        <f t="shared" si="12"/>
        <v>Error?</v>
      </c>
    </row>
    <row r="848" spans="1:4" x14ac:dyDescent="0.2">
      <c r="A848" s="5">
        <v>787</v>
      </c>
      <c r="B848" s="138">
        <f>'Expenditures 15-22'!E49</f>
        <v>11083</v>
      </c>
      <c r="D848" s="2" t="str">
        <f t="shared" si="12"/>
        <v>Error?</v>
      </c>
    </row>
    <row r="849" spans="1:4" x14ac:dyDescent="0.2">
      <c r="A849" s="5">
        <v>788</v>
      </c>
      <c r="B849" s="138">
        <f>'Expenditures 15-22'!E50</f>
        <v>2686</v>
      </c>
      <c r="D849" s="2" t="str">
        <f t="shared" si="12"/>
        <v>Error?</v>
      </c>
    </row>
    <row r="850" spans="1:4" x14ac:dyDescent="0.2">
      <c r="A850" s="5">
        <v>789</v>
      </c>
      <c r="B850" s="138">
        <f>'Expenditures 15-22'!E53</f>
        <v>13769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18449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99498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15163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16001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31164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548</v>
      </c>
      <c r="C901" s="2" t="s">
        <v>573</v>
      </c>
      <c r="D901" s="2" t="str">
        <f t="shared" si="13"/>
        <v>Error?</v>
      </c>
    </row>
    <row r="902" spans="1:4" x14ac:dyDescent="0.2">
      <c r="A902" s="5">
        <v>841</v>
      </c>
      <c r="B902" s="138">
        <f>'Expenditures 15-22'!F44</f>
        <v>212</v>
      </c>
      <c r="D902" s="2" t="str">
        <f t="shared" si="13"/>
        <v>Error?</v>
      </c>
    </row>
    <row r="903" spans="1:4" x14ac:dyDescent="0.2">
      <c r="A903" s="5">
        <v>842</v>
      </c>
      <c r="B903" s="138">
        <f>'Expenditures 15-22'!F45</f>
        <v>1100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1312</v>
      </c>
      <c r="C905" s="2" t="s">
        <v>573</v>
      </c>
      <c r="D905" s="2" t="str">
        <f t="shared" si="13"/>
        <v>Error?</v>
      </c>
    </row>
    <row r="906" spans="1:4" x14ac:dyDescent="0.2">
      <c r="A906" s="5">
        <v>845</v>
      </c>
      <c r="B906" s="138">
        <f>'Expenditures 15-22'!F49</f>
        <v>2218</v>
      </c>
      <c r="D906" s="2" t="str">
        <f t="shared" si="13"/>
        <v>Error?</v>
      </c>
    </row>
    <row r="907" spans="1:4" x14ac:dyDescent="0.2">
      <c r="A907" s="5">
        <v>846</v>
      </c>
      <c r="B907" s="138">
        <f>'Expenditures 15-22'!F50</f>
        <v>1432</v>
      </c>
      <c r="D907" s="2" t="str">
        <f t="shared" si="13"/>
        <v>Error?</v>
      </c>
    </row>
    <row r="908" spans="1:4" x14ac:dyDescent="0.2">
      <c r="A908" s="5">
        <v>847</v>
      </c>
      <c r="B908" s="138">
        <f>'Expenditures 15-22'!F53</f>
        <v>3650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8759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26696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35455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40965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72129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1257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1257</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1257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3757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525484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28110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595880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1623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1673</v>
      </c>
      <c r="C1115" s="2" t="s">
        <v>573</v>
      </c>
      <c r="D1115" s="2" t="str">
        <f t="shared" si="16"/>
        <v>Error?</v>
      </c>
    </row>
    <row r="1116" spans="1:4" x14ac:dyDescent="0.2">
      <c r="A1116" s="5">
        <v>1055</v>
      </c>
      <c r="B1116" s="138">
        <f>'Expenditures 15-22'!K44</f>
        <v>12244</v>
      </c>
      <c r="C1116" s="2" t="s">
        <v>573</v>
      </c>
      <c r="D1116" s="2" t="str">
        <f t="shared" si="16"/>
        <v>Error?</v>
      </c>
    </row>
    <row r="1117" spans="1:4" x14ac:dyDescent="0.2">
      <c r="A1117" s="5">
        <v>1056</v>
      </c>
      <c r="B1117" s="138">
        <f>'Expenditures 15-22'!K45</f>
        <v>5007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17251</v>
      </c>
      <c r="C1119" s="2" t="s">
        <v>573</v>
      </c>
      <c r="D1119" s="2" t="str">
        <f t="shared" si="16"/>
        <v>Error?</v>
      </c>
    </row>
    <row r="1120" spans="1:4" x14ac:dyDescent="0.2">
      <c r="A1120" s="5">
        <v>1059</v>
      </c>
      <c r="B1120" s="138">
        <f>'Expenditures 15-22'!K49</f>
        <v>13301</v>
      </c>
      <c r="C1120" s="2" t="s">
        <v>573</v>
      </c>
      <c r="D1120" s="2" t="str">
        <f t="shared" si="16"/>
        <v>Error?</v>
      </c>
    </row>
    <row r="1121" spans="1:4" x14ac:dyDescent="0.2">
      <c r="A1121" s="5">
        <v>1060</v>
      </c>
      <c r="B1121" s="138">
        <f>'Expenditures 15-22'!K50</f>
        <v>63298</v>
      </c>
      <c r="C1121" s="2" t="s">
        <v>573</v>
      </c>
      <c r="D1121" s="2" t="str">
        <f t="shared" si="16"/>
        <v>Error?</v>
      </c>
    </row>
    <row r="1122" spans="1:4" x14ac:dyDescent="0.2">
      <c r="A1122" s="5">
        <v>1061</v>
      </c>
      <c r="B1122" s="138">
        <f>'Expenditures 15-22'!K53</f>
        <v>76599</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35997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58378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94375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189898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73192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858970</v>
      </c>
      <c r="C1152" s="2" t="s">
        <v>573</v>
      </c>
      <c r="D1152" s="2" t="str">
        <f t="shared" si="17"/>
        <v>Error?</v>
      </c>
    </row>
    <row r="1153" spans="1:4" x14ac:dyDescent="0.2">
      <c r="A1153" s="5">
        <v>1092</v>
      </c>
      <c r="B1153" s="138">
        <f>'Expenditures 15-22'!K115</f>
        <v>8622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34981</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38317</v>
      </c>
      <c r="D1221" s="2" t="str">
        <f t="shared" si="18"/>
        <v>Error?</v>
      </c>
    </row>
    <row r="1222" spans="1:4" x14ac:dyDescent="0.2">
      <c r="A1222" s="10">
        <v>1161</v>
      </c>
      <c r="D1222" s="2" t="str">
        <f t="shared" si="18"/>
        <v>OK</v>
      </c>
    </row>
    <row r="1223" spans="1:4" x14ac:dyDescent="0.2">
      <c r="A1223" s="5">
        <v>1162</v>
      </c>
      <c r="B1223" s="138">
        <f>'Expenditures 15-22'!C127</f>
        <v>73298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73298</v>
      </c>
      <c r="C1225" s="2" t="s">
        <v>573</v>
      </c>
      <c r="D1225" s="2" t="str">
        <f t="shared" si="18"/>
        <v>Error?</v>
      </c>
    </row>
    <row r="1226" spans="1:4" x14ac:dyDescent="0.2">
      <c r="A1226" s="5">
        <v>1165</v>
      </c>
      <c r="B1226" s="138">
        <f>'Expenditures 15-22'!C151</f>
        <v>73298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17019</v>
      </c>
      <c r="D1237" s="2" t="str">
        <f t="shared" si="18"/>
        <v>Error?</v>
      </c>
    </row>
    <row r="1238" spans="1:4" x14ac:dyDescent="0.2">
      <c r="A1238" s="10">
        <v>1177</v>
      </c>
      <c r="D1238" s="2" t="str">
        <f t="shared" si="18"/>
        <v>OK</v>
      </c>
    </row>
    <row r="1239" spans="1:4" x14ac:dyDescent="0.2">
      <c r="A1239" s="5">
        <v>1178</v>
      </c>
      <c r="B1239" s="138">
        <f>'Expenditures 15-22'!E127</f>
        <v>17019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17019</v>
      </c>
      <c r="C1241" s="2" t="s">
        <v>573</v>
      </c>
      <c r="D1241" s="2" t="str">
        <f t="shared" si="18"/>
        <v>Error?</v>
      </c>
    </row>
    <row r="1242" spans="1:4" x14ac:dyDescent="0.2">
      <c r="A1242" s="5">
        <v>1181</v>
      </c>
      <c r="B1242" s="138">
        <f>'Expenditures 15-22'!E151</f>
        <v>17019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32447</v>
      </c>
      <c r="D1245" s="2" t="str">
        <f t="shared" si="18"/>
        <v>Error?</v>
      </c>
    </row>
    <row r="1246" spans="1:4" x14ac:dyDescent="0.2">
      <c r="A1246" s="10">
        <v>1185</v>
      </c>
      <c r="D1246" s="2" t="str">
        <f t="shared" si="18"/>
        <v>OK</v>
      </c>
    </row>
    <row r="1247" spans="1:4" x14ac:dyDescent="0.2">
      <c r="A1247" s="5">
        <v>1186</v>
      </c>
      <c r="B1247" s="138">
        <f>'Expenditures 15-22'!F127</f>
        <v>32447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32447</v>
      </c>
      <c r="C1249" s="2" t="s">
        <v>573</v>
      </c>
      <c r="D1249" s="2" t="str">
        <f t="shared" si="18"/>
        <v>Error?</v>
      </c>
    </row>
    <row r="1250" spans="1:4" x14ac:dyDescent="0.2">
      <c r="A1250" s="5">
        <v>1189</v>
      </c>
      <c r="B1250" s="138">
        <f>'Expenditures 15-22'!F151</f>
        <v>32447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34981</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88396</v>
      </c>
      <c r="C1276" s="2" t="s">
        <v>573</v>
      </c>
      <c r="D1276" s="2" t="str">
        <f t="shared" si="18"/>
        <v>Error?</v>
      </c>
    </row>
    <row r="1277" spans="1:4" x14ac:dyDescent="0.2">
      <c r="A1277" s="5">
        <v>1216</v>
      </c>
      <c r="B1277" s="138">
        <f>'Expenditures 15-22'!K126</f>
        <v>812</v>
      </c>
      <c r="C1277" s="2" t="s">
        <v>573</v>
      </c>
      <c r="D1277" s="2" t="str">
        <f t="shared" si="18"/>
        <v>Error?</v>
      </c>
    </row>
    <row r="1278" spans="1:4" x14ac:dyDescent="0.2">
      <c r="A1278" s="10">
        <v>1217</v>
      </c>
      <c r="D1278" s="2" t="str">
        <f t="shared" si="18"/>
        <v>OK</v>
      </c>
    </row>
    <row r="1279" spans="1:4" x14ac:dyDescent="0.2">
      <c r="A1279" s="5">
        <v>1218</v>
      </c>
      <c r="B1279" s="138">
        <f>'Expenditures 15-22'!K127</f>
        <v>124189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124189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124189</v>
      </c>
      <c r="C1288" s="2" t="s">
        <v>573</v>
      </c>
      <c r="D1288" s="2" t="str">
        <f t="shared" si="19"/>
        <v>Error?</v>
      </c>
    </row>
    <row r="1289" spans="1:4" x14ac:dyDescent="0.2">
      <c r="A1289" s="5">
        <v>1228</v>
      </c>
      <c r="B1289" s="138">
        <f>'Expenditures 15-22'!K152</f>
        <v>7926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66930</v>
      </c>
      <c r="C1317" s="2" t="s">
        <v>573</v>
      </c>
      <c r="D1317" s="2" t="str">
        <f t="shared" si="19"/>
        <v>Error?</v>
      </c>
    </row>
    <row r="1318" spans="1:4" x14ac:dyDescent="0.2">
      <c r="A1318" s="5">
        <v>1257</v>
      </c>
      <c r="B1318" s="138">
        <f>'Expenditures 15-22'!H174</f>
        <v>66930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1430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66930</v>
      </c>
      <c r="C1331" s="2" t="s">
        <v>573</v>
      </c>
      <c r="D1331" s="2" t="str">
        <f t="shared" si="19"/>
        <v>Error?</v>
      </c>
    </row>
    <row r="1332" spans="1:4" x14ac:dyDescent="0.2">
      <c r="A1332" s="5">
        <v>1271</v>
      </c>
      <c r="B1332" s="138">
        <f>'Expenditures 15-22'!K174</f>
        <v>66930</v>
      </c>
      <c r="C1332" s="2" t="s">
        <v>573</v>
      </c>
      <c r="D1332" s="2" t="str">
        <f t="shared" si="19"/>
        <v>Error?</v>
      </c>
    </row>
    <row r="1333" spans="1:4" x14ac:dyDescent="0.2">
      <c r="A1333" s="5">
        <v>1272</v>
      </c>
      <c r="B1333" s="138">
        <f>'Expenditures 15-22'!K175</f>
        <v>5011</v>
      </c>
      <c r="C1333" s="2" t="s">
        <v>573</v>
      </c>
      <c r="D1333" s="2" t="str">
        <f t="shared" si="19"/>
        <v>Error?</v>
      </c>
    </row>
    <row r="1334" spans="1:4" x14ac:dyDescent="0.2">
      <c r="A1334" s="10">
        <v>1273</v>
      </c>
      <c r="D1334" s="2" t="str">
        <f t="shared" si="19"/>
        <v>OK</v>
      </c>
    </row>
    <row r="1335" spans="1:4" x14ac:dyDescent="0.2">
      <c r="A1335" s="5">
        <v>1274</v>
      </c>
      <c r="B1335" s="138">
        <f>'Expenditures 15-22'!C182</f>
        <v>31424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31424</v>
      </c>
      <c r="C1339" s="2" t="s">
        <v>573</v>
      </c>
      <c r="D1339" s="2" t="str">
        <f t="shared" si="19"/>
        <v>Error?</v>
      </c>
    </row>
    <row r="1340" spans="1:4" x14ac:dyDescent="0.2">
      <c r="A1340" s="5">
        <v>1279</v>
      </c>
      <c r="B1340" s="138">
        <f>'Expenditures 15-22'!C210</f>
        <v>31424</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24461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24461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24461</v>
      </c>
      <c r="C1353" s="2" t="s">
        <v>573</v>
      </c>
      <c r="D1353" s="2" t="str">
        <f t="shared" si="20"/>
        <v>Error?</v>
      </c>
    </row>
    <row r="1354" spans="1:4" x14ac:dyDescent="0.2">
      <c r="A1354" s="5">
        <v>1293</v>
      </c>
      <c r="B1354" s="138">
        <f>'Expenditures 15-22'!F182</f>
        <v>8750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8750</v>
      </c>
      <c r="C1358" s="2" t="s">
        <v>573</v>
      </c>
      <c r="D1358" s="2" t="str">
        <f t="shared" si="20"/>
        <v>Error?</v>
      </c>
    </row>
    <row r="1359" spans="1:4" x14ac:dyDescent="0.2">
      <c r="A1359" s="5">
        <v>1298</v>
      </c>
      <c r="B1359" s="138">
        <f>'Expenditures 15-22'!F210</f>
        <v>8750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1699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1699</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1699</v>
      </c>
      <c r="C1376" s="2" t="s">
        <v>573</v>
      </c>
      <c r="D1376" s="2" t="str">
        <f t="shared" si="20"/>
        <v>Error?</v>
      </c>
    </row>
    <row r="1377" spans="1:4" x14ac:dyDescent="0.2">
      <c r="A1377" s="5">
        <v>1316</v>
      </c>
      <c r="B1377" s="138">
        <f>'Expenditures 15-22'!K182</f>
        <v>66334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66334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66334</v>
      </c>
      <c r="C1388" s="2" t="s">
        <v>573</v>
      </c>
      <c r="D1388" s="2" t="str">
        <f t="shared" si="20"/>
        <v>Error?</v>
      </c>
    </row>
    <row r="1389" spans="1:4" x14ac:dyDescent="0.2">
      <c r="A1389" s="5">
        <v>1328</v>
      </c>
      <c r="B1389" s="138">
        <f>'Expenditures 15-22'!K211</f>
        <v>24264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570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8383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1070</v>
      </c>
      <c r="D1423" s="2" t="str">
        <f t="shared" si="21"/>
        <v>Error?</v>
      </c>
    </row>
    <row r="1424" spans="1:4" x14ac:dyDescent="0.2">
      <c r="A1424" s="5">
        <v>1363</v>
      </c>
      <c r="B1424" s="138">
        <f>'Expenditures 15-22'!D257</f>
        <v>1070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4164</v>
      </c>
      <c r="D1428" s="2" t="str">
        <f t="shared" si="21"/>
        <v>Error?</v>
      </c>
    </row>
    <row r="1429" spans="1:4" x14ac:dyDescent="0.2">
      <c r="A1429" s="5">
        <v>1368</v>
      </c>
      <c r="B1429" s="138">
        <f>'Expenditures 15-22'!D264</f>
        <v>4476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6653</v>
      </c>
      <c r="D1431" s="2" t="str">
        <f t="shared" si="21"/>
        <v>Error?</v>
      </c>
    </row>
    <row r="1432" spans="1:4" x14ac:dyDescent="0.2">
      <c r="A1432" s="5">
        <v>1371</v>
      </c>
      <c r="B1432" s="138">
        <f>'Expenditures 15-22'!D267</f>
        <v>4505</v>
      </c>
      <c r="D1432" s="2" t="str">
        <f t="shared" si="21"/>
        <v>Error?</v>
      </c>
    </row>
    <row r="1433" spans="1:4" x14ac:dyDescent="0.2">
      <c r="A1433" s="5">
        <v>1372</v>
      </c>
      <c r="B1433" s="138">
        <f>'Expenditures 15-22'!D268</f>
        <v>5613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25411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26489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34872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570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8383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1070</v>
      </c>
      <c r="C1487" s="2" t="s">
        <v>573</v>
      </c>
      <c r="D1487" s="2" t="str">
        <f t="shared" si="22"/>
        <v>Error?</v>
      </c>
    </row>
    <row r="1488" spans="1:4" x14ac:dyDescent="0.2">
      <c r="A1488" s="5">
        <v>1427</v>
      </c>
      <c r="B1488" s="138">
        <f>'Expenditures 15-22'!K257</f>
        <v>1070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4164</v>
      </c>
      <c r="C1492" s="2" t="s">
        <v>573</v>
      </c>
      <c r="D1492" s="2" t="str">
        <f t="shared" si="22"/>
        <v>Error?</v>
      </c>
    </row>
    <row r="1493" spans="1:4" x14ac:dyDescent="0.2">
      <c r="A1493" s="5">
        <v>1432</v>
      </c>
      <c r="B1493" s="138">
        <f>'Expenditures 15-22'!K264</f>
        <v>4476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6653</v>
      </c>
      <c r="C1495" s="2" t="s">
        <v>573</v>
      </c>
      <c r="D1495" s="2" t="str">
        <f t="shared" si="22"/>
        <v>Error?</v>
      </c>
    </row>
    <row r="1496" spans="1:4" x14ac:dyDescent="0.2">
      <c r="A1496" s="5">
        <v>1435</v>
      </c>
      <c r="B1496" s="138">
        <f>'Expenditures 15-22'!K267</f>
        <v>4505</v>
      </c>
      <c r="C1496" s="2" t="s">
        <v>573</v>
      </c>
      <c r="D1496" s="2" t="str">
        <f t="shared" si="22"/>
        <v>Error?</v>
      </c>
    </row>
    <row r="1497" spans="1:4" x14ac:dyDescent="0.2">
      <c r="A1497" s="5">
        <v>1436</v>
      </c>
      <c r="B1497" s="138">
        <f>'Expenditures 15-22'!K268</f>
        <v>5613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25411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26489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34872</v>
      </c>
      <c r="C1517" s="2" t="s">
        <v>573</v>
      </c>
      <c r="D1517" s="2" t="str">
        <f t="shared" si="22"/>
        <v>Error?</v>
      </c>
    </row>
    <row r="1518" spans="1:4" x14ac:dyDescent="0.2">
      <c r="A1518" s="5">
        <v>1457</v>
      </c>
      <c r="B1518" s="138">
        <f>'Expenditures 15-22'!K296</f>
        <v>-4030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189859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198481</v>
      </c>
      <c r="C1630" s="2" t="s">
        <v>573</v>
      </c>
      <c r="D1630" s="2" t="str">
        <f t="shared" si="24"/>
        <v>Error?</v>
      </c>
    </row>
    <row r="1631" spans="1:4" x14ac:dyDescent="0.2">
      <c r="A1631" s="5">
        <v>1570</v>
      </c>
      <c r="B1631" s="138">
        <f>'Acct Summary 7-8'!D79</f>
        <v>414095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422021</v>
      </c>
      <c r="C1644" s="2" t="s">
        <v>573</v>
      </c>
      <c r="D1644" s="2" t="str">
        <f t="shared" si="24"/>
        <v>Error?</v>
      </c>
    </row>
    <row r="1645" spans="1:4" x14ac:dyDescent="0.2">
      <c r="A1645" s="5">
        <v>1584</v>
      </c>
      <c r="B1645" s="138">
        <f>'Acct Summary 7-8'!E79</f>
        <v>38500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43511</v>
      </c>
      <c r="C1658" s="2" t="s">
        <v>573</v>
      </c>
      <c r="D1658" s="2" t="str">
        <f t="shared" si="24"/>
        <v>Error?</v>
      </c>
    </row>
    <row r="1659" spans="1:4" x14ac:dyDescent="0.2">
      <c r="A1659" s="5">
        <v>1598</v>
      </c>
      <c r="B1659" s="138">
        <f>'Acct Summary 7-8'!F79</f>
        <v>124983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149247</v>
      </c>
      <c r="C1672" s="2" t="s">
        <v>573</v>
      </c>
      <c r="D1672" s="2" t="str">
        <f t="shared" si="25"/>
        <v>Error?</v>
      </c>
    </row>
    <row r="1673" spans="1:4" x14ac:dyDescent="0.2">
      <c r="A1673" s="5">
        <v>1612</v>
      </c>
      <c r="B1673" s="138">
        <f>'Acct Summary 7-8'!G79</f>
        <v>59958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55928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609240</v>
      </c>
      <c r="C1744" s="2" t="s">
        <v>573</v>
      </c>
      <c r="D1744" s="2" t="str">
        <f t="shared" si="26"/>
        <v>Error?</v>
      </c>
    </row>
    <row r="1745" spans="1:5" x14ac:dyDescent="0.2">
      <c r="A1745" s="5">
        <v>1684</v>
      </c>
      <c r="B1745" s="138">
        <f>'Tax Sched 23'!B5</f>
        <v>128262</v>
      </c>
      <c r="C1745" s="2" t="s">
        <v>573</v>
      </c>
      <c r="D1745" s="2" t="str">
        <f t="shared" si="26"/>
        <v>Error?</v>
      </c>
    </row>
    <row r="1746" spans="1:5" x14ac:dyDescent="0.2">
      <c r="A1746" s="5">
        <v>1685</v>
      </c>
      <c r="B1746" s="138">
        <f>'Tax Sched 23'!B6</f>
        <v>71748</v>
      </c>
      <c r="C1746" s="2" t="s">
        <v>573</v>
      </c>
      <c r="D1746" s="2" t="str">
        <f t="shared" si="26"/>
        <v>Error?</v>
      </c>
    </row>
    <row r="1747" spans="1:5" x14ac:dyDescent="0.2">
      <c r="A1747" s="5">
        <v>1686</v>
      </c>
      <c r="B1747" s="138">
        <f>'Tax Sched 23'!B7</f>
        <v>38479</v>
      </c>
      <c r="C1747" s="2" t="s">
        <v>573</v>
      </c>
      <c r="D1747" s="2" t="str">
        <f t="shared" si="26"/>
        <v>Error?</v>
      </c>
    </row>
    <row r="1748" spans="1:5" x14ac:dyDescent="0.2">
      <c r="A1748" s="5">
        <v>1687</v>
      </c>
      <c r="B1748" s="138">
        <f>'Tax Sched 23'!B8</f>
        <v>15194</v>
      </c>
      <c r="C1748" s="2" t="s">
        <v>573</v>
      </c>
      <c r="D1748" s="2" t="str">
        <f t="shared" si="26"/>
        <v>Error?</v>
      </c>
    </row>
    <row r="1749" spans="1:5" x14ac:dyDescent="0.2">
      <c r="A1749" s="5">
        <v>1688</v>
      </c>
      <c r="B1749" s="138">
        <f>'Tax Sched 23'!B10</f>
        <v>16033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39736</v>
      </c>
      <c r="C1752" s="2" t="s">
        <v>573</v>
      </c>
      <c r="D1752" s="2" t="str">
        <f t="shared" si="26"/>
        <v>Error?</v>
      </c>
    </row>
    <row r="1753" spans="1:5" x14ac:dyDescent="0.2">
      <c r="A1753" s="5">
        <v>1692</v>
      </c>
      <c r="B1753" s="138">
        <f>'Tax Sched 23'!B12</f>
        <v>16033</v>
      </c>
      <c r="C1753" s="2" t="s">
        <v>573</v>
      </c>
      <c r="D1753" s="2" t="str">
        <f t="shared" si="26"/>
        <v>Error?</v>
      </c>
    </row>
    <row r="1754" spans="1:5" x14ac:dyDescent="0.2">
      <c r="A1754" s="5">
        <v>1693</v>
      </c>
      <c r="B1754" s="138">
        <f>'Tax Sched 23'!B14</f>
        <v>6413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956332</v>
      </c>
      <c r="C1759" s="2" t="s">
        <v>573</v>
      </c>
      <c r="D1759" s="2" t="str">
        <f t="shared" si="26"/>
        <v>Error?</v>
      </c>
    </row>
    <row r="1760" spans="1:5" x14ac:dyDescent="0.2">
      <c r="A1760" s="5">
        <v>1699</v>
      </c>
      <c r="B1760" s="138">
        <f>'Tax Sched 23'!D4</f>
        <v>253269.99</v>
      </c>
      <c r="C1760" s="2" t="s">
        <v>573</v>
      </c>
      <c r="D1760" s="2" t="str">
        <f t="shared" si="26"/>
        <v>Error?</v>
      </c>
    </row>
    <row r="1761" spans="1:5" x14ac:dyDescent="0.2">
      <c r="A1761" s="5">
        <v>1700</v>
      </c>
      <c r="B1761" s="138">
        <f>'Tax Sched 23'!D5</f>
        <v>53320.539999999994</v>
      </c>
      <c r="C1761" s="2" t="s">
        <v>573</v>
      </c>
      <c r="D1761" s="2" t="str">
        <f t="shared" si="26"/>
        <v>Error?</v>
      </c>
    </row>
    <row r="1762" spans="1:5" s="8" customFormat="1" x14ac:dyDescent="0.2">
      <c r="A1762" s="5">
        <v>1701</v>
      </c>
      <c r="B1762" s="138">
        <f>'Tax Sched 23'!D6</f>
        <v>28482.39</v>
      </c>
      <c r="C1762" s="2" t="s">
        <v>573</v>
      </c>
      <c r="D1762" s="2" t="str">
        <f t="shared" si="26"/>
        <v>Error?</v>
      </c>
      <c r="E1762" s="9"/>
    </row>
    <row r="1763" spans="1:5" x14ac:dyDescent="0.2">
      <c r="A1763" s="5">
        <v>1702</v>
      </c>
      <c r="B1763" s="138">
        <f>'Tax Sched 23'!D7</f>
        <v>15996.779999999999</v>
      </c>
      <c r="C1763" s="2" t="s">
        <v>573</v>
      </c>
      <c r="D1763" s="2" t="str">
        <f t="shared" si="26"/>
        <v>Error?</v>
      </c>
    </row>
    <row r="1764" spans="1:5" x14ac:dyDescent="0.2">
      <c r="A1764" s="5">
        <v>1703</v>
      </c>
      <c r="B1764" s="138">
        <f>'Tax Sched 23'!D8</f>
        <v>6217.7000000000007</v>
      </c>
      <c r="C1764" s="2" t="s">
        <v>573</v>
      </c>
      <c r="D1764" s="2" t="str">
        <f t="shared" si="26"/>
        <v>Error?</v>
      </c>
    </row>
    <row r="1765" spans="1:5" x14ac:dyDescent="0.2">
      <c r="A1765" s="5">
        <v>1704</v>
      </c>
      <c r="B1765" s="138">
        <f>'Tax Sched 23'!D10</f>
        <v>6665.1900000000005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16721.68</v>
      </c>
      <c r="C1768" s="2" t="s">
        <v>573</v>
      </c>
      <c r="D1768" s="2" t="str">
        <f t="shared" si="26"/>
        <v>Error?</v>
      </c>
    </row>
    <row r="1769" spans="1:5" x14ac:dyDescent="0.2">
      <c r="A1769" s="5">
        <v>1708</v>
      </c>
      <c r="B1769" s="138">
        <f>'Tax Sched 23'!D12</f>
        <v>6665.1900000000005</v>
      </c>
      <c r="C1769" s="2" t="s">
        <v>573</v>
      </c>
      <c r="D1769" s="2" t="str">
        <f t="shared" si="26"/>
        <v>Error?</v>
      </c>
    </row>
    <row r="1770" spans="1:5" x14ac:dyDescent="0.2">
      <c r="A1770" s="5">
        <v>1709</v>
      </c>
      <c r="B1770" s="138">
        <f>'Tax Sched 23'!D14</f>
        <v>2665.87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396223.02999999997</v>
      </c>
      <c r="C1775" s="2" t="s">
        <v>573</v>
      </c>
      <c r="D1775" s="2" t="str">
        <f t="shared" si="26"/>
        <v>Error?</v>
      </c>
    </row>
    <row r="1776" spans="1:5" x14ac:dyDescent="0.2">
      <c r="A1776" s="5">
        <v>1715</v>
      </c>
      <c r="B1776" s="138">
        <f>'Tax Sched 23'!C4</f>
        <v>355970.01</v>
      </c>
      <c r="D1776" s="2" t="str">
        <f t="shared" si="26"/>
        <v>Error?</v>
      </c>
    </row>
    <row r="1777" spans="1:4" x14ac:dyDescent="0.2">
      <c r="A1777" s="5">
        <v>1716</v>
      </c>
      <c r="B1777" s="138">
        <f>'Tax Sched 23'!C5</f>
        <v>74941.460000000006</v>
      </c>
      <c r="D1777" s="2" t="str">
        <f t="shared" si="26"/>
        <v>Error?</v>
      </c>
    </row>
    <row r="1778" spans="1:4" x14ac:dyDescent="0.2">
      <c r="A1778" s="5">
        <v>1717</v>
      </c>
      <c r="B1778" s="138">
        <f>'Tax Sched 23'!C6</f>
        <v>43265.61</v>
      </c>
      <c r="D1778" s="2" t="str">
        <f t="shared" si="26"/>
        <v>Error?</v>
      </c>
    </row>
    <row r="1779" spans="1:4" x14ac:dyDescent="0.2">
      <c r="A1779" s="5">
        <v>1718</v>
      </c>
      <c r="B1779" s="138">
        <f>'Tax Sched 23'!C7</f>
        <v>22482.22</v>
      </c>
      <c r="D1779" s="2" t="str">
        <f t="shared" si="26"/>
        <v>Error?</v>
      </c>
    </row>
    <row r="1780" spans="1:4" x14ac:dyDescent="0.2">
      <c r="A1780" s="5">
        <v>1719</v>
      </c>
      <c r="B1780" s="138">
        <f>'Tax Sched 23'!C8</f>
        <v>8976.2999999999993</v>
      </c>
      <c r="D1780" s="2" t="str">
        <f t="shared" si="26"/>
        <v>Error?</v>
      </c>
    </row>
    <row r="1781" spans="1:4" x14ac:dyDescent="0.2">
      <c r="A1781" s="5">
        <v>1720</v>
      </c>
      <c r="B1781" s="138">
        <f>'Tax Sched 23'!C10</f>
        <v>9367.81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23014.32</v>
      </c>
      <c r="D1784" s="2" t="str">
        <f t="shared" si="26"/>
        <v>Error?</v>
      </c>
    </row>
    <row r="1785" spans="1:4" x14ac:dyDescent="0.2">
      <c r="A1785" s="5">
        <v>1724</v>
      </c>
      <c r="B1785" s="138">
        <f>'Tax Sched 23'!C12</f>
        <v>9367.81</v>
      </c>
      <c r="D1785" s="2" t="str">
        <f t="shared" si="26"/>
        <v>Error?</v>
      </c>
    </row>
    <row r="1786" spans="1:4" x14ac:dyDescent="0.2">
      <c r="A1786" s="5">
        <v>1725</v>
      </c>
      <c r="B1786" s="138">
        <f>'Tax Sched 23'!C14</f>
        <v>3747.13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560108.97000000009</v>
      </c>
      <c r="C1791" s="2" t="s">
        <v>573</v>
      </c>
      <c r="D1791" s="2" t="str">
        <f t="shared" ref="D1791:D1854" si="27">IF(ISBLANK(B1791),"OK",IF(A1791-B1791=0,"OK","Error?"))</f>
        <v>Error?</v>
      </c>
    </row>
    <row r="1792" spans="1:4" x14ac:dyDescent="0.2">
      <c r="A1792" s="5">
        <v>1731</v>
      </c>
      <c r="B1792" s="138">
        <f>'Tax Sched 23'!F4</f>
        <v>263158.90000000002</v>
      </c>
      <c r="C1792" s="2" t="s">
        <v>573</v>
      </c>
      <c r="D1792" s="2" t="str">
        <f t="shared" si="27"/>
        <v>Error?</v>
      </c>
    </row>
    <row r="1793" spans="1:4" x14ac:dyDescent="0.2">
      <c r="A1793" s="5">
        <v>1732</v>
      </c>
      <c r="B1793" s="138">
        <f>'Tax Sched 23'!F5</f>
        <v>55401.469999999987</v>
      </c>
      <c r="C1793" s="2" t="s">
        <v>573</v>
      </c>
      <c r="D1793" s="2" t="str">
        <f t="shared" si="27"/>
        <v>Error?</v>
      </c>
    </row>
    <row r="1794" spans="1:4" x14ac:dyDescent="0.2">
      <c r="A1794" s="5">
        <v>1733</v>
      </c>
      <c r="B1794" s="138">
        <f>'Tax Sched 23'!F6</f>
        <v>31932.479999999996</v>
      </c>
      <c r="C1794" s="2" t="s">
        <v>573</v>
      </c>
      <c r="D1794" s="2" t="str">
        <f t="shared" si="27"/>
        <v>Error?</v>
      </c>
    </row>
    <row r="1795" spans="1:4" x14ac:dyDescent="0.2">
      <c r="A1795" s="5">
        <v>1734</v>
      </c>
      <c r="B1795" s="138">
        <f>'Tax Sched 23'!F7</f>
        <v>16620.659999999996</v>
      </c>
      <c r="C1795" s="2" t="s">
        <v>573</v>
      </c>
      <c r="D1795" s="2" t="str">
        <f t="shared" si="27"/>
        <v>Error?</v>
      </c>
    </row>
    <row r="1796" spans="1:4" x14ac:dyDescent="0.2">
      <c r="A1796" s="5">
        <v>1735</v>
      </c>
      <c r="B1796" s="138">
        <f>'Tax Sched 23'!F8</f>
        <v>6622.4900000000016</v>
      </c>
      <c r="C1796" s="2" t="s">
        <v>573</v>
      </c>
      <c r="D1796" s="2" t="str">
        <f t="shared" si="27"/>
        <v>Error?</v>
      </c>
    </row>
    <row r="1797" spans="1:4" x14ac:dyDescent="0.2">
      <c r="A1797" s="5">
        <v>1736</v>
      </c>
      <c r="B1797" s="138">
        <f>'Tax Sched 23'!F10</f>
        <v>6925.0600000000013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16984.669999999998</v>
      </c>
      <c r="C1800" s="2" t="s">
        <v>573</v>
      </c>
      <c r="D1800" s="2" t="str">
        <f t="shared" si="27"/>
        <v>Error?</v>
      </c>
    </row>
    <row r="1801" spans="1:4" x14ac:dyDescent="0.2">
      <c r="A1801" s="5">
        <v>1740</v>
      </c>
      <c r="B1801" s="138">
        <f>'Tax Sched 23'!F12</f>
        <v>6925.0600000000013</v>
      </c>
      <c r="C1801" s="2" t="s">
        <v>573</v>
      </c>
      <c r="D1801" s="2" t="str">
        <f t="shared" si="27"/>
        <v>Error?</v>
      </c>
    </row>
    <row r="1802" spans="1:4" x14ac:dyDescent="0.2">
      <c r="A1802" s="5">
        <v>1741</v>
      </c>
      <c r="B1802" s="138">
        <f>'Tax Sched 23'!F14</f>
        <v>2770.0199999999995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413963.29999999993</v>
      </c>
      <c r="C1807" s="2" t="s">
        <v>573</v>
      </c>
      <c r="D1807" s="2" t="str">
        <f t="shared" si="27"/>
        <v>Error?</v>
      </c>
    </row>
    <row r="1808" spans="1:4" x14ac:dyDescent="0.2">
      <c r="A1808" s="5">
        <v>1747</v>
      </c>
      <c r="B1808" s="138">
        <f>'Tax Sched 23'!E4</f>
        <v>619128.91</v>
      </c>
      <c r="D1808" s="2" t="str">
        <f t="shared" si="27"/>
        <v>Error?</v>
      </c>
    </row>
    <row r="1809" spans="1:4" x14ac:dyDescent="0.2">
      <c r="A1809" s="5">
        <v>1748</v>
      </c>
      <c r="B1809" s="138">
        <f>'Tax Sched 23'!E5</f>
        <v>130342.93</v>
      </c>
      <c r="D1809" s="2" t="str">
        <f t="shared" si="27"/>
        <v>Error?</v>
      </c>
    </row>
    <row r="1810" spans="1:4" x14ac:dyDescent="0.2">
      <c r="A1810" s="5">
        <v>1749</v>
      </c>
      <c r="B1810" s="138">
        <f>'Tax Sched 23'!E6</f>
        <v>75198.09</v>
      </c>
      <c r="D1810" s="2" t="str">
        <f t="shared" si="27"/>
        <v>Error?</v>
      </c>
    </row>
    <row r="1811" spans="1:4" x14ac:dyDescent="0.2">
      <c r="A1811" s="5">
        <v>1750</v>
      </c>
      <c r="B1811" s="138">
        <f>'Tax Sched 23'!E7</f>
        <v>39102.879999999997</v>
      </c>
      <c r="D1811" s="2" t="str">
        <f t="shared" si="27"/>
        <v>Error?</v>
      </c>
    </row>
    <row r="1812" spans="1:4" x14ac:dyDescent="0.2">
      <c r="A1812" s="5">
        <v>1751</v>
      </c>
      <c r="B1812" s="138">
        <f>'Tax Sched 23'!E8</f>
        <v>15598.79</v>
      </c>
      <c r="D1812" s="2" t="str">
        <f t="shared" si="27"/>
        <v>Error?</v>
      </c>
    </row>
    <row r="1813" spans="1:4" x14ac:dyDescent="0.2">
      <c r="A1813" s="5">
        <v>1752</v>
      </c>
      <c r="B1813" s="138">
        <f>'Tax Sched 23'!E10</f>
        <v>16292.87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39998.99</v>
      </c>
      <c r="D1816" s="2" t="str">
        <f t="shared" si="27"/>
        <v>Error?</v>
      </c>
    </row>
    <row r="1817" spans="1:4" x14ac:dyDescent="0.2">
      <c r="A1817" s="5">
        <v>1756</v>
      </c>
      <c r="B1817" s="138">
        <f>'Tax Sched 23'!E12</f>
        <v>16292.87</v>
      </c>
      <c r="D1817" s="2" t="str">
        <f t="shared" si="27"/>
        <v>Error?</v>
      </c>
    </row>
    <row r="1818" spans="1:4" x14ac:dyDescent="0.2">
      <c r="A1818" s="5">
        <v>1757</v>
      </c>
      <c r="B1818" s="138">
        <f>'Tax Sched 23'!E14</f>
        <v>6517.15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974072.27000000014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65000</v>
      </c>
      <c r="C1939" s="2" t="s">
        <v>573</v>
      </c>
      <c r="D1939" s="2" t="str">
        <f t="shared" si="29"/>
        <v>Error?</v>
      </c>
    </row>
    <row r="1940" spans="1:5" x14ac:dyDescent="0.2">
      <c r="A1940" s="5">
        <v>1879</v>
      </c>
      <c r="B1940" s="138">
        <f>'Short-Term Long-Term Debt 24'!F49</f>
        <v>510000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6413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6413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3000</v>
      </c>
      <c r="D2008" s="2" t="str">
        <f t="shared" si="30"/>
        <v>Error?</v>
      </c>
    </row>
    <row r="2009" spans="1:4" x14ac:dyDescent="0.2">
      <c r="A2009" s="5">
        <v>1948</v>
      </c>
      <c r="B2009" s="138">
        <f>'Cap Outlay Deprec 26'!C8</f>
        <v>1462975</v>
      </c>
      <c r="D2009" s="2" t="str">
        <f t="shared" si="30"/>
        <v>Error?</v>
      </c>
    </row>
    <row r="2010" spans="1:4" x14ac:dyDescent="0.2">
      <c r="A2010" s="5">
        <v>1949</v>
      </c>
      <c r="B2010" s="138">
        <f>'Cap Outlay Deprec 26'!C10</f>
        <v>151607</v>
      </c>
      <c r="D2010" s="2" t="str">
        <f t="shared" si="30"/>
        <v>Error?</v>
      </c>
    </row>
    <row r="2011" spans="1:4" x14ac:dyDescent="0.2">
      <c r="A2011" s="5">
        <v>1950</v>
      </c>
      <c r="B2011" s="138">
        <f>'Cap Outlay Deprec 26'!C12</f>
        <v>264518</v>
      </c>
      <c r="D2011" s="2" t="str">
        <f t="shared" si="30"/>
        <v>Error?</v>
      </c>
    </row>
    <row r="2012" spans="1:4" x14ac:dyDescent="0.2">
      <c r="A2012" s="5">
        <v>1951</v>
      </c>
      <c r="B2012" s="138">
        <f>'Cap Outlay Deprec 26'!C13</f>
        <v>11802</v>
      </c>
      <c r="D2012" s="2" t="str">
        <f t="shared" si="30"/>
        <v>Error?</v>
      </c>
    </row>
    <row r="2013" spans="1:4" x14ac:dyDescent="0.2">
      <c r="A2013" s="5">
        <v>1952</v>
      </c>
      <c r="B2013" s="138">
        <f>'Cap Outlay Deprec 26'!C16</f>
        <v>1896559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6200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6200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3000</v>
      </c>
      <c r="C2026" s="2" t="s">
        <v>573</v>
      </c>
      <c r="D2026" s="2" t="str">
        <f t="shared" si="30"/>
        <v>Error?</v>
      </c>
    </row>
    <row r="2027" spans="1:4" x14ac:dyDescent="0.2">
      <c r="A2027" s="5">
        <v>1966</v>
      </c>
      <c r="B2027" s="138">
        <f>'Cap Outlay Deprec 26'!F8</f>
        <v>1462975</v>
      </c>
      <c r="C2027" s="2" t="s">
        <v>573</v>
      </c>
      <c r="D2027" s="2" t="str">
        <f t="shared" si="30"/>
        <v>Error?</v>
      </c>
    </row>
    <row r="2028" spans="1:4" x14ac:dyDescent="0.2">
      <c r="A2028" s="5">
        <v>1967</v>
      </c>
      <c r="B2028" s="138">
        <f>'Cap Outlay Deprec 26'!F10</f>
        <v>151607</v>
      </c>
      <c r="C2028" s="2" t="s">
        <v>573</v>
      </c>
      <c r="D2028" s="2" t="str">
        <f t="shared" si="30"/>
        <v>Error?</v>
      </c>
    </row>
    <row r="2029" spans="1:4" x14ac:dyDescent="0.2">
      <c r="A2029" s="5">
        <v>1968</v>
      </c>
      <c r="B2029" s="138">
        <f>'Cap Outlay Deprec 26'!F12</f>
        <v>270718</v>
      </c>
      <c r="C2029" s="2" t="s">
        <v>573</v>
      </c>
      <c r="D2029" s="2" t="str">
        <f t="shared" si="30"/>
        <v>Error?</v>
      </c>
    </row>
    <row r="2030" spans="1:4" x14ac:dyDescent="0.2">
      <c r="A2030" s="5">
        <v>1969</v>
      </c>
      <c r="B2030" s="138">
        <f>'Cap Outlay Deprec 26'!F13</f>
        <v>11802</v>
      </c>
      <c r="C2030" s="2" t="s">
        <v>573</v>
      </c>
      <c r="D2030" s="2" t="str">
        <f t="shared" si="30"/>
        <v>Error?</v>
      </c>
    </row>
    <row r="2031" spans="1:4" x14ac:dyDescent="0.2">
      <c r="A2031" s="5">
        <v>1970</v>
      </c>
      <c r="B2031" s="138">
        <f>'Cap Outlay Deprec 26'!F16</f>
        <v>1902759</v>
      </c>
      <c r="C2031" s="2" t="s">
        <v>573</v>
      </c>
      <c r="D2031" s="2" t="str">
        <f t="shared" si="30"/>
        <v>Error?</v>
      </c>
    </row>
    <row r="2032" spans="1:4" x14ac:dyDescent="0.2">
      <c r="A2032" s="10">
        <v>1971</v>
      </c>
      <c r="D2032" s="2" t="str">
        <f t="shared" si="30"/>
        <v>OK</v>
      </c>
    </row>
    <row r="2033" spans="1:4" x14ac:dyDescent="0.2">
      <c r="A2033" s="5">
        <v>1972</v>
      </c>
      <c r="B2033" s="138">
        <f>'Cap Outlay Deprec 26'!H8</f>
        <v>675451</v>
      </c>
      <c r="D2033" s="2" t="str">
        <f t="shared" si="30"/>
        <v>Error?</v>
      </c>
    </row>
    <row r="2034" spans="1:4" x14ac:dyDescent="0.2">
      <c r="A2034" s="5">
        <v>1973</v>
      </c>
      <c r="B2034" s="138">
        <f>'Cap Outlay Deprec 26'!H10</f>
        <v>41063</v>
      </c>
      <c r="D2034" s="2" t="str">
        <f t="shared" si="30"/>
        <v>Error?</v>
      </c>
    </row>
    <row r="2035" spans="1:4" x14ac:dyDescent="0.2">
      <c r="A2035" s="5">
        <v>1974</v>
      </c>
      <c r="B2035" s="138">
        <f>'Cap Outlay Deprec 26'!H12</f>
        <v>251337</v>
      </c>
      <c r="D2035" s="2" t="str">
        <f t="shared" si="30"/>
        <v>Error?</v>
      </c>
    </row>
    <row r="2036" spans="1:4" x14ac:dyDescent="0.2">
      <c r="A2036" s="5">
        <v>1975</v>
      </c>
      <c r="B2036" s="138">
        <f>'Cap Outlay Deprec 26'!H13</f>
        <v>7602</v>
      </c>
      <c r="D2036" s="2" t="str">
        <f t="shared" si="30"/>
        <v>Error?</v>
      </c>
    </row>
    <row r="2037" spans="1:4" x14ac:dyDescent="0.2">
      <c r="A2037" s="5">
        <v>1976</v>
      </c>
      <c r="B2037" s="138">
        <f>'Cap Outlay Deprec 26'!H16</f>
        <v>978110</v>
      </c>
      <c r="C2037" s="2" t="s">
        <v>573</v>
      </c>
      <c r="D2037" s="2" t="str">
        <f t="shared" si="30"/>
        <v>Error?</v>
      </c>
    </row>
    <row r="2038" spans="1:4" x14ac:dyDescent="0.2">
      <c r="A2038" s="10">
        <v>1977</v>
      </c>
      <c r="D2038" s="2" t="str">
        <f t="shared" si="30"/>
        <v>OK</v>
      </c>
    </row>
    <row r="2039" spans="1:4" x14ac:dyDescent="0.2">
      <c r="A2039" s="5">
        <v>1978</v>
      </c>
      <c r="B2039" s="138">
        <f>'Cap Outlay Deprec 26'!I8</f>
        <v>31324</v>
      </c>
      <c r="D2039" s="2" t="str">
        <f t="shared" si="30"/>
        <v>Error?</v>
      </c>
    </row>
    <row r="2040" spans="1:4" x14ac:dyDescent="0.2">
      <c r="A2040" s="5">
        <v>1979</v>
      </c>
      <c r="B2040" s="138">
        <f>'Cap Outlay Deprec 26'!I10</f>
        <v>7608</v>
      </c>
      <c r="D2040" s="2" t="str">
        <f t="shared" si="30"/>
        <v>Error?</v>
      </c>
    </row>
    <row r="2041" spans="1:4" x14ac:dyDescent="0.2">
      <c r="A2041" s="5">
        <v>1980</v>
      </c>
      <c r="B2041" s="138">
        <f>'Cap Outlay Deprec 26'!I12</f>
        <v>3601</v>
      </c>
      <c r="D2041" s="2" t="str">
        <f t="shared" si="30"/>
        <v>Error?</v>
      </c>
    </row>
    <row r="2042" spans="1:4" x14ac:dyDescent="0.2">
      <c r="A2042" s="5">
        <v>1981</v>
      </c>
      <c r="B2042" s="138">
        <f>'Cap Outlay Deprec 26'!I13</f>
        <v>1034</v>
      </c>
      <c r="D2042" s="2" t="str">
        <f t="shared" si="30"/>
        <v>Error?</v>
      </c>
    </row>
    <row r="2043" spans="1:4" x14ac:dyDescent="0.2">
      <c r="A2043" s="5">
        <v>1982</v>
      </c>
      <c r="B2043" s="138">
        <f>'Cap Outlay Deprec 26'!I16</f>
        <v>43567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706775</v>
      </c>
      <c r="C2051" s="2" t="s">
        <v>573</v>
      </c>
      <c r="D2051" s="2" t="str">
        <f t="shared" si="31"/>
        <v>Error?</v>
      </c>
    </row>
    <row r="2052" spans="1:4" x14ac:dyDescent="0.2">
      <c r="A2052" s="5">
        <v>1991</v>
      </c>
      <c r="B2052" s="138">
        <f>'Cap Outlay Deprec 26'!K10</f>
        <v>48671</v>
      </c>
      <c r="C2052" s="2" t="s">
        <v>573</v>
      </c>
      <c r="D2052" s="2" t="str">
        <f t="shared" si="31"/>
        <v>Error?</v>
      </c>
    </row>
    <row r="2053" spans="1:4" x14ac:dyDescent="0.2">
      <c r="A2053" s="5">
        <v>1992</v>
      </c>
      <c r="B2053" s="138">
        <f>'Cap Outlay Deprec 26'!K12</f>
        <v>254938</v>
      </c>
      <c r="C2053" s="2" t="s">
        <v>573</v>
      </c>
      <c r="D2053" s="2" t="str">
        <f t="shared" si="31"/>
        <v>Error?</v>
      </c>
    </row>
    <row r="2054" spans="1:4" x14ac:dyDescent="0.2">
      <c r="A2054" s="5">
        <v>1993</v>
      </c>
      <c r="B2054" s="138">
        <f>'Cap Outlay Deprec 26'!K13</f>
        <v>8636</v>
      </c>
      <c r="C2054" s="2" t="s">
        <v>573</v>
      </c>
      <c r="D2054" s="2" t="str">
        <f t="shared" si="31"/>
        <v>Error?</v>
      </c>
    </row>
    <row r="2055" spans="1:4" x14ac:dyDescent="0.2">
      <c r="A2055" s="5">
        <v>1994</v>
      </c>
      <c r="B2055" s="138">
        <f>'Cap Outlay Deprec 26'!K16</f>
        <v>1021677</v>
      </c>
      <c r="C2055" s="2" t="s">
        <v>573</v>
      </c>
      <c r="D2055" s="2" t="str">
        <f t="shared" si="31"/>
        <v>Error?</v>
      </c>
    </row>
    <row r="2056" spans="1:4" x14ac:dyDescent="0.2">
      <c r="A2056" s="5">
        <v>1995</v>
      </c>
      <c r="B2056" s="138">
        <f>'Cap Outlay Deprec 26'!L5</f>
        <v>3000</v>
      </c>
      <c r="C2056" s="2" t="s">
        <v>573</v>
      </c>
      <c r="D2056" s="2" t="str">
        <f t="shared" si="31"/>
        <v>Error?</v>
      </c>
    </row>
    <row r="2057" spans="1:4" x14ac:dyDescent="0.2">
      <c r="A2057" s="5">
        <v>1996</v>
      </c>
      <c r="B2057" s="138">
        <f>'Cap Outlay Deprec 26'!L8</f>
        <v>756200</v>
      </c>
      <c r="C2057" s="2" t="s">
        <v>573</v>
      </c>
      <c r="D2057" s="2" t="str">
        <f t="shared" si="31"/>
        <v>Error?</v>
      </c>
    </row>
    <row r="2058" spans="1:4" x14ac:dyDescent="0.2">
      <c r="A2058" s="5">
        <v>1997</v>
      </c>
      <c r="B2058" s="138">
        <f>'Cap Outlay Deprec 26'!L10</f>
        <v>102936</v>
      </c>
      <c r="C2058" s="2" t="s">
        <v>573</v>
      </c>
      <c r="D2058" s="2" t="str">
        <f t="shared" si="31"/>
        <v>Error?</v>
      </c>
    </row>
    <row r="2059" spans="1:4" x14ac:dyDescent="0.2">
      <c r="A2059" s="5">
        <v>1998</v>
      </c>
      <c r="B2059" s="138">
        <f>'Cap Outlay Deprec 26'!L12</f>
        <v>15780</v>
      </c>
      <c r="C2059" s="2" t="s">
        <v>573</v>
      </c>
      <c r="D2059" s="2" t="str">
        <f t="shared" si="31"/>
        <v>Error?</v>
      </c>
    </row>
    <row r="2060" spans="1:4" x14ac:dyDescent="0.2">
      <c r="A2060" s="5">
        <v>1999</v>
      </c>
      <c r="B2060" s="138">
        <f>'Cap Outlay Deprec 26'!L13</f>
        <v>3166</v>
      </c>
      <c r="C2060" s="2" t="s">
        <v>573</v>
      </c>
      <c r="D2060" s="2" t="str">
        <f t="shared" si="31"/>
        <v>Error?</v>
      </c>
    </row>
    <row r="2061" spans="1:4" x14ac:dyDescent="0.2">
      <c r="A2061" s="5">
        <v>2000</v>
      </c>
      <c r="B2061" s="138">
        <f>'Cap Outlay Deprec 26'!L16</f>
        <v>881082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73192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740445</v>
      </c>
      <c r="C2551" s="2" t="s">
        <v>573</v>
      </c>
      <c r="D2551" s="2" t="str">
        <f t="shared" si="38"/>
        <v>Error?</v>
      </c>
    </row>
    <row r="2552" spans="1:4" x14ac:dyDescent="0.2">
      <c r="A2552" s="10">
        <v>2491</v>
      </c>
      <c r="D2552" s="2" t="str">
        <f t="shared" si="38"/>
        <v>OK</v>
      </c>
    </row>
    <row r="2553" spans="1:4" x14ac:dyDescent="0.2">
      <c r="A2553" s="5">
        <v>2492</v>
      </c>
      <c r="B2553" s="138">
        <f>'Acct Summary 7-8'!C6</f>
        <v>97669</v>
      </c>
      <c r="C2553" s="2" t="s">
        <v>573</v>
      </c>
      <c r="D2553" s="2" t="str">
        <f t="shared" si="38"/>
        <v>Error?</v>
      </c>
    </row>
    <row r="2554" spans="1:4" x14ac:dyDescent="0.2">
      <c r="A2554" s="5">
        <v>2493</v>
      </c>
      <c r="B2554" s="138">
        <f>'Acct Summary 7-8'!C7</f>
        <v>29478</v>
      </c>
      <c r="C2554" s="2" t="s">
        <v>573</v>
      </c>
      <c r="D2554" s="2" t="str">
        <f t="shared" si="38"/>
        <v>Error?</v>
      </c>
    </row>
    <row r="2555" spans="1:4" x14ac:dyDescent="0.2">
      <c r="A2555" s="5">
        <v>2494</v>
      </c>
      <c r="B2555" s="138">
        <f>'Acct Summary 7-8'!C8</f>
        <v>867592</v>
      </c>
      <c r="C2555" s="2" t="s">
        <v>573</v>
      </c>
      <c r="D2555" s="2" t="str">
        <f t="shared" si="38"/>
        <v>Error?</v>
      </c>
    </row>
    <row r="2556" spans="1:4" x14ac:dyDescent="0.2">
      <c r="A2556" s="5">
        <v>2495</v>
      </c>
      <c r="B2556" s="138">
        <f>'Acct Summary 7-8'!C12</f>
        <v>595880</v>
      </c>
      <c r="C2556" s="2" t="s">
        <v>573</v>
      </c>
      <c r="D2556" s="2" t="str">
        <f t="shared" si="38"/>
        <v>Error?</v>
      </c>
    </row>
    <row r="2557" spans="1:4" x14ac:dyDescent="0.2">
      <c r="A2557" s="5">
        <v>2496</v>
      </c>
      <c r="B2557" s="138">
        <f>'Acct Summary 7-8'!C13</f>
        <v>189898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73192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858970</v>
      </c>
      <c r="C2561" s="2" t="s">
        <v>573</v>
      </c>
      <c r="D2561" s="2" t="str">
        <f t="shared" si="39"/>
        <v>Error?</v>
      </c>
    </row>
    <row r="2562" spans="1:4" x14ac:dyDescent="0.2">
      <c r="A2562" s="5">
        <v>2501</v>
      </c>
      <c r="B2562" s="138">
        <f>'Acct Summary 7-8'!C20</f>
        <v>8622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132115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132115</v>
      </c>
      <c r="C2568" s="2" t="s">
        <v>573</v>
      </c>
      <c r="D2568" s="2" t="str">
        <f t="shared" si="39"/>
        <v>Error?</v>
      </c>
    </row>
    <row r="2569" spans="1:4" x14ac:dyDescent="0.2">
      <c r="A2569" s="5">
        <v>2508</v>
      </c>
      <c r="B2569" s="138">
        <f>'Acct Summary 7-8'!D13</f>
        <v>124189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124189</v>
      </c>
      <c r="C2573" s="2" t="s">
        <v>573</v>
      </c>
      <c r="D2573" s="2" t="str">
        <f t="shared" si="39"/>
        <v>Error?</v>
      </c>
    </row>
    <row r="2574" spans="1:4" x14ac:dyDescent="0.2">
      <c r="A2574" s="5">
        <v>2513</v>
      </c>
      <c r="B2574" s="138">
        <f>'Acct Summary 7-8'!D20</f>
        <v>7926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39953</v>
      </c>
      <c r="C2591" s="2" t="s">
        <v>573</v>
      </c>
      <c r="D2591" s="2" t="str">
        <f t="shared" si="39"/>
        <v>Error?</v>
      </c>
    </row>
    <row r="2592" spans="1:4" x14ac:dyDescent="0.2">
      <c r="A2592" s="10">
        <v>2531</v>
      </c>
      <c r="D2592" s="2" t="str">
        <f t="shared" si="39"/>
        <v>OK</v>
      </c>
    </row>
    <row r="2593" spans="1:4" x14ac:dyDescent="0.2">
      <c r="A2593" s="5">
        <v>2532</v>
      </c>
      <c r="B2593" s="138">
        <f>'Acct Summary 7-8'!F6</f>
        <v>50645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90598</v>
      </c>
      <c r="C2595" s="2" t="s">
        <v>573</v>
      </c>
      <c r="D2595" s="2" t="str">
        <f t="shared" si="39"/>
        <v>Error?</v>
      </c>
    </row>
    <row r="2596" spans="1:4" x14ac:dyDescent="0.2">
      <c r="A2596" s="5">
        <v>2535</v>
      </c>
      <c r="B2596" s="138">
        <f>'Acct Summary 7-8'!F13</f>
        <v>66334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66334</v>
      </c>
      <c r="C2600" s="2" t="s">
        <v>573</v>
      </c>
      <c r="D2600" s="2" t="str">
        <f t="shared" si="39"/>
        <v>Error?</v>
      </c>
    </row>
    <row r="2601" spans="1:4" x14ac:dyDescent="0.2">
      <c r="A2601" s="5">
        <v>2540</v>
      </c>
      <c r="B2601" s="138">
        <f>'Acct Summary 7-8'!F20</f>
        <v>24264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30842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30842</v>
      </c>
      <c r="C2606" s="2" t="s">
        <v>573</v>
      </c>
      <c r="D2606" s="2" t="str">
        <f t="shared" si="39"/>
        <v>Error?</v>
      </c>
    </row>
    <row r="2607" spans="1:4" x14ac:dyDescent="0.2">
      <c r="A2607" s="5">
        <v>2546</v>
      </c>
      <c r="B2607" s="138">
        <f>'Acct Summary 7-8'!G12</f>
        <v>8383</v>
      </c>
      <c r="C2607" s="2" t="s">
        <v>573</v>
      </c>
      <c r="D2607" s="2" t="str">
        <f t="shared" si="39"/>
        <v>Error?</v>
      </c>
    </row>
    <row r="2608" spans="1:4" x14ac:dyDescent="0.2">
      <c r="A2608" s="5">
        <v>2547</v>
      </c>
      <c r="B2608" s="138">
        <f>'Acct Summary 7-8'!G13</f>
        <v>26489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34872</v>
      </c>
      <c r="C2612" s="2" t="s">
        <v>573</v>
      </c>
      <c r="D2612" s="2" t="str">
        <f t="shared" si="39"/>
        <v>Error?</v>
      </c>
    </row>
    <row r="2613" spans="1:4" x14ac:dyDescent="0.2">
      <c r="A2613" s="5">
        <v>2552</v>
      </c>
      <c r="B2613" s="138">
        <f>'Acct Summary 7-8'!G20</f>
        <v>-4030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71941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71941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66930</v>
      </c>
      <c r="C2634" s="2" t="s">
        <v>573</v>
      </c>
      <c r="D2634" s="2" t="str">
        <f t="shared" si="40"/>
        <v>Error?</v>
      </c>
    </row>
    <row r="2635" spans="1:4" x14ac:dyDescent="0.2">
      <c r="A2635" s="5">
        <v>2574</v>
      </c>
      <c r="B2635" s="138">
        <f>'Acct Summary 7-8'!E17</f>
        <v>66930</v>
      </c>
      <c r="C2635" s="2" t="s">
        <v>573</v>
      </c>
      <c r="D2635" s="2" t="str">
        <f t="shared" si="40"/>
        <v>Error?</v>
      </c>
    </row>
    <row r="2636" spans="1:4" x14ac:dyDescent="0.2">
      <c r="A2636" s="5">
        <v>2575</v>
      </c>
      <c r="B2636" s="138">
        <f>'Acct Summary 7-8'!E20</f>
        <v>5011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73192</v>
      </c>
      <c r="C2789" s="2" t="s">
        <v>573</v>
      </c>
      <c r="D2789" s="2" t="str">
        <f t="shared" si="42"/>
        <v>Error?</v>
      </c>
    </row>
    <row r="2790" spans="1:4" x14ac:dyDescent="0.2">
      <c r="A2790" s="5">
        <v>2729</v>
      </c>
      <c r="B2790" s="138">
        <f>'Expenditures 15-22'!E102</f>
        <v>73192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29983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5407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29983</v>
      </c>
      <c r="D2912" s="2" t="str">
        <f t="shared" si="44"/>
        <v>Error?</v>
      </c>
    </row>
    <row r="2913" spans="1:4" x14ac:dyDescent="0.2">
      <c r="A2913" s="5">
        <v>2852</v>
      </c>
      <c r="B2913" s="138">
        <f>'Assets-Liab 5-6'!I41</f>
        <v>29983</v>
      </c>
      <c r="C2913" s="2" t="s">
        <v>573</v>
      </c>
      <c r="D2913" s="2" t="str">
        <f t="shared" si="44"/>
        <v>Error?</v>
      </c>
    </row>
    <row r="2914" spans="1:4" x14ac:dyDescent="0.2">
      <c r="A2914" s="5">
        <v>2853</v>
      </c>
      <c r="B2914" s="138">
        <f>'Assets-Liab 5-6'!L33</f>
        <v>5407</v>
      </c>
      <c r="D2914" s="2" t="str">
        <f t="shared" si="44"/>
        <v>Error?</v>
      </c>
    </row>
    <row r="2915" spans="1:4" x14ac:dyDescent="0.2">
      <c r="A2915" s="10">
        <v>2854</v>
      </c>
      <c r="D2915" s="2" t="str">
        <f t="shared" si="44"/>
        <v>OK</v>
      </c>
    </row>
    <row r="2916" spans="1:4" x14ac:dyDescent="0.2">
      <c r="A2916" s="5">
        <v>2855</v>
      </c>
      <c r="B2916" s="138">
        <f>'Assets-Liab 5-6'!L34</f>
        <v>5407</v>
      </c>
      <c r="C2916" s="2" t="s">
        <v>573</v>
      </c>
      <c r="D2916" s="2" t="str">
        <f t="shared" si="44"/>
        <v>Error?</v>
      </c>
    </row>
    <row r="2917" spans="1:4" x14ac:dyDescent="0.2">
      <c r="A2917" s="5">
        <v>2856</v>
      </c>
      <c r="B2917" s="138">
        <f>'Assets-Liab 5-6'!L41</f>
        <v>5407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15941</v>
      </c>
      <c r="D2949" s="2" t="str">
        <f t="shared" si="45"/>
        <v>Error?</v>
      </c>
    </row>
    <row r="2950" spans="1:4" x14ac:dyDescent="0.2">
      <c r="A2950" s="5">
        <v>2889</v>
      </c>
      <c r="B2950" s="138">
        <f>'Expenditures 15-22'!E79</f>
        <v>57251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15941</v>
      </c>
      <c r="C2973" s="2" t="s">
        <v>573</v>
      </c>
      <c r="D2973" s="2" t="str">
        <f t="shared" si="45"/>
        <v>Error?</v>
      </c>
    </row>
    <row r="2974" spans="1:4" x14ac:dyDescent="0.2">
      <c r="A2974" s="5">
        <v>2913</v>
      </c>
      <c r="B2974" s="138">
        <f>'Expenditures 15-22'!K79</f>
        <v>57251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16060</v>
      </c>
      <c r="C3225" s="2" t="s">
        <v>573</v>
      </c>
      <c r="D3225" s="2" t="str">
        <f t="shared" si="49"/>
        <v>Error?</v>
      </c>
    </row>
    <row r="3226" spans="1:4" x14ac:dyDescent="0.2">
      <c r="A3226" s="5">
        <v>3165</v>
      </c>
      <c r="B3226" s="138">
        <f>'Acct Summary 7-8'!I8</f>
        <v>16060</v>
      </c>
      <c r="C3226" s="2" t="s">
        <v>573</v>
      </c>
      <c r="D3226" s="2" t="str">
        <f t="shared" si="49"/>
        <v>Error?</v>
      </c>
    </row>
    <row r="3227" spans="1:4" x14ac:dyDescent="0.2">
      <c r="A3227" s="5">
        <v>3166</v>
      </c>
      <c r="B3227" s="138">
        <f>'Acct Summary 7-8'!I20</f>
        <v>16060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8622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7926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24264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-4030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5011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16060</v>
      </c>
      <c r="C3320" s="2" t="s">
        <v>573</v>
      </c>
      <c r="D3320" s="2" t="str">
        <f t="shared" si="50"/>
        <v>Error?</v>
      </c>
    </row>
    <row r="3321" spans="1:4" x14ac:dyDescent="0.2">
      <c r="A3321" s="5">
        <v>3260</v>
      </c>
      <c r="B3321" s="138">
        <f>'Acct Summary 7-8'!I79</f>
        <v>13923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29983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41717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42286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7209</v>
      </c>
      <c r="D3387" s="2" t="str">
        <f t="shared" si="51"/>
        <v>Error?</v>
      </c>
    </row>
    <row r="3388" spans="1:4" x14ac:dyDescent="0.2">
      <c r="A3388" s="5">
        <v>3327</v>
      </c>
      <c r="B3388" s="138">
        <f>'Expenditures 15-22'!D217</f>
        <v>604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7209</v>
      </c>
      <c r="C3390" s="2" t="s">
        <v>573</v>
      </c>
      <c r="D3390" s="2" t="str">
        <f t="shared" si="51"/>
        <v>Error?</v>
      </c>
    </row>
    <row r="3391" spans="1:4" x14ac:dyDescent="0.2">
      <c r="A3391" s="5">
        <v>3330</v>
      </c>
      <c r="B3391" s="138">
        <f>'Expenditures 15-22'!K217</f>
        <v>604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198481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422021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43511</v>
      </c>
      <c r="D3417" s="2" t="str">
        <f t="shared" si="52"/>
        <v>Error?</v>
      </c>
    </row>
    <row r="3418" spans="1:4" x14ac:dyDescent="0.2">
      <c r="A3418" s="10">
        <v>3357</v>
      </c>
      <c r="D3418" s="2" t="str">
        <f t="shared" si="52"/>
        <v>OK</v>
      </c>
    </row>
    <row r="3419" spans="1:4" x14ac:dyDescent="0.2">
      <c r="A3419" s="5">
        <v>3358</v>
      </c>
      <c r="B3419" s="138">
        <f>'Assets-Liab 5-6'!F4</f>
        <v>149247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55928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29983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5407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15194</v>
      </c>
      <c r="C3446" s="2" t="s">
        <v>573</v>
      </c>
      <c r="D3446" s="2" t="str">
        <f t="shared" si="52"/>
        <v>Error?</v>
      </c>
    </row>
    <row r="3447" spans="1:4" x14ac:dyDescent="0.2">
      <c r="A3447" s="5">
        <v>3386</v>
      </c>
      <c r="B3447" s="138">
        <f>'Tax Sched 23'!D16</f>
        <v>6217.7000000000007</v>
      </c>
      <c r="C3447" s="2" t="s">
        <v>573</v>
      </c>
      <c r="D3447" s="2" t="str">
        <f t="shared" si="52"/>
        <v>Error?</v>
      </c>
    </row>
    <row r="3448" spans="1:4" x14ac:dyDescent="0.2">
      <c r="A3448" s="5">
        <v>3387</v>
      </c>
      <c r="B3448" s="138">
        <f>'Tax Sched 23'!C16</f>
        <v>8976.2999999999993</v>
      </c>
      <c r="D3448" s="2" t="str">
        <f t="shared" si="52"/>
        <v>Error?</v>
      </c>
    </row>
    <row r="3449" spans="1:4" x14ac:dyDescent="0.2">
      <c r="A3449" s="5">
        <v>3388</v>
      </c>
      <c r="B3449" s="138">
        <f>'Tax Sched 23'!F16</f>
        <v>6622.4900000000016</v>
      </c>
      <c r="C3449" s="2" t="s">
        <v>573</v>
      </c>
      <c r="D3449" s="2" t="str">
        <f t="shared" si="52"/>
        <v>Error?</v>
      </c>
    </row>
    <row r="3450" spans="1:4" x14ac:dyDescent="0.2">
      <c r="A3450" s="5">
        <v>3389</v>
      </c>
      <c r="B3450" s="138">
        <f>'Tax Sched 23'!E16</f>
        <v>15598.79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567762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567762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567762</v>
      </c>
      <c r="D3567" s="2" t="str">
        <f t="shared" si="54"/>
        <v>Error?</v>
      </c>
    </row>
    <row r="3568" spans="1:4" x14ac:dyDescent="0.2">
      <c r="A3568" s="5">
        <v>3507</v>
      </c>
      <c r="B3568" s="138">
        <f>'Assets-Liab 5-6'!K41</f>
        <v>567762</v>
      </c>
      <c r="C3568" s="2" t="s">
        <v>573</v>
      </c>
      <c r="D3568" s="2" t="str">
        <f t="shared" si="54"/>
        <v>Error?</v>
      </c>
    </row>
    <row r="3569" spans="1:4" x14ac:dyDescent="0.2">
      <c r="A3569" s="5">
        <v>3508</v>
      </c>
      <c r="B3569" s="138">
        <f>'Acct Summary 7-8'!K4</f>
        <v>20519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20519</v>
      </c>
      <c r="C3571" s="2" t="s">
        <v>573</v>
      </c>
      <c r="D3571" s="2" t="str">
        <f t="shared" si="54"/>
        <v>Error?</v>
      </c>
    </row>
    <row r="3572" spans="1:4" x14ac:dyDescent="0.2">
      <c r="A3572" s="5">
        <v>3511</v>
      </c>
      <c r="B3572" s="138">
        <f>'Acct Summary 7-8'!K13</f>
        <v>47764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47764</v>
      </c>
      <c r="C3575" s="2" t="s">
        <v>573</v>
      </c>
      <c r="D3575" s="2" t="str">
        <f t="shared" si="54"/>
        <v>Error?</v>
      </c>
    </row>
    <row r="3576" spans="1:4" x14ac:dyDescent="0.2">
      <c r="A3576" s="5">
        <v>3515</v>
      </c>
      <c r="B3576" s="138">
        <f>'Acct Summary 7-8'!K20</f>
        <v>-27245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510000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510000</v>
      </c>
      <c r="C3584" s="2" t="s">
        <v>573</v>
      </c>
      <c r="D3584" s="2" t="str">
        <f t="shared" si="55"/>
        <v>Error?</v>
      </c>
    </row>
    <row r="3585" spans="1:4" x14ac:dyDescent="0.2">
      <c r="A3585" s="12">
        <v>3524</v>
      </c>
      <c r="B3585" s="138">
        <f>'Acct Summary 7-8'!K75</f>
        <v>9500</v>
      </c>
      <c r="D3585" s="2" t="str">
        <f t="shared" si="55"/>
        <v>Error?</v>
      </c>
    </row>
    <row r="3586" spans="1:4" x14ac:dyDescent="0.2">
      <c r="A3586" s="5">
        <v>3525</v>
      </c>
      <c r="B3586" s="138">
        <f>'Acct Summary 7-8'!K76</f>
        <v>9500</v>
      </c>
      <c r="C3586" s="2" t="s">
        <v>573</v>
      </c>
      <c r="D3586" s="2" t="str">
        <f t="shared" si="55"/>
        <v>Error?</v>
      </c>
    </row>
    <row r="3587" spans="1:4" x14ac:dyDescent="0.2">
      <c r="A3587" s="5">
        <v>3526</v>
      </c>
      <c r="B3587" s="138">
        <f>'Acct Summary 7-8'!K77</f>
        <v>500500</v>
      </c>
      <c r="C3587" s="2" t="s">
        <v>573</v>
      </c>
      <c r="D3587" s="2" t="str">
        <f t="shared" si="55"/>
        <v>Error?</v>
      </c>
    </row>
    <row r="3588" spans="1:4" x14ac:dyDescent="0.2">
      <c r="A3588" s="5">
        <v>3527</v>
      </c>
      <c r="B3588" s="138">
        <f>'Acct Summary 7-8'!K78</f>
        <v>473255</v>
      </c>
      <c r="C3588" s="2" t="s">
        <v>573</v>
      </c>
      <c r="D3588" s="2" t="str">
        <f t="shared" si="55"/>
        <v>Error?</v>
      </c>
    </row>
    <row r="3589" spans="1:4" x14ac:dyDescent="0.2">
      <c r="A3589" s="5">
        <v>3528</v>
      </c>
      <c r="B3589" s="138">
        <f>'Acct Summary 7-8'!K79</f>
        <v>94507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567762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30061</v>
      </c>
      <c r="D3631" s="2" t="str">
        <f t="shared" si="55"/>
        <v>Error?</v>
      </c>
    </row>
    <row r="3632" spans="1:4" x14ac:dyDescent="0.2">
      <c r="A3632" s="5">
        <v>3571</v>
      </c>
      <c r="B3632" s="138">
        <f>'Expenditures 15-22'!E349</f>
        <v>10143</v>
      </c>
      <c r="D3632" s="2" t="str">
        <f t="shared" si="55"/>
        <v>Error?</v>
      </c>
    </row>
    <row r="3633" spans="1:4" x14ac:dyDescent="0.2">
      <c r="A3633" s="5">
        <v>3572</v>
      </c>
      <c r="B3633" s="138">
        <f>'Expenditures 15-22'!E350</f>
        <v>40204</v>
      </c>
      <c r="C3633" s="2" t="s">
        <v>573</v>
      </c>
      <c r="D3633" s="2" t="str">
        <f t="shared" si="55"/>
        <v>Error?</v>
      </c>
    </row>
    <row r="3634" spans="1:4" x14ac:dyDescent="0.2">
      <c r="A3634" s="5">
        <v>3573</v>
      </c>
      <c r="B3634" s="138">
        <f>'Expenditures 15-22'!E351</f>
        <v>1360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41564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6200</v>
      </c>
      <c r="D3646" s="2" t="str">
        <f t="shared" si="55"/>
        <v>Error?</v>
      </c>
    </row>
    <row r="3647" spans="1:4" x14ac:dyDescent="0.2">
      <c r="A3647" s="5">
        <v>3586</v>
      </c>
      <c r="B3647" s="138">
        <f>'Expenditures 15-22'!G350</f>
        <v>6200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6200</v>
      </c>
      <c r="C3649" s="2" t="s">
        <v>573</v>
      </c>
      <c r="D3649" s="2" t="str">
        <f t="shared" si="56"/>
        <v>Error?</v>
      </c>
    </row>
    <row r="3650" spans="1:4" x14ac:dyDescent="0.2">
      <c r="A3650" s="5">
        <v>3589</v>
      </c>
      <c r="B3650" s="138">
        <f>'Expenditures 15-22'!G367</f>
        <v>6200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30061</v>
      </c>
      <c r="C3668" s="2" t="s">
        <v>573</v>
      </c>
      <c r="D3668" s="2" t="str">
        <f t="shared" si="56"/>
        <v>Error?</v>
      </c>
    </row>
    <row r="3669" spans="1:4" x14ac:dyDescent="0.2">
      <c r="A3669" s="5">
        <v>3608</v>
      </c>
      <c r="B3669" s="138">
        <f>'Expenditures 15-22'!K349</f>
        <v>16343</v>
      </c>
      <c r="C3669" s="2" t="s">
        <v>573</v>
      </c>
      <c r="D3669" s="2" t="str">
        <f t="shared" si="56"/>
        <v>Error?</v>
      </c>
    </row>
    <row r="3670" spans="1:4" x14ac:dyDescent="0.2">
      <c r="A3670" s="5">
        <v>3609</v>
      </c>
      <c r="B3670" s="138">
        <f>'Expenditures 15-22'!K350</f>
        <v>46404</v>
      </c>
      <c r="C3670" s="2" t="s">
        <v>573</v>
      </c>
      <c r="D3670" s="2" t="str">
        <f t="shared" si="56"/>
        <v>Error?</v>
      </c>
    </row>
    <row r="3671" spans="1:4" x14ac:dyDescent="0.2">
      <c r="A3671" s="5">
        <v>3610</v>
      </c>
      <c r="B3671" s="138">
        <f>'Expenditures 15-22'!K351</f>
        <v>1360</v>
      </c>
      <c r="C3671" s="2" t="s">
        <v>573</v>
      </c>
      <c r="D3671" s="2" t="str">
        <f t="shared" si="56"/>
        <v>Error?</v>
      </c>
    </row>
    <row r="3672" spans="1:4" x14ac:dyDescent="0.2">
      <c r="A3672" s="5">
        <v>3611</v>
      </c>
      <c r="B3672" s="138">
        <f>'Expenditures 15-22'!K352</f>
        <v>47764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47764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-27245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26696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389624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1257216</v>
      </c>
      <c r="C4122" s="2" t="s">
        <v>573</v>
      </c>
      <c r="D4122" s="2" t="str">
        <f t="shared" si="63"/>
        <v>Error?</v>
      </c>
    </row>
    <row r="4123" spans="1:4" x14ac:dyDescent="0.2">
      <c r="A4123" s="5">
        <v>4062</v>
      </c>
      <c r="B4123" s="138">
        <f>'Acct Summary 7-8'!D10</f>
        <v>132115</v>
      </c>
      <c r="C4123" s="2" t="s">
        <v>573</v>
      </c>
      <c r="D4123" s="2" t="str">
        <f t="shared" si="63"/>
        <v>Error?</v>
      </c>
    </row>
    <row r="4124" spans="1:4" x14ac:dyDescent="0.2">
      <c r="A4124" s="5">
        <v>4063</v>
      </c>
      <c r="B4124" s="138">
        <f>'Acct Summary 7-8'!E10</f>
        <v>71941</v>
      </c>
      <c r="C4124" s="2" t="s">
        <v>573</v>
      </c>
      <c r="D4124" s="2" t="str">
        <f t="shared" si="63"/>
        <v>Error?</v>
      </c>
    </row>
    <row r="4125" spans="1:4" x14ac:dyDescent="0.2">
      <c r="A4125" s="5">
        <v>4064</v>
      </c>
      <c r="B4125" s="138">
        <f>'Acct Summary 7-8'!F10</f>
        <v>90598</v>
      </c>
      <c r="C4125" s="2" t="s">
        <v>573</v>
      </c>
      <c r="D4125" s="2" t="str">
        <f t="shared" si="63"/>
        <v>Error?</v>
      </c>
    </row>
    <row r="4126" spans="1:4" x14ac:dyDescent="0.2">
      <c r="A4126" s="5">
        <v>4065</v>
      </c>
      <c r="B4126" s="138">
        <f>'Acct Summary 7-8'!G10</f>
        <v>30842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16060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20519</v>
      </c>
      <c r="C4130" s="2" t="s">
        <v>573</v>
      </c>
      <c r="D4130" s="2" t="str">
        <f t="shared" si="63"/>
        <v>Error?</v>
      </c>
    </row>
    <row r="4131" spans="1:4" x14ac:dyDescent="0.2">
      <c r="A4131" s="5">
        <v>4070</v>
      </c>
      <c r="B4131" s="138">
        <f>'Acct Summary 7-8'!C18</f>
        <v>389624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1248594</v>
      </c>
      <c r="C4136" s="2" t="s">
        <v>573</v>
      </c>
      <c r="D4136" s="2" t="str">
        <f t="shared" si="63"/>
        <v>Error?</v>
      </c>
    </row>
    <row r="4137" spans="1:4" x14ac:dyDescent="0.2">
      <c r="A4137" s="5">
        <v>4076</v>
      </c>
      <c r="B4137" s="138">
        <f>'Acct Summary 7-8'!D19</f>
        <v>124189</v>
      </c>
      <c r="C4137" s="2" t="s">
        <v>573</v>
      </c>
      <c r="D4137" s="2" t="str">
        <f t="shared" si="63"/>
        <v>Error?</v>
      </c>
    </row>
    <row r="4138" spans="1:4" x14ac:dyDescent="0.2">
      <c r="A4138" s="5">
        <v>4077</v>
      </c>
      <c r="B4138" s="138">
        <f>'Acct Summary 7-8'!E19</f>
        <v>66930</v>
      </c>
      <c r="C4138" s="2" t="s">
        <v>573</v>
      </c>
      <c r="D4138" s="2" t="str">
        <f t="shared" si="63"/>
        <v>Error?</v>
      </c>
    </row>
    <row r="4139" spans="1:4" x14ac:dyDescent="0.2">
      <c r="A4139" s="5">
        <v>4078</v>
      </c>
      <c r="B4139" s="138">
        <f>'Acct Summary 7-8'!F19</f>
        <v>66334</v>
      </c>
      <c r="C4139" s="2" t="s">
        <v>573</v>
      </c>
      <c r="D4139" s="2" t="str">
        <f t="shared" si="63"/>
        <v>Error?</v>
      </c>
    </row>
    <row r="4140" spans="1:4" x14ac:dyDescent="0.2">
      <c r="A4140" s="5">
        <v>4079</v>
      </c>
      <c r="B4140" s="138">
        <f>'Acct Summary 7-8'!G19</f>
        <v>34872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47764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510000</v>
      </c>
      <c r="C4171" s="2" t="s">
        <v>573</v>
      </c>
      <c r="D4171" s="2" t="str">
        <f t="shared" si="64"/>
        <v>Error?</v>
      </c>
    </row>
    <row r="4172" spans="1:4" x14ac:dyDescent="0.2">
      <c r="A4172" s="5">
        <v>4111</v>
      </c>
      <c r="B4172" s="138">
        <f>'Short-Term Long-Term Debt 24'!J49</f>
        <v>466489</v>
      </c>
      <c r="C4172" s="2" t="s">
        <v>573</v>
      </c>
      <c r="D4172" s="2" t="str">
        <f t="shared" si="64"/>
        <v>Error?</v>
      </c>
    </row>
    <row r="4173" spans="1:4" x14ac:dyDescent="0.2">
      <c r="A4173" s="5">
        <v>4112</v>
      </c>
      <c r="B4173" s="138">
        <f>'Short-Term Long-Term Debt 24'!H49</f>
        <v>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1900</v>
      </c>
      <c r="C4265" s="2" t="s">
        <v>573</v>
      </c>
      <c r="D4265" s="2" t="str">
        <f t="shared" si="65"/>
        <v>Error?</v>
      </c>
      <c r="E4265" s="128"/>
    </row>
    <row r="4266" spans="1:5" x14ac:dyDescent="0.2">
      <c r="A4266" s="12">
        <v>4205</v>
      </c>
      <c r="B4266" s="138">
        <f>('FP Info 3'!F10)*100000</f>
        <v>4000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6020</v>
      </c>
      <c r="C4268" s="2" t="s">
        <v>573</v>
      </c>
      <c r="D4268" s="2" t="str">
        <f t="shared" si="65"/>
        <v>Error?</v>
      </c>
    </row>
    <row r="4269" spans="1:5" x14ac:dyDescent="0.2">
      <c r="A4269" s="12">
        <v>4208</v>
      </c>
      <c r="B4269" s="138">
        <f>'FP Info 3'!J16</f>
        <v>799732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2079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17862</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32562854</v>
      </c>
      <c r="D4995" s="2" t="str">
        <f t="shared" si="77"/>
        <v>Error?</v>
      </c>
    </row>
    <row r="4996" spans="1:4" x14ac:dyDescent="0.2">
      <c r="A4996" s="12">
        <v>4935</v>
      </c>
      <c r="B4996" s="138">
        <f>'FP Info 3'!H31</f>
        <v>2246836.926</v>
      </c>
      <c r="D4996" s="2" t="str">
        <f t="shared" si="77"/>
        <v>Error?</v>
      </c>
    </row>
    <row r="4997" spans="1:4" x14ac:dyDescent="0.2">
      <c r="A4997" s="12">
        <v>4936</v>
      </c>
      <c r="B4997" s="138">
        <f>'FP Info 3'!H37</f>
        <v>510000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609240</v>
      </c>
      <c r="D5061" s="2" t="str">
        <f t="shared" si="78"/>
        <v>Error?</v>
      </c>
    </row>
    <row r="5062" spans="1:4" x14ac:dyDescent="0.2">
      <c r="A5062" s="10">
        <v>5001</v>
      </c>
      <c r="D5062" s="2" t="str">
        <f t="shared" si="78"/>
        <v>OK</v>
      </c>
    </row>
    <row r="5063" spans="1:4" x14ac:dyDescent="0.2">
      <c r="A5063" s="5">
        <v>5002</v>
      </c>
      <c r="B5063" s="138">
        <f>'Revenues 9-14'!C7</f>
        <v>6413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615653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43029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43029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4485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4485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352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1288</v>
      </c>
      <c r="D5094" s="2" t="str">
        <f t="shared" si="78"/>
        <v>Error?</v>
      </c>
    </row>
    <row r="5095" spans="1:4" x14ac:dyDescent="0.2">
      <c r="A5095" s="5">
        <v>5034</v>
      </c>
      <c r="B5095" s="138">
        <f>'Revenues 9-14'!C74</f>
        <v>921</v>
      </c>
      <c r="D5095" s="2" t="str">
        <f t="shared" si="78"/>
        <v>Error?</v>
      </c>
    </row>
    <row r="5096" spans="1:4" x14ac:dyDescent="0.2">
      <c r="A5096" s="5">
        <v>5035</v>
      </c>
      <c r="B5096" s="138">
        <f>'Revenues 9-14'!C75</f>
        <v>37240</v>
      </c>
      <c r="C5096" s="2" t="s">
        <v>573</v>
      </c>
      <c r="D5096" s="2" t="str">
        <f t="shared" si="78"/>
        <v>Error?</v>
      </c>
    </row>
    <row r="5097" spans="1:4" x14ac:dyDescent="0.2">
      <c r="A5097" s="5">
        <v>5036</v>
      </c>
      <c r="B5097" s="138">
        <f>'Revenues 9-14'!C77</f>
        <v>2608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1812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1536</v>
      </c>
      <c r="D5101" s="2" t="str">
        <f t="shared" si="78"/>
        <v>Error?</v>
      </c>
    </row>
    <row r="5102" spans="1:4" x14ac:dyDescent="0.2">
      <c r="A5102" s="5">
        <v>5041</v>
      </c>
      <c r="B5102" s="138">
        <f>'Revenues 9-14'!C82</f>
        <v>5956</v>
      </c>
      <c r="C5102" s="2" t="s">
        <v>573</v>
      </c>
      <c r="D5102" s="2" t="str">
        <f t="shared" si="78"/>
        <v>Error?</v>
      </c>
    </row>
    <row r="5103" spans="1:4" x14ac:dyDescent="0.2">
      <c r="A5103" s="5">
        <v>5042</v>
      </c>
      <c r="B5103" s="138">
        <f>'Revenues 9-14'!C84</f>
        <v>4981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4981</v>
      </c>
      <c r="C5112" s="2" t="s">
        <v>573</v>
      </c>
      <c r="D5112" s="2" t="str">
        <f t="shared" si="78"/>
        <v>Error?</v>
      </c>
    </row>
    <row r="5113" spans="1:4" x14ac:dyDescent="0.2">
      <c r="A5113" s="5">
        <v>5052</v>
      </c>
      <c r="B5113" s="138">
        <f>'Revenues 9-14'!C95</f>
        <v>120</v>
      </c>
      <c r="D5113" s="2" t="str">
        <f t="shared" si="78"/>
        <v>Error?</v>
      </c>
    </row>
    <row r="5114" spans="1:4" x14ac:dyDescent="0.2">
      <c r="A5114" s="5">
        <v>5053</v>
      </c>
      <c r="B5114" s="138">
        <f>'Revenues 9-14'!C96</f>
        <v>24549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3932</v>
      </c>
      <c r="D5119" s="2" t="str">
        <f t="shared" ref="D5119:D5182" si="79">IF(ISBLANK(B5119),"OK",IF(A5119-B5119=0,"OK","Error?"))</f>
        <v>Error?</v>
      </c>
    </row>
    <row r="5120" spans="1:4" x14ac:dyDescent="0.2">
      <c r="A5120" s="5">
        <v>5059</v>
      </c>
      <c r="B5120" s="138">
        <f>'Revenues 9-14'!C108</f>
        <v>29101</v>
      </c>
      <c r="C5120" s="2" t="s">
        <v>573</v>
      </c>
      <c r="D5120" s="2" t="str">
        <f t="shared" si="79"/>
        <v>Error?</v>
      </c>
    </row>
    <row r="5121" spans="1:4" x14ac:dyDescent="0.2">
      <c r="A5121" s="5">
        <v>5060</v>
      </c>
      <c r="B5121" s="138">
        <f>'Revenues 9-14'!C109</f>
        <v>740445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97565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97565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97669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17862</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9537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9537</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11616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29478</v>
      </c>
      <c r="C5326" s="2" t="s">
        <v>573</v>
      </c>
      <c r="D5326" s="2" t="str">
        <f t="shared" si="82"/>
        <v>Error?</v>
      </c>
    </row>
    <row r="5327" spans="1:5" x14ac:dyDescent="0.2">
      <c r="A5327" s="5">
        <v>5266</v>
      </c>
      <c r="B5327" s="138">
        <f>'Revenues 9-14'!C268</f>
        <v>867592</v>
      </c>
      <c r="C5327" s="2" t="s">
        <v>573</v>
      </c>
      <c r="D5327" s="2" t="str">
        <f t="shared" si="82"/>
        <v>Error?</v>
      </c>
    </row>
    <row r="5328" spans="1:5" x14ac:dyDescent="0.2">
      <c r="A5328" s="5">
        <v>5267</v>
      </c>
      <c r="B5328" s="138">
        <f>'Revenues 9-14'!D5</f>
        <v>128262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128262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3853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3853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132115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132115</v>
      </c>
      <c r="C5508" s="2" t="s">
        <v>573</v>
      </c>
      <c r="D5508" s="2" t="str">
        <f t="shared" si="85"/>
        <v>Error?</v>
      </c>
    </row>
    <row r="5509" spans="1:4" x14ac:dyDescent="0.2">
      <c r="A5509" s="5">
        <v>5448</v>
      </c>
      <c r="B5509" s="138">
        <f>'Revenues 9-14'!E5</f>
        <v>71748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71748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71941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71941</v>
      </c>
      <c r="C5552" s="2" t="s">
        <v>573</v>
      </c>
      <c r="D5552" s="2" t="str">
        <f t="shared" si="85"/>
        <v>Error?</v>
      </c>
    </row>
    <row r="5553" spans="1:4" x14ac:dyDescent="0.2">
      <c r="A5553" s="5">
        <v>5492</v>
      </c>
      <c r="B5553" s="138">
        <f>'Revenues 9-14'!F5</f>
        <v>38479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38479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1474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1474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39953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50645</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50645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50645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50645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90598</v>
      </c>
      <c r="C5720" s="2" t="s">
        <v>573</v>
      </c>
      <c r="D5720" s="2" t="str">
        <f t="shared" si="88"/>
        <v>Error?</v>
      </c>
    </row>
    <row r="5721" spans="1:4" x14ac:dyDescent="0.2">
      <c r="A5721" s="5">
        <v>5660</v>
      </c>
      <c r="B5721" s="138">
        <f>'Revenues 9-14'!G5</f>
        <v>15194</v>
      </c>
      <c r="D5721" s="2" t="str">
        <f t="shared" si="88"/>
        <v>Error?</v>
      </c>
    </row>
    <row r="5722" spans="1:4" x14ac:dyDescent="0.2">
      <c r="A5722" s="5">
        <v>5661</v>
      </c>
      <c r="B5722" s="138">
        <f>'Revenues 9-14'!G7</f>
        <v>0</v>
      </c>
      <c r="D5722" s="2" t="str">
        <f t="shared" si="88"/>
        <v>Error?</v>
      </c>
    </row>
    <row r="5723" spans="1:4" x14ac:dyDescent="0.2">
      <c r="A5723" s="5">
        <v>5662</v>
      </c>
      <c r="B5723" s="138">
        <f>'Revenues 9-14'!G8</f>
        <v>15194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30388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454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30842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16033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16033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16060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16033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16033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4486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4486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20519</v>
      </c>
      <c r="C6023" s="2" t="s">
        <v>573</v>
      </c>
      <c r="D6023" s="2" t="str">
        <f t="shared" si="93"/>
        <v>Error?</v>
      </c>
    </row>
    <row r="6024" spans="1:5" x14ac:dyDescent="0.2">
      <c r="A6024" s="5">
        <v>5963</v>
      </c>
      <c r="B6024" s="138">
        <f>'Revenues 9-14'!G109</f>
        <v>30842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16060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20519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34679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4107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29963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29963</v>
      </c>
      <c r="D6215" s="2" t="str">
        <f t="shared" si="96"/>
        <v>Error?</v>
      </c>
      <c r="E6215" s="2" t="s">
        <v>190</v>
      </c>
    </row>
    <row r="6216" spans="1:5" x14ac:dyDescent="0.2">
      <c r="A6216">
        <v>6155</v>
      </c>
      <c r="B6216" s="138">
        <f>'Assets-Liab 5-6'!J41</f>
        <v>29963</v>
      </c>
      <c r="D6216" s="2" t="str">
        <f t="shared" si="96"/>
        <v>Error?</v>
      </c>
      <c r="E6216" s="2" t="s">
        <v>190</v>
      </c>
    </row>
    <row r="6217" spans="1:5" x14ac:dyDescent="0.2">
      <c r="A6217">
        <v>6156</v>
      </c>
      <c r="B6217" s="138">
        <f>'Assets-Liab 5-6'!J4</f>
        <v>29963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39736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39736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39736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37145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37145</v>
      </c>
      <c r="D6229" s="2" t="str">
        <f t="shared" si="96"/>
        <v>Error?</v>
      </c>
      <c r="E6229" s="2" t="s">
        <v>190</v>
      </c>
    </row>
    <row r="6230" spans="1:5" x14ac:dyDescent="0.2">
      <c r="A6230">
        <v>6169</v>
      </c>
      <c r="B6230" s="138">
        <f>'Acct Summary 7-8'!J20</f>
        <v>2591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2591</v>
      </c>
      <c r="D6263" s="2" t="str">
        <f t="shared" si="96"/>
        <v>Error?</v>
      </c>
      <c r="E6263" s="2" t="s">
        <v>190</v>
      </c>
    </row>
    <row r="6264" spans="1:5" x14ac:dyDescent="0.2">
      <c r="A6264">
        <v>6203</v>
      </c>
      <c r="B6264" s="138">
        <f>'Acct Summary 7-8'!J79</f>
        <v>27372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29963</v>
      </c>
      <c r="D6266" s="2" t="str">
        <f t="shared" si="96"/>
        <v>Error?</v>
      </c>
      <c r="E6266" s="2" t="s">
        <v>190</v>
      </c>
    </row>
    <row r="6267" spans="1:5" x14ac:dyDescent="0.2">
      <c r="A6267">
        <v>6206</v>
      </c>
      <c r="B6267" s="138">
        <f>'Acct Summary 7-8'!C82</f>
        <v>8622</v>
      </c>
      <c r="D6267" s="2" t="str">
        <f t="shared" si="96"/>
        <v>Error?</v>
      </c>
      <c r="E6267" s="2" t="s">
        <v>190</v>
      </c>
    </row>
    <row r="6268" spans="1:5" x14ac:dyDescent="0.2">
      <c r="A6268">
        <v>6207</v>
      </c>
      <c r="B6268" s="138">
        <f>'Acct Summary 7-8'!D82</f>
        <v>7926</v>
      </c>
      <c r="D6268" s="2" t="str">
        <f t="shared" si="96"/>
        <v>Error?</v>
      </c>
      <c r="E6268" s="2" t="s">
        <v>190</v>
      </c>
    </row>
    <row r="6269" spans="1:5" x14ac:dyDescent="0.2">
      <c r="A6269">
        <v>6208</v>
      </c>
      <c r="B6269" s="138">
        <f>'Acct Summary 7-8'!E82</f>
        <v>5011</v>
      </c>
      <c r="D6269" s="2" t="str">
        <f t="shared" si="96"/>
        <v>Error?</v>
      </c>
      <c r="E6269" s="2" t="s">
        <v>190</v>
      </c>
    </row>
    <row r="6270" spans="1:5" x14ac:dyDescent="0.2">
      <c r="A6270">
        <v>6209</v>
      </c>
      <c r="B6270" s="138">
        <f>'Acct Summary 7-8'!F82</f>
        <v>24264</v>
      </c>
      <c r="D6270" s="2" t="str">
        <f t="shared" si="96"/>
        <v>Error?</v>
      </c>
      <c r="E6270" s="2" t="s">
        <v>190</v>
      </c>
    </row>
    <row r="6271" spans="1:5" x14ac:dyDescent="0.2">
      <c r="A6271">
        <v>6210</v>
      </c>
      <c r="B6271" s="138">
        <f>'Acct Summary 7-8'!G82</f>
        <v>-4030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16060</v>
      </c>
      <c r="D6273" s="2" t="str">
        <f t="shared" si="97"/>
        <v>Error?</v>
      </c>
      <c r="E6273" s="2" t="s">
        <v>190</v>
      </c>
    </row>
    <row r="6274" spans="1:5" x14ac:dyDescent="0.2">
      <c r="A6274">
        <v>6213</v>
      </c>
      <c r="B6274" s="138">
        <f>'Acct Summary 7-8'!J82</f>
        <v>2591</v>
      </c>
      <c r="D6274" s="2" t="str">
        <f t="shared" si="97"/>
        <v>Error?</v>
      </c>
      <c r="E6274" s="2" t="s">
        <v>190</v>
      </c>
    </row>
    <row r="6275" spans="1:5" x14ac:dyDescent="0.2">
      <c r="A6275">
        <v>6214</v>
      </c>
      <c r="B6275" s="138">
        <f>'Acct Summary 7-8'!K82</f>
        <v>473255</v>
      </c>
      <c r="D6275" s="2" t="str">
        <f t="shared" si="97"/>
        <v>Error?</v>
      </c>
      <c r="E6275" s="2" t="s">
        <v>190</v>
      </c>
    </row>
    <row r="6276" spans="1:5" x14ac:dyDescent="0.2">
      <c r="A6276">
        <v>6215</v>
      </c>
      <c r="B6276" s="138">
        <f>'Acct Summary 7-8'!C83</f>
        <v>4.3439926239791211E-2</v>
      </c>
      <c r="D6276" s="2" t="str">
        <f t="shared" si="97"/>
        <v>Error?</v>
      </c>
      <c r="E6276" s="2" t="s">
        <v>190</v>
      </c>
    </row>
    <row r="6277" spans="1:5" x14ac:dyDescent="0.2">
      <c r="A6277">
        <v>6216</v>
      </c>
      <c r="B6277" s="138">
        <f>'Acct Summary 7-8'!D83</f>
        <v>1.8781055919018248E-2</v>
      </c>
      <c r="D6277" s="2" t="str">
        <f t="shared" si="97"/>
        <v>Error?</v>
      </c>
      <c r="E6277" s="2" t="s">
        <v>190</v>
      </c>
    </row>
    <row r="6278" spans="1:5" x14ac:dyDescent="0.2">
      <c r="A6278">
        <v>6217</v>
      </c>
      <c r="B6278" s="138">
        <f>'Acct Summary 7-8'!E83</f>
        <v>0.11516627979131713</v>
      </c>
      <c r="D6278" s="2" t="str">
        <f t="shared" si="97"/>
        <v>Error?</v>
      </c>
      <c r="E6278" s="2" t="s">
        <v>190</v>
      </c>
    </row>
    <row r="6279" spans="1:5" x14ac:dyDescent="0.2">
      <c r="A6279">
        <v>6218</v>
      </c>
      <c r="B6279" s="138">
        <f>'Acct Summary 7-8'!F83</f>
        <v>0.16257613218356148</v>
      </c>
      <c r="D6279" s="2" t="str">
        <f t="shared" si="97"/>
        <v>Error?</v>
      </c>
      <c r="E6279" s="2" t="s">
        <v>190</v>
      </c>
    </row>
    <row r="6280" spans="1:5" x14ac:dyDescent="0.2">
      <c r="A6280">
        <v>6219</v>
      </c>
      <c r="B6280" s="138">
        <f>'Acct Summary 7-8'!G83</f>
        <v>-7.20569303390073E-2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0.53563686088783646</v>
      </c>
      <c r="D6282" s="2" t="str">
        <f t="shared" si="97"/>
        <v>Error?</v>
      </c>
      <c r="E6282" s="2" t="s">
        <v>190</v>
      </c>
    </row>
    <row r="6283" spans="1:5" x14ac:dyDescent="0.2">
      <c r="A6283">
        <v>6222</v>
      </c>
      <c r="B6283" s="138">
        <f>'Acct Summary 7-8'!J83</f>
        <v>8.6473317091078999E-2</v>
      </c>
      <c r="D6283" s="2" t="str">
        <f t="shared" si="97"/>
        <v>Error?</v>
      </c>
      <c r="E6283" s="2" t="s">
        <v>190</v>
      </c>
    </row>
    <row r="6284" spans="1:5" x14ac:dyDescent="0.2">
      <c r="A6284">
        <v>6223</v>
      </c>
      <c r="B6284" s="138">
        <f>'Acct Summary 7-8'!K83</f>
        <v>0.8335446895001779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39736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39736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39736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1287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1287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1376</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1376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1376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2663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613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812</v>
      </c>
      <c r="D7032" s="2" t="str">
        <f t="shared" si="108"/>
        <v>Error?</v>
      </c>
    </row>
    <row r="7033" spans="1:4" x14ac:dyDescent="0.2">
      <c r="A7033">
        <v>6972</v>
      </c>
      <c r="B7033" s="138">
        <f>'Expenditures 15-22'!I127</f>
        <v>1425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1425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37145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1425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39736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7320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7320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10900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10900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6183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18183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742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742</v>
      </c>
      <c r="D7198" s="2" t="str">
        <f t="shared" si="111"/>
        <v>Error?</v>
      </c>
    </row>
    <row r="7199" spans="1:4" x14ac:dyDescent="0.2">
      <c r="A7199">
        <v>7138</v>
      </c>
      <c r="B7199" s="138">
        <f>'Expenditures 15-22'!C330</f>
        <v>12000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25145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37145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25145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37145</v>
      </c>
      <c r="D7224" s="2" t="str">
        <f t="shared" si="111"/>
        <v>Error?</v>
      </c>
    </row>
    <row r="7225" spans="1:4" x14ac:dyDescent="0.2">
      <c r="A7225">
        <v>7164</v>
      </c>
      <c r="B7225" s="138">
        <f>'Expenditures 15-22'!K343</f>
        <v>2591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2657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2657</v>
      </c>
      <c r="D7618" s="2" t="str">
        <f t="shared" si="124"/>
        <v>Error?</v>
      </c>
      <c r="E7618" s="2" t="s">
        <v>19</v>
      </c>
    </row>
    <row r="7619" spans="1:5" x14ac:dyDescent="0.2">
      <c r="A7619">
        <f t="shared" si="123"/>
        <v>7558</v>
      </c>
      <c r="B7619" s="138">
        <f>'Cap Outlay Deprec 26'!H14</f>
        <v>2657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2657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4088</v>
      </c>
      <c r="D7624" s="2" t="str">
        <f t="shared" si="124"/>
        <v>Error?</v>
      </c>
      <c r="E7624" s="2" t="s">
        <v>19</v>
      </c>
    </row>
    <row r="7625" spans="1:5" x14ac:dyDescent="0.2">
      <c r="A7625">
        <f t="shared" si="123"/>
        <v>7564</v>
      </c>
      <c r="B7625" s="138">
        <f>'Cap Outlay Deprec 26'!I17</f>
        <v>408.8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43975.8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6413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57251</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Lisbon CCSD 90</v>
      </c>
      <c r="B7" s="2385"/>
      <c r="C7" s="2385"/>
      <c r="D7" s="2422"/>
      <c r="E7" s="2423">
        <f>COVER!A13</f>
        <v>24047090004</v>
      </c>
      <c r="F7" s="2424"/>
      <c r="G7" s="2391" t="str">
        <f>COVER!T23</f>
        <v>066-004945</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GASSENSMITH &amp; MICHALESKO, LTD</v>
      </c>
      <c r="H9" s="2398"/>
      <c r="I9" s="2398"/>
      <c r="J9" s="2398"/>
      <c r="K9" s="2398"/>
      <c r="L9" s="2399"/>
    </row>
    <row r="10" spans="1:29" ht="13.5" customHeight="1" x14ac:dyDescent="0.2">
      <c r="A10" s="2381" t="str">
        <f>COVER!A38</f>
        <v>Melanie Elias</v>
      </c>
      <c r="B10" s="2382"/>
      <c r="C10" s="2382"/>
      <c r="D10" s="2382"/>
      <c r="E10" s="2382"/>
      <c r="F10" s="2383"/>
      <c r="G10" s="2397" t="str">
        <f>COVER!T17</f>
        <v>323 SPRINGFIELD AVE</v>
      </c>
      <c r="H10" s="2410"/>
      <c r="I10" s="2410"/>
      <c r="J10" s="2410"/>
      <c r="K10" s="2410"/>
      <c r="L10" s="2411"/>
    </row>
    <row r="11" spans="1:29" ht="13.5" customHeight="1" x14ac:dyDescent="0.2">
      <c r="A11" s="1184" t="s">
        <v>1519</v>
      </c>
      <c r="B11" s="1185"/>
      <c r="C11" s="1186"/>
      <c r="D11" s="1191"/>
      <c r="E11" s="1186"/>
      <c r="F11" s="1190"/>
      <c r="G11" s="2397" t="str">
        <f>COVER!T19</f>
        <v>JOLIET</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JILLE@GASSENSMITH.COM</v>
      </c>
      <c r="J13" s="2419"/>
      <c r="K13" s="2419"/>
      <c r="L13" s="2420"/>
    </row>
    <row r="14" spans="1:29" ht="13.5" customHeight="1" x14ac:dyDescent="0.2">
      <c r="A14" s="2397" t="str">
        <f>COVER!A19</f>
        <v>127 SOUTH CANAL</v>
      </c>
      <c r="B14" s="2410"/>
      <c r="C14" s="2410"/>
      <c r="D14" s="2410"/>
      <c r="E14" s="2410"/>
      <c r="F14" s="2411"/>
      <c r="G14" s="1195" t="s">
        <v>1185</v>
      </c>
      <c r="H14" s="1193"/>
      <c r="I14" s="1193"/>
      <c r="J14" s="1193"/>
      <c r="K14" s="1193"/>
      <c r="L14" s="1194"/>
    </row>
    <row r="15" spans="1:29" ht="13.5" customHeight="1" x14ac:dyDescent="0.2">
      <c r="A15" s="2397" t="str">
        <f>COVER!A21</f>
        <v>NEWARK</v>
      </c>
      <c r="B15" s="2410"/>
      <c r="C15" s="2410"/>
      <c r="D15" s="2410"/>
      <c r="E15" s="2410"/>
      <c r="F15" s="2411"/>
      <c r="G15" s="2407" t="str">
        <f>COVER!T15</f>
        <v>JILL E GASSENSMITH</v>
      </c>
      <c r="H15" s="2408"/>
      <c r="I15" s="2408"/>
      <c r="J15" s="2408"/>
      <c r="K15" s="2408"/>
      <c r="L15" s="2409"/>
    </row>
    <row r="16" spans="1:29" ht="12.2" customHeight="1" x14ac:dyDescent="0.2">
      <c r="A16" s="2387">
        <f>COVER!A25</f>
        <v>60541</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815-744-6200</v>
      </c>
      <c r="H18" s="2385"/>
      <c r="I18" s="2385"/>
      <c r="J18" s="2385"/>
      <c r="K18" s="2384" t="str">
        <f>COVER!X21</f>
        <v>815-744-3822</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Lisbon CCSD 90</v>
      </c>
      <c r="B1" s="2421"/>
      <c r="C1" s="2421"/>
      <c r="D1" s="2421"/>
    </row>
    <row r="2" spans="1:11" s="1212" customFormat="1" ht="12.75" x14ac:dyDescent="0.2">
      <c r="A2" s="2426">
        <f>'Single Audit Cover'!E7</f>
        <v>24047090004</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Lisbon CCSD 90</v>
      </c>
      <c r="B1" s="2429"/>
      <c r="C1" s="2429"/>
      <c r="D1" s="2429"/>
      <c r="E1" s="2429"/>
    </row>
    <row r="2" spans="1:5" x14ac:dyDescent="0.2">
      <c r="A2" s="2430">
        <f>'Single Audit Cover'!E7</f>
        <v>24047090004</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29478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4107</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33585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33585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33585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Lisbon CCSD 90</v>
      </c>
      <c r="C1" s="2433"/>
      <c r="D1" s="2433"/>
      <c r="E1" s="2433"/>
      <c r="F1" s="2433"/>
      <c r="G1" s="2433"/>
      <c r="H1" s="2433"/>
      <c r="I1" s="2433"/>
      <c r="J1" s="2433"/>
      <c r="K1" s="2433"/>
      <c r="L1" s="2433"/>
      <c r="M1" s="2433"/>
    </row>
    <row r="2" spans="2:14" ht="15" x14ac:dyDescent="0.2">
      <c r="B2" s="2434">
        <f>'Single Audit Cover'!E7</f>
        <v>24047090004</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Lisbon CCSD 90</v>
      </c>
      <c r="B1" s="2438"/>
      <c r="C1" s="2438"/>
      <c r="D1" s="2438"/>
      <c r="E1" s="2438"/>
      <c r="F1" s="2438"/>
    </row>
    <row r="2" spans="1:7" ht="13.5" customHeight="1" x14ac:dyDescent="0.2">
      <c r="A2" s="2434">
        <f>'Single Audit Cover'!E7</f>
        <v>24047090004</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C68" sqref="C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2064</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2087</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Lisbon CCSD 90</v>
      </c>
      <c r="C1" s="2454"/>
      <c r="D1" s="2454"/>
      <c r="E1" s="2454"/>
      <c r="F1" s="2454"/>
      <c r="G1" s="2454"/>
      <c r="H1" s="2454"/>
      <c r="I1" s="2454"/>
      <c r="J1" s="1406"/>
    </row>
    <row r="2" spans="2:10" s="317" customFormat="1" ht="12.75" customHeight="1" x14ac:dyDescent="0.2">
      <c r="B2" s="2455">
        <f>'Single Audit Cover'!E7</f>
        <v>24047090004</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Lisbon CCSD 90</v>
      </c>
      <c r="C1" s="2453"/>
      <c r="D1" s="2453"/>
      <c r="E1" s="2453"/>
      <c r="F1" s="2453"/>
      <c r="G1" s="2453"/>
      <c r="H1" s="2453"/>
      <c r="I1" s="2453"/>
      <c r="J1" s="2453"/>
      <c r="K1" s="2453"/>
      <c r="L1" s="1371"/>
      <c r="M1" s="1371"/>
    </row>
    <row r="2" spans="1:13" ht="12" customHeight="1" x14ac:dyDescent="0.2">
      <c r="B2" s="2455">
        <f>'Single Audit Cover'!E7</f>
        <v>24047090004</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Lisbon CCSD 90</v>
      </c>
      <c r="C1" s="2480"/>
      <c r="D1" s="2480"/>
      <c r="E1" s="2480"/>
      <c r="F1" s="2480"/>
      <c r="G1" s="2480"/>
      <c r="H1" s="2480"/>
      <c r="I1" s="2480"/>
      <c r="J1" s="2480"/>
      <c r="K1" s="2480"/>
      <c r="L1" s="1449"/>
    </row>
    <row r="2" spans="1:12" ht="12.75" customHeight="1" x14ac:dyDescent="0.2">
      <c r="B2" s="2481">
        <f>'Single Audit Cover'!E7</f>
        <v>24047090004</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Lisbon CCSD 90</v>
      </c>
      <c r="C1" s="2453"/>
      <c r="D1" s="2453"/>
      <c r="E1" s="1469"/>
    </row>
    <row r="2" spans="2:5" s="1279" customFormat="1" ht="12.75" customHeight="1" x14ac:dyDescent="0.2">
      <c r="B2" s="2455">
        <f>'Single Audit Cover'!E7</f>
        <v>24047090004</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C68" sqref="C6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32562854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1.9E-2</v>
      </c>
      <c r="E10" s="356" t="s">
        <v>1005</v>
      </c>
      <c r="F10" s="355">
        <v>0.04</v>
      </c>
      <c r="G10" s="356" t="s">
        <v>1005</v>
      </c>
      <c r="H10" s="355">
        <v>1.1999999999999999E-3</v>
      </c>
      <c r="I10" s="356" t="s">
        <v>1006</v>
      </c>
      <c r="J10" s="1732">
        <f>ROUND(D10+F10+H10,5)</f>
        <v>6.0199999999999997E-2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1106365</v>
      </c>
      <c r="E16" s="356"/>
      <c r="F16" s="1733">
        <f>SUM('Acct Summary 7-8'!C17,'Acct Summary 7-8'!D17,'Acct Summary 7-8'!F17)</f>
        <v>1049493</v>
      </c>
      <c r="G16" s="356"/>
      <c r="H16" s="1733">
        <f>SUM(D16-F16)</f>
        <v>56872</v>
      </c>
      <c r="I16" s="222"/>
      <c r="J16" s="1733">
        <f>SUM('Acct Summary 7-8'!C81,'Acct Summary 7-8'!D81,'Acct Summary 7-8'!F81,'Acct Summary 7-8'!I81)</f>
        <v>799732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2246836.926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68" sqref="C6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Lisbon CCSD 90</v>
      </c>
      <c r="E7" s="391"/>
      <c r="G7" s="252"/>
      <c r="H7" s="387"/>
      <c r="I7" s="387"/>
      <c r="J7" s="387"/>
      <c r="K7" s="387"/>
      <c r="L7" s="329"/>
      <c r="M7" s="329"/>
      <c r="N7" s="329"/>
      <c r="O7" s="329"/>
      <c r="P7" s="329"/>
    </row>
    <row r="8" spans="1:18" ht="12.75" x14ac:dyDescent="0.2">
      <c r="A8" s="329"/>
      <c r="B8" s="329"/>
      <c r="C8" s="389" t="s">
        <v>1125</v>
      </c>
      <c r="D8" s="392">
        <f>COVER!A13</f>
        <v>24047090004</v>
      </c>
      <c r="E8" s="393"/>
      <c r="G8" s="329"/>
      <c r="H8" s="329"/>
      <c r="I8" s="329"/>
      <c r="J8" s="329"/>
      <c r="K8" s="329"/>
      <c r="L8" s="329"/>
      <c r="M8" s="329"/>
      <c r="N8" s="329"/>
      <c r="O8" s="329"/>
      <c r="P8" s="329"/>
    </row>
    <row r="9" spans="1:18" ht="12.75" x14ac:dyDescent="0.2">
      <c r="A9" s="329"/>
      <c r="B9" s="329"/>
      <c r="C9" s="389" t="s">
        <v>713</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799732</v>
      </c>
      <c r="I12" s="404"/>
      <c r="J12" s="404"/>
      <c r="K12" s="405">
        <f>TRUNC((H12/H13*100000),5)/100000</f>
        <v>0.72284643849999997</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1106365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1049493</v>
      </c>
      <c r="I17" s="404"/>
      <c r="J17" s="416"/>
      <c r="K17" s="405">
        <f>TRUNC((H17/H18*100000),5)/100000</f>
        <v>0.94859562619999993</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1106365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799732</v>
      </c>
      <c r="I24" s="422"/>
      <c r="J24" s="422"/>
      <c r="K24" s="423">
        <f>TRUNC(((H24/H25*100000)/100000),2)</f>
        <v>274.32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2915.2583300000001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1666241.23918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510000</v>
      </c>
      <c r="I32" s="420"/>
      <c r="J32" s="420"/>
      <c r="K32" s="423">
        <f>TRUNC(100-((((H32/H33*100))*100)/100),2)</f>
        <v>77.3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2246836.926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C68" sqref="C68"/>
      <selection pane="bottomLeft" activeCell="C68" sqref="C6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198481</v>
      </c>
      <c r="D4" s="466">
        <v>422021</v>
      </c>
      <c r="E4" s="466">
        <v>43511</v>
      </c>
      <c r="F4" s="466">
        <v>149247</v>
      </c>
      <c r="G4" s="466">
        <v>55928</v>
      </c>
      <c r="H4" s="466">
        <v>0</v>
      </c>
      <c r="I4" s="466">
        <v>29983</v>
      </c>
      <c r="J4" s="467">
        <v>29963</v>
      </c>
      <c r="K4" s="466">
        <v>567762</v>
      </c>
      <c r="L4" s="466">
        <v>5407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198481</v>
      </c>
      <c r="D13" s="1737">
        <f t="shared" ref="D13:L13" si="0">SUM(D4:D12)</f>
        <v>422021</v>
      </c>
      <c r="E13" s="1737">
        <f t="shared" si="0"/>
        <v>43511</v>
      </c>
      <c r="F13" s="1737">
        <f t="shared" si="0"/>
        <v>149247</v>
      </c>
      <c r="G13" s="1737">
        <f t="shared" si="0"/>
        <v>55928</v>
      </c>
      <c r="H13" s="1737">
        <f t="shared" si="0"/>
        <v>0</v>
      </c>
      <c r="I13" s="1737">
        <f t="shared" si="0"/>
        <v>29983</v>
      </c>
      <c r="J13" s="1737">
        <f t="shared" si="0"/>
        <v>29963</v>
      </c>
      <c r="K13" s="1737">
        <f t="shared" si="0"/>
        <v>567762</v>
      </c>
      <c r="L13" s="1737">
        <f t="shared" si="0"/>
        <v>5407</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3000</v>
      </c>
      <c r="N16" s="484"/>
    </row>
    <row r="17" spans="1:14" s="485" customFormat="1" ht="12.75" customHeight="1" x14ac:dyDescent="0.2">
      <c r="A17" s="482" t="s">
        <v>1403</v>
      </c>
      <c r="B17" s="483">
        <v>230</v>
      </c>
      <c r="C17" s="477"/>
      <c r="D17" s="477"/>
      <c r="E17" s="477"/>
      <c r="F17" s="477"/>
      <c r="G17" s="477"/>
      <c r="H17" s="477"/>
      <c r="I17" s="477"/>
      <c r="J17" s="477"/>
      <c r="K17" s="477"/>
      <c r="L17" s="477"/>
      <c r="M17" s="467">
        <v>1462795</v>
      </c>
      <c r="N17" s="484"/>
    </row>
    <row r="18" spans="1:14" s="485" customFormat="1" ht="12.75" customHeight="1" x14ac:dyDescent="0.2">
      <c r="A18" s="482" t="s">
        <v>1404</v>
      </c>
      <c r="B18" s="483">
        <v>240</v>
      </c>
      <c r="C18" s="477"/>
      <c r="D18" s="477"/>
      <c r="E18" s="477"/>
      <c r="F18" s="477"/>
      <c r="G18" s="477"/>
      <c r="H18" s="477"/>
      <c r="I18" s="477"/>
      <c r="J18" s="477"/>
      <c r="K18" s="477"/>
      <c r="L18" s="477"/>
      <c r="M18" s="467">
        <v>151607</v>
      </c>
      <c r="N18" s="484"/>
    </row>
    <row r="19" spans="1:14" s="485" customFormat="1" ht="12.75" customHeight="1" x14ac:dyDescent="0.2">
      <c r="A19" s="482" t="s">
        <v>1405</v>
      </c>
      <c r="B19" s="483">
        <v>250</v>
      </c>
      <c r="C19" s="477"/>
      <c r="D19" s="477"/>
      <c r="E19" s="477"/>
      <c r="F19" s="477"/>
      <c r="G19" s="477"/>
      <c r="H19" s="477"/>
      <c r="I19" s="477"/>
      <c r="J19" s="477"/>
      <c r="K19" s="477"/>
      <c r="L19" s="477"/>
      <c r="M19" s="467">
        <v>285177</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43511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466489</v>
      </c>
    </row>
    <row r="23" spans="1:14" ht="13.5" customHeight="1" thickBot="1" x14ac:dyDescent="0.25">
      <c r="A23" s="1736" t="s">
        <v>643</v>
      </c>
      <c r="B23" s="1741"/>
      <c r="C23" s="468"/>
      <c r="D23" s="468"/>
      <c r="E23" s="468"/>
      <c r="F23" s="468"/>
      <c r="G23" s="468"/>
      <c r="H23" s="468"/>
      <c r="I23" s="468"/>
      <c r="J23" s="468"/>
      <c r="K23" s="468"/>
      <c r="L23" s="468"/>
      <c r="M23" s="1688">
        <f>SUM(M15:M22)</f>
        <v>1902579</v>
      </c>
      <c r="N23" s="1688">
        <f>SUM(N21:N22)</f>
        <v>510000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5407</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5407</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510000</v>
      </c>
    </row>
    <row r="37" spans="1:14" ht="13.5" thickBot="1" x14ac:dyDescent="0.25">
      <c r="A37" s="1736" t="s">
        <v>653</v>
      </c>
      <c r="B37" s="1741"/>
      <c r="C37" s="477"/>
      <c r="D37" s="477"/>
      <c r="E37" s="477"/>
      <c r="F37" s="477"/>
      <c r="G37" s="477"/>
      <c r="H37" s="477"/>
      <c r="I37" s="477"/>
      <c r="J37" s="477"/>
      <c r="K37" s="477"/>
      <c r="L37" s="480"/>
      <c r="M37" s="468"/>
      <c r="N37" s="1688">
        <f>SUM(N36:N36)</f>
        <v>510000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198481</v>
      </c>
      <c r="D39" s="466">
        <v>422021</v>
      </c>
      <c r="E39" s="466">
        <v>43511</v>
      </c>
      <c r="F39" s="466">
        <v>149247</v>
      </c>
      <c r="G39" s="466">
        <v>55928</v>
      </c>
      <c r="H39" s="466"/>
      <c r="I39" s="466">
        <v>29983</v>
      </c>
      <c r="J39" s="467">
        <v>29963</v>
      </c>
      <c r="K39" s="466">
        <v>567762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1902579</v>
      </c>
      <c r="N40" s="497"/>
    </row>
    <row r="41" spans="1:14" ht="13.5" customHeight="1" thickBot="1" x14ac:dyDescent="0.25">
      <c r="A41" s="1736" t="s">
        <v>655</v>
      </c>
      <c r="B41" s="1706"/>
      <c r="C41" s="1688">
        <f>(SUM(C34,C37,C38,C39))</f>
        <v>198481</v>
      </c>
      <c r="D41" s="1688">
        <f t="shared" ref="D41:L41" si="2">SUM(D34,D37,D38:D39)</f>
        <v>422021</v>
      </c>
      <c r="E41" s="1688">
        <f t="shared" si="2"/>
        <v>43511</v>
      </c>
      <c r="F41" s="1688">
        <f t="shared" si="2"/>
        <v>149247</v>
      </c>
      <c r="G41" s="1688">
        <f t="shared" si="2"/>
        <v>55928</v>
      </c>
      <c r="H41" s="1688">
        <f t="shared" si="2"/>
        <v>0</v>
      </c>
      <c r="I41" s="1688">
        <f t="shared" si="2"/>
        <v>29983</v>
      </c>
      <c r="J41" s="1688">
        <f t="shared" si="2"/>
        <v>29963</v>
      </c>
      <c r="K41" s="1688">
        <f t="shared" si="2"/>
        <v>567762</v>
      </c>
      <c r="L41" s="1688">
        <f t="shared" si="2"/>
        <v>5407</v>
      </c>
      <c r="M41" s="1688">
        <f>SUM(M40)</f>
        <v>1902579</v>
      </c>
      <c r="N41" s="1688">
        <f>SUM(N37)</f>
        <v>510000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68" sqref="C68"/>
      <selection pane="bottomLeft" activeCell="C68" sqref="C6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740445</v>
      </c>
      <c r="D4" s="1742">
        <f>'Revenues 9-14'!D109</f>
        <v>132115</v>
      </c>
      <c r="E4" s="1742">
        <f>'Revenues 9-14'!E109</f>
        <v>71941</v>
      </c>
      <c r="F4" s="1742">
        <f>'Revenues 9-14'!F109</f>
        <v>39953</v>
      </c>
      <c r="G4" s="1742">
        <f>'Revenues 9-14'!G109</f>
        <v>30842</v>
      </c>
      <c r="H4" s="1742">
        <f>'Revenues 9-14'!H109</f>
        <v>0</v>
      </c>
      <c r="I4" s="1742">
        <f>'Revenues 9-14'!I109</f>
        <v>16060</v>
      </c>
      <c r="J4" s="1742">
        <f>'Revenues 9-14'!J109</f>
        <v>39736</v>
      </c>
      <c r="K4" s="1742">
        <f>'Revenues 9-14'!K109</f>
        <v>20519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97669</v>
      </c>
      <c r="D6" s="1743">
        <f>'Revenues 9-14'!D170</f>
        <v>0</v>
      </c>
      <c r="E6" s="1743">
        <f>'Revenues 9-14'!E170</f>
        <v>0</v>
      </c>
      <c r="F6" s="1743">
        <f>'Revenues 9-14'!F170</f>
        <v>50645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29478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867592</v>
      </c>
      <c r="D8" s="1688">
        <f t="shared" ref="D8:K8" si="0">SUM(D4:D7)</f>
        <v>132115</v>
      </c>
      <c r="E8" s="1688">
        <f t="shared" si="0"/>
        <v>71941</v>
      </c>
      <c r="F8" s="1688">
        <f t="shared" si="0"/>
        <v>90598</v>
      </c>
      <c r="G8" s="1688">
        <f t="shared" si="0"/>
        <v>30842</v>
      </c>
      <c r="H8" s="1688">
        <f t="shared" si="0"/>
        <v>0</v>
      </c>
      <c r="I8" s="1688">
        <f t="shared" si="0"/>
        <v>16060</v>
      </c>
      <c r="J8" s="1688">
        <f t="shared" si="0"/>
        <v>39736</v>
      </c>
      <c r="K8" s="1688">
        <f t="shared" si="0"/>
        <v>20519</v>
      </c>
      <c r="L8" s="347"/>
    </row>
    <row r="9" spans="1:13" ht="15.75" thickTop="1" x14ac:dyDescent="0.2">
      <c r="A9" s="514" t="s">
        <v>1653</v>
      </c>
      <c r="B9" s="515">
        <v>3998</v>
      </c>
      <c r="C9" s="481">
        <v>389624</v>
      </c>
      <c r="D9" s="516"/>
      <c r="E9" s="481"/>
      <c r="F9" s="481"/>
      <c r="G9" s="517"/>
      <c r="H9" s="481"/>
      <c r="I9" s="509" t="s">
        <v>1169</v>
      </c>
      <c r="J9" s="478"/>
      <c r="K9" s="481"/>
      <c r="L9" s="347"/>
    </row>
    <row r="10" spans="1:13" s="519" customFormat="1" ht="13.5" thickBot="1" x14ac:dyDescent="0.25">
      <c r="A10" s="1736" t="s">
        <v>1173</v>
      </c>
      <c r="B10" s="1709"/>
      <c r="C10" s="1688">
        <f>SUM(C8:C9)</f>
        <v>1257216</v>
      </c>
      <c r="D10" s="1688">
        <f t="shared" ref="D10:K10" si="1">SUM(D8:D9)</f>
        <v>132115</v>
      </c>
      <c r="E10" s="1688">
        <f t="shared" si="1"/>
        <v>71941</v>
      </c>
      <c r="F10" s="1688">
        <f t="shared" si="1"/>
        <v>90598</v>
      </c>
      <c r="G10" s="1688">
        <f t="shared" si="1"/>
        <v>30842</v>
      </c>
      <c r="H10" s="1688">
        <f t="shared" si="1"/>
        <v>0</v>
      </c>
      <c r="I10" s="1688">
        <f t="shared" si="1"/>
        <v>16060</v>
      </c>
      <c r="J10" s="1688">
        <f t="shared" si="1"/>
        <v>39736</v>
      </c>
      <c r="K10" s="1688">
        <f t="shared" si="1"/>
        <v>20519</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595880</v>
      </c>
      <c r="D12" s="520" t="s">
        <v>1169</v>
      </c>
      <c r="E12" s="468" t="s">
        <v>1169</v>
      </c>
      <c r="F12" s="468" t="s">
        <v>1169</v>
      </c>
      <c r="G12" s="1742">
        <f>'Expenditures 15-22'!K229</f>
        <v>8383</v>
      </c>
      <c r="H12" s="521"/>
      <c r="I12" s="468" t="s">
        <v>1169</v>
      </c>
      <c r="J12" s="468" t="s">
        <v>1169</v>
      </c>
      <c r="K12" s="521" t="s">
        <v>1169</v>
      </c>
      <c r="L12" s="347"/>
    </row>
    <row r="13" spans="1:13" ht="15.75" customHeight="1" x14ac:dyDescent="0.2">
      <c r="A13" s="1576" t="s">
        <v>457</v>
      </c>
      <c r="B13" s="1578">
        <v>2000</v>
      </c>
      <c r="C13" s="1743">
        <f>'Expenditures 15-22'!K74</f>
        <v>189898</v>
      </c>
      <c r="D13" s="1743">
        <f>'Expenditures 15-22'!K129</f>
        <v>124189</v>
      </c>
      <c r="E13" s="469" t="s">
        <v>1169</v>
      </c>
      <c r="F13" s="1743">
        <f>'Expenditures 15-22'!K184</f>
        <v>66334</v>
      </c>
      <c r="G13" s="1743">
        <f>'Expenditures 15-22'!K279</f>
        <v>26489</v>
      </c>
      <c r="H13" s="1743">
        <f>'Expenditures 15-22'!K303</f>
        <v>0</v>
      </c>
      <c r="I13" s="468" t="s">
        <v>1169</v>
      </c>
      <c r="J13" s="1743">
        <f>'Expenditures 15-22'!K330</f>
        <v>37145</v>
      </c>
      <c r="K13" s="1747">
        <f>'Expenditures 15-22'!K352</f>
        <v>47764</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73192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66930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858970</v>
      </c>
      <c r="D17" s="1688">
        <f t="shared" si="2"/>
        <v>124189</v>
      </c>
      <c r="E17" s="1688">
        <f t="shared" si="2"/>
        <v>66930</v>
      </c>
      <c r="F17" s="1688">
        <f t="shared" si="2"/>
        <v>66334</v>
      </c>
      <c r="G17" s="1688">
        <f t="shared" si="2"/>
        <v>34872</v>
      </c>
      <c r="H17" s="1688">
        <f t="shared" si="2"/>
        <v>0</v>
      </c>
      <c r="I17" s="468"/>
      <c r="J17" s="1688">
        <f>SUM(J12:J16)</f>
        <v>37145</v>
      </c>
      <c r="K17" s="1688">
        <f>SUM(K12:K16)</f>
        <v>47764</v>
      </c>
      <c r="L17" s="347"/>
    </row>
    <row r="18" spans="1:12" ht="15" customHeight="1" thickTop="1" x14ac:dyDescent="0.2">
      <c r="A18" s="1744" t="s">
        <v>1654</v>
      </c>
      <c r="B18" s="1745">
        <v>4180</v>
      </c>
      <c r="C18" s="1742">
        <f t="shared" ref="C18:H18" si="3">C9</f>
        <v>389624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1248594</v>
      </c>
      <c r="D19" s="1688">
        <f t="shared" si="4"/>
        <v>124189</v>
      </c>
      <c r="E19" s="1688">
        <f t="shared" si="4"/>
        <v>66930</v>
      </c>
      <c r="F19" s="1688">
        <f t="shared" si="4"/>
        <v>66334</v>
      </c>
      <c r="G19" s="1688">
        <f t="shared" si="4"/>
        <v>34872</v>
      </c>
      <c r="H19" s="1688">
        <f t="shared" si="4"/>
        <v>0</v>
      </c>
      <c r="I19" s="468"/>
      <c r="J19" s="1688">
        <f>SUM(J17:J18)</f>
        <v>37145</v>
      </c>
      <c r="K19" s="1688">
        <f>SUM(K17:K18)</f>
        <v>47764</v>
      </c>
      <c r="L19" s="347"/>
    </row>
    <row r="20" spans="1:12" ht="16.5" thickTop="1" thickBot="1" x14ac:dyDescent="0.25">
      <c r="A20" s="2126" t="s">
        <v>1655</v>
      </c>
      <c r="B20" s="2127"/>
      <c r="C20" s="1746">
        <f>C8-C17</f>
        <v>8622</v>
      </c>
      <c r="D20" s="1746">
        <f t="shared" ref="D20:K20" si="5">D8-D17</f>
        <v>7926</v>
      </c>
      <c r="E20" s="1746">
        <f t="shared" si="5"/>
        <v>5011</v>
      </c>
      <c r="F20" s="1746">
        <f t="shared" si="5"/>
        <v>24264</v>
      </c>
      <c r="G20" s="1746">
        <f t="shared" si="5"/>
        <v>-4030</v>
      </c>
      <c r="H20" s="1746">
        <f t="shared" si="5"/>
        <v>0</v>
      </c>
      <c r="I20" s="1746">
        <f t="shared" si="5"/>
        <v>16060</v>
      </c>
      <c r="J20" s="1746">
        <f t="shared" si="5"/>
        <v>2591</v>
      </c>
      <c r="K20" s="1746">
        <f t="shared" si="5"/>
        <v>-27245</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v>510000</v>
      </c>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510000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v>9500</v>
      </c>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9500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500500</v>
      </c>
      <c r="L77" s="347"/>
    </row>
    <row r="78" spans="1:12" ht="21.75" customHeight="1" thickTop="1" thickBot="1" x14ac:dyDescent="0.25">
      <c r="A78" s="2122" t="s">
        <v>597</v>
      </c>
      <c r="B78" s="2123"/>
      <c r="C78" s="1702">
        <f t="shared" ref="C78:K78" si="9">C20+C77</f>
        <v>8622</v>
      </c>
      <c r="D78" s="1702">
        <f t="shared" si="9"/>
        <v>7926</v>
      </c>
      <c r="E78" s="1702">
        <f t="shared" si="9"/>
        <v>5011</v>
      </c>
      <c r="F78" s="1702">
        <f t="shared" si="9"/>
        <v>24264</v>
      </c>
      <c r="G78" s="1702">
        <f t="shared" si="9"/>
        <v>-4030</v>
      </c>
      <c r="H78" s="1702">
        <f t="shared" si="9"/>
        <v>0</v>
      </c>
      <c r="I78" s="1702">
        <f t="shared" si="9"/>
        <v>16060</v>
      </c>
      <c r="J78" s="1702">
        <f t="shared" si="9"/>
        <v>2591</v>
      </c>
      <c r="K78" s="1702">
        <f t="shared" si="9"/>
        <v>473255</v>
      </c>
      <c r="L78" s="533"/>
    </row>
    <row r="79" spans="1:12" ht="13.5" thickTop="1" x14ac:dyDescent="0.2">
      <c r="A79" s="1494" t="s">
        <v>1949</v>
      </c>
      <c r="B79" s="534"/>
      <c r="C79" s="478">
        <v>189859</v>
      </c>
      <c r="D79" s="535">
        <v>414095</v>
      </c>
      <c r="E79" s="535">
        <v>38500</v>
      </c>
      <c r="F79" s="535">
        <v>124983</v>
      </c>
      <c r="G79" s="535">
        <v>59958</v>
      </c>
      <c r="H79" s="535">
        <v>0</v>
      </c>
      <c r="I79" s="535">
        <v>13923</v>
      </c>
      <c r="J79" s="535">
        <v>27372</v>
      </c>
      <c r="K79" s="535">
        <v>94507</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198481</v>
      </c>
      <c r="D81" s="1688">
        <f>SUM(D78:D80)</f>
        <v>422021</v>
      </c>
      <c r="E81" s="1688">
        <f t="shared" ref="E81:K81" si="10">SUM(E78:E80)</f>
        <v>43511</v>
      </c>
      <c r="F81" s="1688">
        <f t="shared" si="10"/>
        <v>149247</v>
      </c>
      <c r="G81" s="1688">
        <f t="shared" si="10"/>
        <v>55928</v>
      </c>
      <c r="H81" s="1688">
        <f t="shared" si="10"/>
        <v>0</v>
      </c>
      <c r="I81" s="1688">
        <f t="shared" si="10"/>
        <v>29983</v>
      </c>
      <c r="J81" s="1688">
        <f t="shared" si="10"/>
        <v>29963</v>
      </c>
      <c r="K81" s="1688">
        <f t="shared" si="10"/>
        <v>567762</v>
      </c>
      <c r="L81" s="347"/>
    </row>
    <row r="82" spans="1:12" ht="0.75" customHeight="1" thickTop="1" thickBot="1" x14ac:dyDescent="0.25">
      <c r="A82" s="536" t="s">
        <v>343</v>
      </c>
      <c r="B82" s="537"/>
      <c r="C82" s="538">
        <f>(C81-C79)</f>
        <v>8622</v>
      </c>
      <c r="D82" s="538">
        <f t="shared" ref="D82:K82" si="11">(D81-D79)</f>
        <v>7926</v>
      </c>
      <c r="E82" s="538">
        <f t="shared" si="11"/>
        <v>5011</v>
      </c>
      <c r="F82" s="538">
        <f t="shared" si="11"/>
        <v>24264</v>
      </c>
      <c r="G82" s="538">
        <f t="shared" si="11"/>
        <v>-4030</v>
      </c>
      <c r="H82" s="538">
        <f t="shared" si="11"/>
        <v>0</v>
      </c>
      <c r="I82" s="538">
        <f t="shared" si="11"/>
        <v>16060</v>
      </c>
      <c r="J82" s="538">
        <f t="shared" si="11"/>
        <v>2591</v>
      </c>
      <c r="K82" s="538">
        <f t="shared" si="11"/>
        <v>473255</v>
      </c>
    </row>
    <row r="83" spans="1:12" ht="14.25" hidden="1" thickTop="1" thickBot="1" x14ac:dyDescent="0.25">
      <c r="A83" s="539" t="s">
        <v>344</v>
      </c>
      <c r="B83" s="464"/>
      <c r="C83" s="540">
        <f>C82/C81</f>
        <v>4.3439926239791211E-2</v>
      </c>
      <c r="D83" s="540">
        <f t="shared" ref="D83:K83" si="12">D82/D81</f>
        <v>1.8781055919018248E-2</v>
      </c>
      <c r="E83" s="540">
        <f t="shared" si="12"/>
        <v>0.11516627979131713</v>
      </c>
      <c r="F83" s="540">
        <f t="shared" si="12"/>
        <v>0.16257613218356148</v>
      </c>
      <c r="G83" s="540">
        <f t="shared" si="12"/>
        <v>-7.20569303390073E-2</v>
      </c>
      <c r="H83" s="540" t="e">
        <f t="shared" si="12"/>
        <v>#DIV/0!</v>
      </c>
      <c r="I83" s="540">
        <f t="shared" si="12"/>
        <v>0.53563686088783646</v>
      </c>
      <c r="J83" s="540">
        <f t="shared" si="12"/>
        <v>8.6473317091078999E-2</v>
      </c>
      <c r="K83" s="540">
        <f t="shared" si="12"/>
        <v>0.8335446895001779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90" zoomScaleNormal="90" zoomScaleSheetLayoutView="75" workbookViewId="0">
      <pane ySplit="2" topLeftCell="A3" activePane="bottomLeft" state="frozen"/>
      <selection activeCell="C68" sqref="C68"/>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609240</v>
      </c>
      <c r="D5" s="481">
        <v>128262</v>
      </c>
      <c r="E5" s="466">
        <v>71748</v>
      </c>
      <c r="F5" s="548">
        <v>38479</v>
      </c>
      <c r="G5" s="466">
        <v>15194</v>
      </c>
      <c r="H5" s="466">
        <v>0</v>
      </c>
      <c r="I5" s="466">
        <v>16033</v>
      </c>
      <c r="J5" s="467">
        <v>39736</v>
      </c>
      <c r="K5" s="466">
        <v>16033</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6413</v>
      </c>
      <c r="D7" s="466">
        <v>0</v>
      </c>
      <c r="E7" s="468"/>
      <c r="F7" s="467">
        <v>0</v>
      </c>
      <c r="G7" s="467">
        <v>0</v>
      </c>
      <c r="H7" s="467">
        <v>0</v>
      </c>
      <c r="I7" s="468"/>
      <c r="J7" s="468"/>
      <c r="K7" s="468"/>
    </row>
    <row r="8" spans="1:12" x14ac:dyDescent="0.2">
      <c r="A8" s="463" t="s">
        <v>413</v>
      </c>
      <c r="B8" s="470">
        <v>1150</v>
      </c>
      <c r="C8" s="475"/>
      <c r="D8" s="475"/>
      <c r="E8" s="477"/>
      <c r="F8" s="477"/>
      <c r="G8" s="481">
        <v>15194</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615653</v>
      </c>
      <c r="D12" s="1707">
        <f t="shared" si="0"/>
        <v>128262</v>
      </c>
      <c r="E12" s="1707">
        <f t="shared" si="0"/>
        <v>71748</v>
      </c>
      <c r="F12" s="1707">
        <f t="shared" si="0"/>
        <v>38479</v>
      </c>
      <c r="G12" s="1707">
        <f t="shared" si="0"/>
        <v>30388</v>
      </c>
      <c r="H12" s="1707">
        <f t="shared" si="0"/>
        <v>0</v>
      </c>
      <c r="I12" s="1707">
        <f t="shared" si="0"/>
        <v>16033</v>
      </c>
      <c r="J12" s="1707">
        <f t="shared" si="0"/>
        <v>39736</v>
      </c>
      <c r="K12" s="1688">
        <f t="shared" si="0"/>
        <v>16033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43029</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43029</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4485</v>
      </c>
      <c r="D65" s="466">
        <v>3853</v>
      </c>
      <c r="E65" s="466">
        <v>193</v>
      </c>
      <c r="F65" s="467">
        <v>1474</v>
      </c>
      <c r="G65" s="466">
        <v>454</v>
      </c>
      <c r="H65" s="466">
        <v>0</v>
      </c>
      <c r="I65" s="466">
        <v>27</v>
      </c>
      <c r="J65" s="467">
        <v>0</v>
      </c>
      <c r="K65" s="466">
        <v>4486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4485</v>
      </c>
      <c r="D67" s="1688">
        <f t="shared" ref="D67:K67" si="2">SUM(D65:D66)</f>
        <v>3853</v>
      </c>
      <c r="E67" s="1688">
        <f t="shared" si="2"/>
        <v>193</v>
      </c>
      <c r="F67" s="1688">
        <f t="shared" si="2"/>
        <v>1474</v>
      </c>
      <c r="G67" s="1688">
        <f t="shared" si="2"/>
        <v>454</v>
      </c>
      <c r="H67" s="1688">
        <f t="shared" si="2"/>
        <v>0</v>
      </c>
      <c r="I67" s="1688">
        <f t="shared" si="2"/>
        <v>27</v>
      </c>
      <c r="J67" s="1688">
        <f t="shared" si="2"/>
        <v>0</v>
      </c>
      <c r="K67" s="1688">
        <f t="shared" si="2"/>
        <v>4486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34679</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352</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1288</v>
      </c>
      <c r="D73" s="468"/>
      <c r="E73" s="468"/>
      <c r="F73" s="468"/>
      <c r="G73" s="468"/>
      <c r="H73" s="468"/>
      <c r="I73" s="468"/>
      <c r="J73" s="468"/>
      <c r="K73" s="468"/>
    </row>
    <row r="74" spans="1:11" ht="12.75" customHeight="1" x14ac:dyDescent="0.2">
      <c r="A74" s="463" t="s">
        <v>25</v>
      </c>
      <c r="B74" s="470">
        <v>1690</v>
      </c>
      <c r="C74" s="551">
        <v>921</v>
      </c>
      <c r="D74" s="468"/>
      <c r="E74" s="468"/>
      <c r="F74" s="468"/>
      <c r="G74" s="468"/>
      <c r="H74" s="468"/>
      <c r="I74" s="468"/>
      <c r="J74" s="468"/>
      <c r="K74" s="468"/>
    </row>
    <row r="75" spans="1:11" ht="12.75" customHeight="1" thickBot="1" x14ac:dyDescent="0.25">
      <c r="A75" s="1708" t="s">
        <v>548</v>
      </c>
      <c r="B75" s="1709"/>
      <c r="C75" s="1688">
        <f>SUM(C69:C74)</f>
        <v>37240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2608</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1812</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1536</v>
      </c>
      <c r="D81" s="466">
        <v>0</v>
      </c>
      <c r="E81" s="468"/>
      <c r="F81" s="468"/>
      <c r="G81" s="468"/>
      <c r="H81" s="468"/>
      <c r="I81" s="468"/>
      <c r="J81" s="468"/>
      <c r="K81" s="468"/>
    </row>
    <row r="82" spans="1:11" ht="12.75" customHeight="1" thickBot="1" x14ac:dyDescent="0.25">
      <c r="A82" s="1708" t="s">
        <v>241</v>
      </c>
      <c r="B82" s="1709"/>
      <c r="C82" s="1707">
        <f>SUM(C77:C81)</f>
        <v>5956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4981</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4981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120</v>
      </c>
      <c r="D95" s="551">
        <v>0</v>
      </c>
      <c r="E95" s="521"/>
      <c r="F95" s="521"/>
      <c r="G95" s="521"/>
      <c r="H95" s="521"/>
      <c r="I95" s="521"/>
      <c r="J95" s="521"/>
      <c r="K95" s="521"/>
    </row>
    <row r="96" spans="1:11" ht="12.75" customHeight="1" x14ac:dyDescent="0.2">
      <c r="A96" s="463" t="s">
        <v>391</v>
      </c>
      <c r="B96" s="470">
        <v>1920</v>
      </c>
      <c r="C96" s="551">
        <v>24549</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500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3932</v>
      </c>
      <c r="D107" s="466">
        <v>0</v>
      </c>
      <c r="E107" s="466">
        <v>0</v>
      </c>
      <c r="F107" s="466">
        <v>0</v>
      </c>
      <c r="G107" s="466">
        <v>0</v>
      </c>
      <c r="H107" s="466">
        <v>0</v>
      </c>
      <c r="I107" s="466">
        <v>0</v>
      </c>
      <c r="J107" s="467">
        <v>0</v>
      </c>
      <c r="K107" s="466">
        <v>0</v>
      </c>
    </row>
    <row r="108" spans="1:12" ht="12.75" customHeight="1" thickBot="1" x14ac:dyDescent="0.25">
      <c r="A108" s="1708" t="s">
        <v>487</v>
      </c>
      <c r="B108" s="1712"/>
      <c r="C108" s="1707">
        <f>SUM(C95:C107)</f>
        <v>29101</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740445</v>
      </c>
      <c r="D109" s="1715">
        <f t="shared" si="4"/>
        <v>132115</v>
      </c>
      <c r="E109" s="1715">
        <f t="shared" si="4"/>
        <v>71941</v>
      </c>
      <c r="F109" s="1715">
        <f t="shared" si="4"/>
        <v>39953</v>
      </c>
      <c r="G109" s="1715">
        <f t="shared" si="4"/>
        <v>30842</v>
      </c>
      <c r="H109" s="1715">
        <f t="shared" si="4"/>
        <v>0</v>
      </c>
      <c r="I109" s="1715">
        <f t="shared" si="4"/>
        <v>16060</v>
      </c>
      <c r="J109" s="1715">
        <f t="shared" si="4"/>
        <v>39736</v>
      </c>
      <c r="K109" s="1702">
        <f t="shared" si="4"/>
        <v>20519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97565</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97565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104</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50645</v>
      </c>
      <c r="G152" s="467">
        <v>0</v>
      </c>
      <c r="H152" s="468"/>
      <c r="I152" s="468"/>
      <c r="J152" s="468"/>
      <c r="K152" s="468"/>
    </row>
    <row r="153" spans="1:11" ht="12.75" customHeight="1" x14ac:dyDescent="0.2">
      <c r="A153" s="463" t="s">
        <v>1057</v>
      </c>
      <c r="B153" s="562">
        <v>3510</v>
      </c>
      <c r="C153" s="551">
        <v>0</v>
      </c>
      <c r="D153" s="466">
        <v>0</v>
      </c>
      <c r="E153" s="561"/>
      <c r="F153" s="466">
        <v>0</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50645</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44" t="s">
        <v>398</v>
      </c>
      <c r="B169" s="2145"/>
      <c r="C169" s="1722">
        <f t="shared" ref="C169:K169" si="6">SUM(C132,C141,C145,C146:C150,C155,C156:C167,C168)</f>
        <v>104</v>
      </c>
      <c r="D169" s="1722">
        <f t="shared" si="6"/>
        <v>0</v>
      </c>
      <c r="E169" s="1722">
        <f t="shared" si="6"/>
        <v>0</v>
      </c>
      <c r="F169" s="1722">
        <f t="shared" si="6"/>
        <v>50645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97669</v>
      </c>
      <c r="D170" s="1715">
        <f t="shared" si="7"/>
        <v>0</v>
      </c>
      <c r="E170" s="1715">
        <f t="shared" si="7"/>
        <v>0</v>
      </c>
      <c r="F170" s="1715">
        <f t="shared" si="7"/>
        <v>50645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17862</v>
      </c>
      <c r="D174" s="466">
        <v>0</v>
      </c>
      <c r="E174" s="467">
        <v>0</v>
      </c>
      <c r="F174" s="466">
        <v>0</v>
      </c>
      <c r="G174" s="466">
        <v>0</v>
      </c>
      <c r="H174" s="467">
        <v>0</v>
      </c>
      <c r="I174" s="467">
        <v>0</v>
      </c>
      <c r="J174" s="467">
        <v>0</v>
      </c>
      <c r="K174" s="467">
        <v>0</v>
      </c>
    </row>
    <row r="175" spans="1:11" ht="13.5" thickBot="1" x14ac:dyDescent="0.25">
      <c r="A175" s="2150" t="s">
        <v>1665</v>
      </c>
      <c r="B175" s="2151"/>
      <c r="C175" s="1707">
        <f>SUM(C173:C174)</f>
        <v>17862</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9537</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9537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0</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2079</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0</v>
      </c>
      <c r="D263" s="576">
        <v>0</v>
      </c>
      <c r="E263" s="468"/>
      <c r="F263" s="576">
        <v>0</v>
      </c>
      <c r="G263" s="576">
        <v>0</v>
      </c>
      <c r="H263" s="468"/>
      <c r="I263" s="468"/>
      <c r="J263" s="468"/>
      <c r="K263" s="468"/>
    </row>
    <row r="264" spans="1:11" ht="12.75" customHeight="1" thickTop="1" thickBot="1" x14ac:dyDescent="0.25">
      <c r="A264" s="463" t="s">
        <v>377</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11616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29478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867592</v>
      </c>
      <c r="D268" s="1715">
        <f t="shared" si="12"/>
        <v>132115</v>
      </c>
      <c r="E268" s="1715">
        <f t="shared" si="12"/>
        <v>71941</v>
      </c>
      <c r="F268" s="1715">
        <f t="shared" si="12"/>
        <v>90598</v>
      </c>
      <c r="G268" s="1715">
        <f t="shared" si="12"/>
        <v>30842</v>
      </c>
      <c r="H268" s="1715">
        <f t="shared" si="12"/>
        <v>0</v>
      </c>
      <c r="I268" s="1715">
        <f t="shared" si="12"/>
        <v>16060</v>
      </c>
      <c r="J268" s="1715">
        <f t="shared" si="12"/>
        <v>39736</v>
      </c>
      <c r="K268" s="1702">
        <f t="shared" si="12"/>
        <v>20519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28" colorId="8" zoomScale="90" zoomScaleNormal="90" zoomScaleSheetLayoutView="80" workbookViewId="0">
      <selection activeCell="C68" sqref="C6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504627</v>
      </c>
      <c r="D5" s="466">
        <v>0</v>
      </c>
      <c r="E5" s="466">
        <v>4407</v>
      </c>
      <c r="F5" s="466">
        <v>15163</v>
      </c>
      <c r="G5" s="466">
        <v>0</v>
      </c>
      <c r="H5" s="466">
        <v>0</v>
      </c>
      <c r="I5" s="466">
        <v>1287</v>
      </c>
      <c r="J5" s="466">
        <v>0</v>
      </c>
      <c r="K5" s="1671">
        <f>SUM(C5:J5)</f>
        <v>525484</v>
      </c>
      <c r="L5" s="466">
        <v>530279</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41717</v>
      </c>
      <c r="D8" s="466">
        <v>569</v>
      </c>
      <c r="E8" s="466">
        <v>0</v>
      </c>
      <c r="F8" s="466">
        <v>0</v>
      </c>
      <c r="G8" s="466">
        <v>0</v>
      </c>
      <c r="H8" s="466">
        <v>0</v>
      </c>
      <c r="I8" s="467">
        <v>0</v>
      </c>
      <c r="J8" s="467">
        <v>0</v>
      </c>
      <c r="K8" s="1671">
        <f t="shared" si="0"/>
        <v>42286</v>
      </c>
      <c r="L8" s="466">
        <v>45900</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0</v>
      </c>
      <c r="D10" s="466">
        <v>0</v>
      </c>
      <c r="E10" s="466">
        <v>0</v>
      </c>
      <c r="F10" s="466">
        <v>0</v>
      </c>
      <c r="G10" s="466">
        <v>0</v>
      </c>
      <c r="H10" s="466">
        <v>0</v>
      </c>
      <c r="I10" s="467">
        <v>0</v>
      </c>
      <c r="J10" s="467">
        <v>0</v>
      </c>
      <c r="K10" s="1671">
        <f t="shared" si="0"/>
        <v>0</v>
      </c>
      <c r="L10" s="466">
        <v>0</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6159</v>
      </c>
      <c r="D14" s="466">
        <v>0</v>
      </c>
      <c r="E14" s="466">
        <v>3450</v>
      </c>
      <c r="F14" s="466">
        <v>16001</v>
      </c>
      <c r="G14" s="466">
        <v>0</v>
      </c>
      <c r="H14" s="466">
        <v>2500</v>
      </c>
      <c r="I14" s="467">
        <v>0</v>
      </c>
      <c r="J14" s="467">
        <v>0</v>
      </c>
      <c r="K14" s="1671">
        <f t="shared" si="0"/>
        <v>28110</v>
      </c>
      <c r="L14" s="466">
        <v>22000</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552503</v>
      </c>
      <c r="D33" s="1670">
        <f t="shared" ref="D33:L33" si="1">SUM(D5:D32)</f>
        <v>569</v>
      </c>
      <c r="E33" s="1670">
        <f t="shared" si="1"/>
        <v>7857</v>
      </c>
      <c r="F33" s="1670">
        <f t="shared" si="1"/>
        <v>31164</v>
      </c>
      <c r="G33" s="1670">
        <f t="shared" si="1"/>
        <v>0</v>
      </c>
      <c r="H33" s="1670">
        <f t="shared" si="1"/>
        <v>2500</v>
      </c>
      <c r="I33" s="1670">
        <f t="shared" si="1"/>
        <v>1287</v>
      </c>
      <c r="J33" s="1670">
        <f t="shared" si="1"/>
        <v>0</v>
      </c>
      <c r="K33" s="1670">
        <f t="shared" si="1"/>
        <v>595880</v>
      </c>
      <c r="L33" s="1670">
        <f t="shared" si="1"/>
        <v>598179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1105</v>
      </c>
      <c r="D38" s="466">
        <v>0</v>
      </c>
      <c r="E38" s="466">
        <v>20</v>
      </c>
      <c r="F38" s="466">
        <v>498</v>
      </c>
      <c r="G38" s="466">
        <v>0</v>
      </c>
      <c r="H38" s="466">
        <v>0</v>
      </c>
      <c r="I38" s="467">
        <v>0</v>
      </c>
      <c r="J38" s="467">
        <v>0</v>
      </c>
      <c r="K38" s="1671">
        <f t="shared" si="2"/>
        <v>1623</v>
      </c>
      <c r="L38" s="466">
        <v>1320</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50</v>
      </c>
      <c r="G40" s="466">
        <v>0</v>
      </c>
      <c r="H40" s="466">
        <v>0</v>
      </c>
      <c r="I40" s="467">
        <v>0</v>
      </c>
      <c r="J40" s="467">
        <v>0</v>
      </c>
      <c r="K40" s="1671">
        <f t="shared" si="2"/>
        <v>50</v>
      </c>
      <c r="L40" s="466">
        <v>50</v>
      </c>
    </row>
    <row r="41" spans="1:14" x14ac:dyDescent="0.2">
      <c r="A41" s="1504" t="s">
        <v>1669</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560</v>
      </c>
      <c r="B42" s="1669" t="s">
        <v>716</v>
      </c>
      <c r="C42" s="1670">
        <f>SUM(C36:C41)</f>
        <v>1105</v>
      </c>
      <c r="D42" s="1670">
        <f t="shared" ref="D42:L42" si="3">SUM(D36:D41)</f>
        <v>0</v>
      </c>
      <c r="E42" s="1670">
        <f t="shared" si="3"/>
        <v>20</v>
      </c>
      <c r="F42" s="1670">
        <f t="shared" si="3"/>
        <v>548</v>
      </c>
      <c r="G42" s="1670">
        <f t="shared" si="3"/>
        <v>0</v>
      </c>
      <c r="H42" s="1670">
        <f t="shared" si="3"/>
        <v>0</v>
      </c>
      <c r="I42" s="1670">
        <f t="shared" si="3"/>
        <v>0</v>
      </c>
      <c r="J42" s="1670">
        <f t="shared" si="3"/>
        <v>0</v>
      </c>
      <c r="K42" s="1670">
        <f t="shared" si="3"/>
        <v>1673</v>
      </c>
      <c r="L42" s="1670">
        <f t="shared" si="3"/>
        <v>1370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1052</v>
      </c>
      <c r="D44" s="481">
        <v>9538</v>
      </c>
      <c r="E44" s="481">
        <v>1442</v>
      </c>
      <c r="F44" s="481">
        <v>212</v>
      </c>
      <c r="G44" s="481">
        <v>0</v>
      </c>
      <c r="H44" s="481">
        <v>0</v>
      </c>
      <c r="I44" s="467">
        <v>0</v>
      </c>
      <c r="J44" s="467">
        <v>0</v>
      </c>
      <c r="K44" s="1672">
        <f>SUM(C44:J44)</f>
        <v>12244</v>
      </c>
      <c r="L44" s="481">
        <v>12812</v>
      </c>
    </row>
    <row r="45" spans="1:14" x14ac:dyDescent="0.2">
      <c r="A45" s="1504" t="s">
        <v>815</v>
      </c>
      <c r="B45" s="614">
        <v>2220</v>
      </c>
      <c r="C45" s="466">
        <v>0</v>
      </c>
      <c r="D45" s="466">
        <v>0</v>
      </c>
      <c r="E45" s="466">
        <v>2650</v>
      </c>
      <c r="F45" s="466">
        <v>1100</v>
      </c>
      <c r="G45" s="466">
        <v>0</v>
      </c>
      <c r="H45" s="466">
        <v>1257</v>
      </c>
      <c r="I45" s="467">
        <v>0</v>
      </c>
      <c r="J45" s="467">
        <v>0</v>
      </c>
      <c r="K45" s="1672">
        <f>SUM(C45:J45)</f>
        <v>5007</v>
      </c>
      <c r="L45" s="466">
        <v>5050</v>
      </c>
    </row>
    <row r="46" spans="1:14" x14ac:dyDescent="0.2">
      <c r="A46" s="1504" t="s">
        <v>816</v>
      </c>
      <c r="B46" s="614">
        <v>2230</v>
      </c>
      <c r="C46" s="466">
        <v>0</v>
      </c>
      <c r="D46" s="466">
        <v>0</v>
      </c>
      <c r="E46" s="466">
        <v>0</v>
      </c>
      <c r="F46" s="466">
        <v>0</v>
      </c>
      <c r="G46" s="466">
        <v>0</v>
      </c>
      <c r="H46" s="466">
        <v>0</v>
      </c>
      <c r="I46" s="467">
        <v>0</v>
      </c>
      <c r="J46" s="467">
        <v>0</v>
      </c>
      <c r="K46" s="1672">
        <f>SUM(C46:J46)</f>
        <v>0</v>
      </c>
      <c r="L46" s="466">
        <v>0</v>
      </c>
    </row>
    <row r="47" spans="1:14" ht="12.75" customHeight="1" thickBot="1" x14ac:dyDescent="0.25">
      <c r="A47" s="1668" t="s">
        <v>561</v>
      </c>
      <c r="B47" s="1669" t="s">
        <v>32</v>
      </c>
      <c r="C47" s="1670">
        <f>SUM(C44:C46)</f>
        <v>1052</v>
      </c>
      <c r="D47" s="1670">
        <f t="shared" ref="D47:K47" si="4">SUM(D44:D46)</f>
        <v>9538</v>
      </c>
      <c r="E47" s="1670">
        <f t="shared" si="4"/>
        <v>4092</v>
      </c>
      <c r="F47" s="1670">
        <f t="shared" si="4"/>
        <v>1312</v>
      </c>
      <c r="G47" s="1670">
        <f t="shared" si="4"/>
        <v>0</v>
      </c>
      <c r="H47" s="1670">
        <f t="shared" si="4"/>
        <v>1257</v>
      </c>
      <c r="I47" s="1670">
        <f t="shared" si="4"/>
        <v>0</v>
      </c>
      <c r="J47" s="1670">
        <f t="shared" si="4"/>
        <v>0</v>
      </c>
      <c r="K47" s="1670">
        <f t="shared" si="4"/>
        <v>17251</v>
      </c>
      <c r="L47" s="1670">
        <f>SUM(L44:L46)</f>
        <v>17862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0</v>
      </c>
      <c r="D49" s="481">
        <v>0</v>
      </c>
      <c r="E49" s="481">
        <v>11083</v>
      </c>
      <c r="F49" s="481">
        <v>2218</v>
      </c>
      <c r="G49" s="481">
        <v>0</v>
      </c>
      <c r="H49" s="481">
        <v>0</v>
      </c>
      <c r="I49" s="467">
        <v>0</v>
      </c>
      <c r="J49" s="467">
        <v>0</v>
      </c>
      <c r="K49" s="1672">
        <f>SUM(C49:J49)</f>
        <v>13301</v>
      </c>
      <c r="L49" s="481">
        <v>12460</v>
      </c>
    </row>
    <row r="50" spans="1:14" x14ac:dyDescent="0.2">
      <c r="A50" s="1504" t="s">
        <v>818</v>
      </c>
      <c r="B50" s="614">
        <v>2320</v>
      </c>
      <c r="C50" s="466">
        <v>52980</v>
      </c>
      <c r="D50" s="466">
        <v>6200</v>
      </c>
      <c r="E50" s="466">
        <v>2686</v>
      </c>
      <c r="F50" s="466">
        <v>1432</v>
      </c>
      <c r="G50" s="466">
        <v>0</v>
      </c>
      <c r="H50" s="466">
        <v>0</v>
      </c>
      <c r="I50" s="467">
        <v>0</v>
      </c>
      <c r="J50" s="467">
        <v>0</v>
      </c>
      <c r="K50" s="1672">
        <f>SUM(C50:J50)</f>
        <v>63298</v>
      </c>
      <c r="L50" s="466">
        <v>71850</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52980</v>
      </c>
      <c r="D53" s="1670">
        <f t="shared" ref="D53:L53" si="5">SUM(D49:D52)</f>
        <v>6200</v>
      </c>
      <c r="E53" s="1670">
        <f t="shared" si="5"/>
        <v>13769</v>
      </c>
      <c r="F53" s="1670">
        <f t="shared" si="5"/>
        <v>3650</v>
      </c>
      <c r="G53" s="1670">
        <f t="shared" si="5"/>
        <v>0</v>
      </c>
      <c r="H53" s="1670">
        <f t="shared" si="5"/>
        <v>0</v>
      </c>
      <c r="I53" s="1670">
        <f t="shared" si="5"/>
        <v>0</v>
      </c>
      <c r="J53" s="1670">
        <f t="shared" si="5"/>
        <v>0</v>
      </c>
      <c r="K53" s="1670">
        <f t="shared" si="5"/>
        <v>76599</v>
      </c>
      <c r="L53" s="1670">
        <f t="shared" si="5"/>
        <v>84310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0</v>
      </c>
      <c r="D55" s="481">
        <v>0</v>
      </c>
      <c r="E55" s="481">
        <v>0</v>
      </c>
      <c r="F55" s="481">
        <v>0</v>
      </c>
      <c r="G55" s="481">
        <v>0</v>
      </c>
      <c r="H55" s="481">
        <v>0</v>
      </c>
      <c r="I55" s="467">
        <v>0</v>
      </c>
      <c r="J55" s="467">
        <v>0</v>
      </c>
      <c r="K55" s="1672">
        <f>SUM(C55:J55)</f>
        <v>0</v>
      </c>
      <c r="L55" s="481">
        <v>0</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25862</v>
      </c>
      <c r="D60" s="466">
        <v>0</v>
      </c>
      <c r="E60" s="466">
        <v>0</v>
      </c>
      <c r="F60" s="466">
        <v>8759</v>
      </c>
      <c r="G60" s="466">
        <v>0</v>
      </c>
      <c r="H60" s="466">
        <v>0</v>
      </c>
      <c r="I60" s="467">
        <v>1376</v>
      </c>
      <c r="J60" s="467">
        <v>0</v>
      </c>
      <c r="K60" s="1672">
        <f t="shared" si="7"/>
        <v>35997</v>
      </c>
      <c r="L60" s="466">
        <v>40737</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31114</v>
      </c>
      <c r="D63" s="466">
        <v>0</v>
      </c>
      <c r="E63" s="466">
        <v>568</v>
      </c>
      <c r="F63" s="466">
        <v>26696</v>
      </c>
      <c r="G63" s="466">
        <v>0</v>
      </c>
      <c r="H63" s="466">
        <v>0</v>
      </c>
      <c r="I63" s="467">
        <v>0</v>
      </c>
      <c r="J63" s="467">
        <v>0</v>
      </c>
      <c r="K63" s="1672">
        <f t="shared" si="7"/>
        <v>58378</v>
      </c>
      <c r="L63" s="466">
        <v>63700</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56976</v>
      </c>
      <c r="D65" s="1670">
        <f t="shared" ref="D65:L65" si="8">SUM(D59:D64)</f>
        <v>0</v>
      </c>
      <c r="E65" s="1670">
        <f t="shared" si="8"/>
        <v>568</v>
      </c>
      <c r="F65" s="1670">
        <f t="shared" si="8"/>
        <v>35455</v>
      </c>
      <c r="G65" s="1670">
        <f t="shared" si="8"/>
        <v>0</v>
      </c>
      <c r="H65" s="1670">
        <f t="shared" si="8"/>
        <v>0</v>
      </c>
      <c r="I65" s="1670">
        <f t="shared" si="8"/>
        <v>1376</v>
      </c>
      <c r="J65" s="1670">
        <f t="shared" si="8"/>
        <v>0</v>
      </c>
      <c r="K65" s="1670">
        <f t="shared" si="8"/>
        <v>94375</v>
      </c>
      <c r="L65" s="1670">
        <f t="shared" si="8"/>
        <v>104437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811</v>
      </c>
      <c r="B74" s="1676">
        <v>2000</v>
      </c>
      <c r="C74" s="1677">
        <f>SUM(C42,C47,C53,C57,C65,C72,C73)</f>
        <v>112113</v>
      </c>
      <c r="D74" s="1677">
        <f t="shared" ref="D74:K74" si="10">SUM(D42,D47,D53,D57,D65,D72,D73)</f>
        <v>15738</v>
      </c>
      <c r="E74" s="1677">
        <f t="shared" si="10"/>
        <v>18449</v>
      </c>
      <c r="F74" s="1677">
        <f t="shared" si="10"/>
        <v>40965</v>
      </c>
      <c r="G74" s="1677">
        <f t="shared" si="10"/>
        <v>0</v>
      </c>
      <c r="H74" s="1677">
        <f t="shared" si="10"/>
        <v>1257</v>
      </c>
      <c r="I74" s="1677">
        <f t="shared" si="10"/>
        <v>1376</v>
      </c>
      <c r="J74" s="1677">
        <f t="shared" si="10"/>
        <v>0</v>
      </c>
      <c r="K74" s="1677">
        <f t="shared" si="10"/>
        <v>189898</v>
      </c>
      <c r="L74" s="1677">
        <f>SUM(L42,L47,L53,L57,L65,L72,L73)</f>
        <v>207979</v>
      </c>
    </row>
    <row r="75" spans="1:14" s="259" customFormat="1" ht="15.75" customHeight="1" thickTop="1" thickBot="1" x14ac:dyDescent="0.25">
      <c r="A75" s="1610" t="s">
        <v>47</v>
      </c>
      <c r="B75" s="1611" t="s">
        <v>575</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15941</v>
      </c>
      <c r="F78" s="616"/>
      <c r="G78" s="616"/>
      <c r="H78" s="634">
        <v>0</v>
      </c>
      <c r="I78" s="477"/>
      <c r="J78" s="477"/>
      <c r="K78" s="1671">
        <f t="shared" ref="K78:K83" si="11">SUM(C78:J78)</f>
        <v>15941</v>
      </c>
      <c r="L78" s="481">
        <v>17500</v>
      </c>
    </row>
    <row r="79" spans="1:14" x14ac:dyDescent="0.2">
      <c r="A79" s="1504" t="s">
        <v>304</v>
      </c>
      <c r="B79" s="614">
        <v>4120</v>
      </c>
      <c r="C79" s="616"/>
      <c r="D79" s="616"/>
      <c r="E79" s="466">
        <v>57251</v>
      </c>
      <c r="F79" s="616"/>
      <c r="G79" s="616"/>
      <c r="H79" s="466">
        <v>0</v>
      </c>
      <c r="I79" s="477"/>
      <c r="J79" s="477"/>
      <c r="K79" s="1671">
        <f t="shared" si="11"/>
        <v>57251</v>
      </c>
      <c r="L79" s="466">
        <v>58050</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73192</v>
      </c>
      <c r="F84" s="616"/>
      <c r="G84" s="616"/>
      <c r="H84" s="1670">
        <f>SUM(H78:H83)</f>
        <v>0</v>
      </c>
      <c r="I84" s="477"/>
      <c r="J84" s="477"/>
      <c r="K84" s="1670">
        <f>SUM(K78:K83)</f>
        <v>73192</v>
      </c>
      <c r="L84" s="1670">
        <f>SUM(L78:L83)</f>
        <v>75550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73192</v>
      </c>
      <c r="F102" s="616"/>
      <c r="G102" s="616"/>
      <c r="H102" s="1677">
        <f>SUM(H84,H92,H100,H101)</f>
        <v>0</v>
      </c>
      <c r="I102" s="477"/>
      <c r="J102" s="477"/>
      <c r="K102" s="1677">
        <f>SUM(K84,K92,K100,K101)</f>
        <v>73192</v>
      </c>
      <c r="L102" s="1677">
        <f>SUM(L84,L92,L100,L101)</f>
        <v>75550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664616</v>
      </c>
      <c r="D114" s="1670">
        <f t="shared" ref="D114:K114" si="13">SUM(D33,D74,D75,D102,D112,D113)</f>
        <v>16307</v>
      </c>
      <c r="E114" s="1670">
        <f t="shared" si="13"/>
        <v>99498</v>
      </c>
      <c r="F114" s="1670">
        <f t="shared" si="13"/>
        <v>72129</v>
      </c>
      <c r="G114" s="1670">
        <f t="shared" si="13"/>
        <v>0</v>
      </c>
      <c r="H114" s="1670">
        <f>SUM(H33,H74,H75,H102,H112,H113)</f>
        <v>3757</v>
      </c>
      <c r="I114" s="1670">
        <f t="shared" si="13"/>
        <v>2663</v>
      </c>
      <c r="J114" s="1670">
        <f t="shared" si="13"/>
        <v>0</v>
      </c>
      <c r="K114" s="1670">
        <f t="shared" si="13"/>
        <v>858970</v>
      </c>
      <c r="L114" s="1670">
        <f>SUM(L33,L74,L75,L102,L112,L113)</f>
        <v>881708</v>
      </c>
    </row>
    <row r="115" spans="1:14" ht="13.5" thickTop="1" x14ac:dyDescent="0.2">
      <c r="A115" s="2156" t="s">
        <v>996</v>
      </c>
      <c r="B115" s="2157"/>
      <c r="C115" s="618"/>
      <c r="D115" s="618"/>
      <c r="E115" s="618"/>
      <c r="F115" s="618"/>
      <c r="G115" s="618"/>
      <c r="H115" s="618"/>
      <c r="I115" s="618"/>
      <c r="J115" s="618"/>
      <c r="K115" s="1684">
        <f>'Revenues 9-14'!C268-'Expenditures 15-22'!K114</f>
        <v>8622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34981</v>
      </c>
      <c r="D122" s="466">
        <v>0</v>
      </c>
      <c r="E122" s="466">
        <v>0</v>
      </c>
      <c r="F122" s="466">
        <v>0</v>
      </c>
      <c r="G122" s="466">
        <v>0</v>
      </c>
      <c r="H122" s="466">
        <v>0</v>
      </c>
      <c r="I122" s="467">
        <v>0</v>
      </c>
      <c r="J122" s="467">
        <v>0</v>
      </c>
      <c r="K122" s="1670">
        <f>SUM(C122:J122)</f>
        <v>34981</v>
      </c>
      <c r="L122" s="466">
        <v>37000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38317</v>
      </c>
      <c r="D124" s="466">
        <v>0</v>
      </c>
      <c r="E124" s="466">
        <v>17019</v>
      </c>
      <c r="F124" s="466">
        <v>32447</v>
      </c>
      <c r="G124" s="466">
        <v>0</v>
      </c>
      <c r="H124" s="466">
        <v>0</v>
      </c>
      <c r="I124" s="467">
        <v>613</v>
      </c>
      <c r="J124" s="467">
        <v>0</v>
      </c>
      <c r="K124" s="1670">
        <f>SUM(C124:J124)</f>
        <v>88396</v>
      </c>
      <c r="L124" s="466">
        <v>105600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812</v>
      </c>
      <c r="J126" s="616"/>
      <c r="K126" s="1670">
        <f>SUM(C126:J126)</f>
        <v>812</v>
      </c>
      <c r="L126" s="466">
        <v>2000</v>
      </c>
    </row>
    <row r="127" spans="1:14" ht="12.75" customHeight="1" thickTop="1" thickBot="1" x14ac:dyDescent="0.25">
      <c r="A127" s="1668" t="s">
        <v>719</v>
      </c>
      <c r="B127" s="1669" t="s">
        <v>35</v>
      </c>
      <c r="C127" s="1670">
        <f>SUM(C122:C126)</f>
        <v>73298</v>
      </c>
      <c r="D127" s="1670">
        <f t="shared" ref="D127:L127" si="14">SUM(D122:D126)</f>
        <v>0</v>
      </c>
      <c r="E127" s="1670">
        <f t="shared" si="14"/>
        <v>17019</v>
      </c>
      <c r="F127" s="1670">
        <f t="shared" si="14"/>
        <v>32447</v>
      </c>
      <c r="G127" s="1670">
        <f t="shared" si="14"/>
        <v>0</v>
      </c>
      <c r="H127" s="1670">
        <f t="shared" si="14"/>
        <v>0</v>
      </c>
      <c r="I127" s="1670">
        <f t="shared" si="14"/>
        <v>1425</v>
      </c>
      <c r="J127" s="1670">
        <f t="shared" si="14"/>
        <v>0</v>
      </c>
      <c r="K127" s="1670">
        <f t="shared" si="14"/>
        <v>124189</v>
      </c>
      <c r="L127" s="1670">
        <f t="shared" si="14"/>
        <v>144600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73298</v>
      </c>
      <c r="D129" s="1677">
        <f t="shared" ref="D129:L129" si="15">SUM(D120,D127,D128)</f>
        <v>0</v>
      </c>
      <c r="E129" s="1677">
        <f t="shared" si="15"/>
        <v>17019</v>
      </c>
      <c r="F129" s="1677">
        <f t="shared" si="15"/>
        <v>32447</v>
      </c>
      <c r="G129" s="1677">
        <f t="shared" si="15"/>
        <v>0</v>
      </c>
      <c r="H129" s="1677">
        <f t="shared" si="15"/>
        <v>0</v>
      </c>
      <c r="I129" s="1677">
        <f t="shared" si="15"/>
        <v>1425</v>
      </c>
      <c r="J129" s="1677">
        <f t="shared" si="15"/>
        <v>0</v>
      </c>
      <c r="K129" s="1677">
        <f t="shared" si="15"/>
        <v>124189</v>
      </c>
      <c r="L129" s="1677">
        <f t="shared" si="15"/>
        <v>144600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3" t="s">
        <v>620</v>
      </c>
      <c r="B151" s="2153"/>
      <c r="C151" s="1670">
        <f>SUM(C129,C130,C139,C149,C150)</f>
        <v>73298</v>
      </c>
      <c r="D151" s="1670">
        <f t="shared" ref="D151:K151" si="16">SUM(D129,D130,D139,D149,D150)</f>
        <v>0</v>
      </c>
      <c r="E151" s="1670">
        <f t="shared" si="16"/>
        <v>17019</v>
      </c>
      <c r="F151" s="1670">
        <f t="shared" si="16"/>
        <v>32447</v>
      </c>
      <c r="G151" s="1670">
        <f t="shared" si="16"/>
        <v>0</v>
      </c>
      <c r="H151" s="1670">
        <f t="shared" si="16"/>
        <v>0</v>
      </c>
      <c r="I151" s="1670">
        <f t="shared" si="16"/>
        <v>1425</v>
      </c>
      <c r="J151" s="1670">
        <f t="shared" si="16"/>
        <v>0</v>
      </c>
      <c r="K151" s="1670">
        <f t="shared" si="16"/>
        <v>124189</v>
      </c>
      <c r="L151" s="1670">
        <f>SUM(L129,L130,L139,L149,L150)</f>
        <v>144600</v>
      </c>
    </row>
    <row r="152" spans="1:14" ht="12.75" customHeight="1" thickTop="1" x14ac:dyDescent="0.2">
      <c r="A152" s="2176" t="s">
        <v>1178</v>
      </c>
      <c r="B152" s="2177"/>
      <c r="C152" s="618"/>
      <c r="D152" s="618"/>
      <c r="E152" s="618"/>
      <c r="F152" s="618"/>
      <c r="G152" s="618"/>
      <c r="H152" s="618"/>
      <c r="I152" s="618"/>
      <c r="J152" s="616"/>
      <c r="K152" s="1684">
        <f>'Revenues 9-14'!D268-'Expenditures 15-22'!K151</f>
        <v>7926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1430</v>
      </c>
      <c r="I169" s="616"/>
      <c r="J169" s="616"/>
      <c r="K169" s="1671">
        <f>SUM(C169:H169)</f>
        <v>1430</v>
      </c>
      <c r="L169" s="656">
        <v>1430</v>
      </c>
    </row>
    <row r="170" spans="1:14" ht="33.75" customHeight="1" x14ac:dyDescent="0.2">
      <c r="A170" s="669" t="s">
        <v>1670</v>
      </c>
      <c r="B170" s="671" t="s">
        <v>31</v>
      </c>
      <c r="C170" s="616"/>
      <c r="D170" s="616"/>
      <c r="E170" s="616"/>
      <c r="F170" s="616"/>
      <c r="G170" s="616"/>
      <c r="H170" s="569">
        <v>65000</v>
      </c>
      <c r="I170" s="616"/>
      <c r="J170" s="616"/>
      <c r="K170" s="1671">
        <f>SUM(C170:J170)</f>
        <v>65000</v>
      </c>
      <c r="L170" s="569">
        <v>65000</v>
      </c>
    </row>
    <row r="171" spans="1:14" ht="15.75" customHeight="1" x14ac:dyDescent="0.2">
      <c r="A171" s="621" t="s">
        <v>766</v>
      </c>
      <c r="B171" s="672" t="s">
        <v>84</v>
      </c>
      <c r="C171" s="616"/>
      <c r="D171" s="616"/>
      <c r="E171" s="466">
        <v>0</v>
      </c>
      <c r="F171" s="616"/>
      <c r="G171" s="616"/>
      <c r="H171" s="569">
        <v>500</v>
      </c>
      <c r="I171" s="477"/>
      <c r="J171" s="616"/>
      <c r="K171" s="1671">
        <f>SUM(C171:J171)</f>
        <v>500</v>
      </c>
      <c r="L171" s="569">
        <v>500</v>
      </c>
    </row>
    <row r="172" spans="1:14" ht="12.75" customHeight="1" thickBot="1" x14ac:dyDescent="0.25">
      <c r="A172" s="1668" t="s">
        <v>638</v>
      </c>
      <c r="B172" s="1669" t="s">
        <v>492</v>
      </c>
      <c r="C172" s="616"/>
      <c r="D172" s="616"/>
      <c r="E172" s="1677">
        <f>SUM(E168,E169,E170,E171)</f>
        <v>0</v>
      </c>
      <c r="F172" s="616"/>
      <c r="G172" s="616"/>
      <c r="H172" s="1677">
        <f>SUM(H168,H169,H170,H171)</f>
        <v>66930</v>
      </c>
      <c r="I172" s="638"/>
      <c r="J172" s="616"/>
      <c r="K172" s="1677">
        <f>SUM(K168,K169,K170,K171)</f>
        <v>66930</v>
      </c>
      <c r="L172" s="1677">
        <f>SUM(L168,L169,L170,L171)</f>
        <v>66930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66930</v>
      </c>
      <c r="I174" s="638"/>
      <c r="J174" s="616"/>
      <c r="K174" s="1677">
        <f>SUM(K160,K172,K173)</f>
        <v>66930</v>
      </c>
      <c r="L174" s="1677">
        <f>SUM(L160,L172,L173)</f>
        <v>66930</v>
      </c>
    </row>
    <row r="175" spans="1:14" ht="13.5" thickTop="1" x14ac:dyDescent="0.2">
      <c r="A175" s="2156" t="s">
        <v>996</v>
      </c>
      <c r="B175" s="2157"/>
      <c r="C175" s="616"/>
      <c r="D175" s="616"/>
      <c r="E175" s="616"/>
      <c r="F175" s="616"/>
      <c r="G175" s="616"/>
      <c r="H175" s="618"/>
      <c r="I175" s="616"/>
      <c r="J175" s="616"/>
      <c r="K175" s="1684">
        <f>'Revenues 9-14'!E268-'Expenditures 15-22'!K174</f>
        <v>5011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31424</v>
      </c>
      <c r="D182" s="466">
        <v>0</v>
      </c>
      <c r="E182" s="466">
        <v>24461</v>
      </c>
      <c r="F182" s="466">
        <v>8750</v>
      </c>
      <c r="G182" s="466">
        <v>0</v>
      </c>
      <c r="H182" s="466">
        <v>1699</v>
      </c>
      <c r="I182" s="467">
        <v>0</v>
      </c>
      <c r="J182" s="467">
        <v>0</v>
      </c>
      <c r="K182" s="1671">
        <f>SUM(C182:J182)</f>
        <v>66334</v>
      </c>
      <c r="L182" s="466">
        <v>81900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31424</v>
      </c>
      <c r="D184" s="1677">
        <f t="shared" ref="D184:J184" si="17">SUM(D180,D182,D183)</f>
        <v>0</v>
      </c>
      <c r="E184" s="1677">
        <f t="shared" si="17"/>
        <v>24461</v>
      </c>
      <c r="F184" s="1677">
        <f t="shared" si="17"/>
        <v>8750</v>
      </c>
      <c r="G184" s="1677">
        <f t="shared" si="17"/>
        <v>0</v>
      </c>
      <c r="H184" s="1677">
        <f t="shared" si="17"/>
        <v>1699</v>
      </c>
      <c r="I184" s="1677">
        <f t="shared" si="17"/>
        <v>0</v>
      </c>
      <c r="J184" s="1677">
        <f t="shared" si="17"/>
        <v>0</v>
      </c>
      <c r="K184" s="1677">
        <f>SUM(K180,K182,K183)</f>
        <v>66334</v>
      </c>
      <c r="L184" s="1677">
        <f>SUM(L180, L182:L183)</f>
        <v>81900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31424</v>
      </c>
      <c r="D210" s="1670">
        <f>SUM(D184,D185)</f>
        <v>0</v>
      </c>
      <c r="E210" s="1670">
        <f>SUM(E184,E185,E196)</f>
        <v>24461</v>
      </c>
      <c r="F210" s="1670">
        <f>SUM(F184,F185)</f>
        <v>8750</v>
      </c>
      <c r="G210" s="1670">
        <f>SUM(G184,G185)</f>
        <v>0</v>
      </c>
      <c r="H210" s="1670">
        <f>SUM(H184,H185,H196,H208,H209)</f>
        <v>1699</v>
      </c>
      <c r="I210" s="1670">
        <f>SUM(I184,I185)</f>
        <v>0</v>
      </c>
      <c r="J210" s="1670">
        <f>SUM(J184,J185)</f>
        <v>0</v>
      </c>
      <c r="K210" s="1671">
        <f>SUM(K184,K185,K196,K208,K209)</f>
        <v>66334</v>
      </c>
      <c r="L210" s="1670">
        <f>SUM(L184,L185,L196,L208,L209)</f>
        <v>81900</v>
      </c>
    </row>
    <row r="211" spans="1:14" ht="13.5" thickTop="1" x14ac:dyDescent="0.2">
      <c r="A211" s="2156" t="s">
        <v>996</v>
      </c>
      <c r="B211" s="2157"/>
      <c r="C211" s="618"/>
      <c r="D211" s="618"/>
      <c r="E211" s="618"/>
      <c r="F211" s="618"/>
      <c r="G211" s="618"/>
      <c r="H211" s="618"/>
      <c r="I211" s="616"/>
      <c r="J211" s="616"/>
      <c r="K211" s="1684">
        <f>'Revenues 9-14'!F268-'Expenditures 15-22'!K210</f>
        <v>24264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7209</v>
      </c>
      <c r="E215" s="616"/>
      <c r="F215" s="616"/>
      <c r="G215" s="616"/>
      <c r="H215" s="616"/>
      <c r="I215" s="616"/>
      <c r="J215" s="616"/>
      <c r="K215" s="1671">
        <f>D215</f>
        <v>7209</v>
      </c>
      <c r="L215" s="466">
        <v>6300</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604</v>
      </c>
      <c r="E217" s="616"/>
      <c r="F217" s="616"/>
      <c r="G217" s="616"/>
      <c r="H217" s="616"/>
      <c r="I217" s="616"/>
      <c r="J217" s="616"/>
      <c r="K217" s="1671">
        <f t="shared" si="19"/>
        <v>604</v>
      </c>
      <c r="L217" s="466">
        <v>1000</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0</v>
      </c>
      <c r="E219" s="616"/>
      <c r="F219" s="616"/>
      <c r="G219" s="616"/>
      <c r="H219" s="616"/>
      <c r="I219" s="616"/>
      <c r="J219" s="616"/>
      <c r="K219" s="1671">
        <f t="shared" si="19"/>
        <v>0</v>
      </c>
      <c r="L219" s="466">
        <v>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570</v>
      </c>
      <c r="E223" s="616"/>
      <c r="F223" s="616"/>
      <c r="G223" s="616"/>
      <c r="H223" s="616"/>
      <c r="I223" s="616"/>
      <c r="J223" s="616"/>
      <c r="K223" s="1671">
        <f t="shared" si="19"/>
        <v>570</v>
      </c>
      <c r="L223" s="466">
        <v>400</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0</v>
      </c>
      <c r="E227" s="616"/>
      <c r="F227" s="616"/>
      <c r="G227" s="616"/>
      <c r="H227" s="616"/>
      <c r="I227" s="616"/>
      <c r="J227" s="616"/>
      <c r="K227" s="1671">
        <f t="shared" si="19"/>
        <v>0</v>
      </c>
      <c r="L227" s="466">
        <v>0</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8383</v>
      </c>
      <c r="E229" s="616"/>
      <c r="F229" s="616"/>
      <c r="G229" s="616"/>
      <c r="H229" s="616"/>
      <c r="I229" s="616"/>
      <c r="J229" s="616"/>
      <c r="K229" s="1670">
        <f>SUM(K215:K228)</f>
        <v>8383</v>
      </c>
      <c r="L229" s="1670">
        <f>SUM(L215:L228)</f>
        <v>7700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v>0</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0</v>
      </c>
      <c r="E234" s="616"/>
      <c r="F234" s="616"/>
      <c r="G234" s="616"/>
      <c r="H234" s="616"/>
      <c r="I234" s="616"/>
      <c r="J234" s="616"/>
      <c r="K234" s="1671">
        <f t="shared" si="20"/>
        <v>0</v>
      </c>
      <c r="L234" s="466">
        <v>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8</v>
      </c>
      <c r="E240" s="616"/>
      <c r="F240" s="616"/>
      <c r="G240" s="616"/>
      <c r="H240" s="616"/>
      <c r="I240" s="616"/>
      <c r="J240" s="616"/>
      <c r="K240" s="1672">
        <f>D240</f>
        <v>8</v>
      </c>
      <c r="L240" s="481">
        <v>0</v>
      </c>
    </row>
    <row r="241" spans="1:12" x14ac:dyDescent="0.2">
      <c r="A241" s="1504" t="s">
        <v>815</v>
      </c>
      <c r="B241" s="614">
        <v>2220</v>
      </c>
      <c r="C241" s="616"/>
      <c r="D241" s="466">
        <v>0</v>
      </c>
      <c r="E241" s="616"/>
      <c r="F241" s="616"/>
      <c r="G241" s="616"/>
      <c r="H241" s="616"/>
      <c r="I241" s="616"/>
      <c r="J241" s="616"/>
      <c r="K241" s="1672">
        <f>D241</f>
        <v>0</v>
      </c>
      <c r="L241" s="466">
        <v>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8</v>
      </c>
      <c r="E243" s="616"/>
      <c r="F243" s="616"/>
      <c r="G243" s="616"/>
      <c r="H243" s="616"/>
      <c r="I243" s="616"/>
      <c r="J243" s="616"/>
      <c r="K243" s="1670">
        <f>SUM(K240:K242)</f>
        <v>8</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0</v>
      </c>
      <c r="E245" s="616"/>
      <c r="F245" s="616"/>
      <c r="G245" s="616"/>
      <c r="H245" s="616"/>
      <c r="I245" s="616"/>
      <c r="J245" s="616"/>
      <c r="K245" s="1672">
        <f>D245</f>
        <v>0</v>
      </c>
      <c r="L245" s="481">
        <v>0</v>
      </c>
    </row>
    <row r="246" spans="1:12" x14ac:dyDescent="0.2">
      <c r="A246" s="1504" t="s">
        <v>818</v>
      </c>
      <c r="B246" s="614">
        <v>2320</v>
      </c>
      <c r="C246" s="616"/>
      <c r="D246" s="466">
        <v>1070</v>
      </c>
      <c r="E246" s="616"/>
      <c r="F246" s="616"/>
      <c r="G246" s="616"/>
      <c r="H246" s="616"/>
      <c r="I246" s="616"/>
      <c r="J246" s="616"/>
      <c r="K246" s="1672">
        <f t="shared" ref="K246:K256" si="21">D246</f>
        <v>1070</v>
      </c>
      <c r="L246" s="466">
        <v>1000</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1070</v>
      </c>
      <c r="E257" s="616"/>
      <c r="F257" s="616"/>
      <c r="G257" s="616"/>
      <c r="H257" s="616"/>
      <c r="I257" s="616"/>
      <c r="J257" s="616"/>
      <c r="K257" s="1670">
        <f>SUM(K245:K256)</f>
        <v>1070</v>
      </c>
      <c r="L257" s="1670">
        <f>SUM(L245:L256)</f>
        <v>1000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0</v>
      </c>
      <c r="E259" s="616"/>
      <c r="F259" s="616"/>
      <c r="G259" s="616"/>
      <c r="H259" s="616"/>
      <c r="I259" s="616"/>
      <c r="J259" s="616"/>
      <c r="K259" s="1672">
        <f>D259</f>
        <v>0</v>
      </c>
      <c r="L259" s="481">
        <v>0</v>
      </c>
    </row>
    <row r="260" spans="1:14" s="597" customFormat="1" x14ac:dyDescent="0.2">
      <c r="A260" s="1522" t="s">
        <v>1804</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4164</v>
      </c>
      <c r="E263" s="616"/>
      <c r="F263" s="616"/>
      <c r="G263" s="616"/>
      <c r="H263" s="616"/>
      <c r="I263" s="616"/>
      <c r="J263" s="616"/>
      <c r="K263" s="1672">
        <f>D263</f>
        <v>4164</v>
      </c>
      <c r="L263" s="481">
        <v>1500</v>
      </c>
    </row>
    <row r="264" spans="1:14" x14ac:dyDescent="0.2">
      <c r="A264" s="1504" t="s">
        <v>463</v>
      </c>
      <c r="B264" s="685">
        <v>2520</v>
      </c>
      <c r="C264" s="616"/>
      <c r="D264" s="466">
        <v>4476</v>
      </c>
      <c r="E264" s="616"/>
      <c r="F264" s="616"/>
      <c r="G264" s="616"/>
      <c r="H264" s="616"/>
      <c r="I264" s="616"/>
      <c r="J264" s="616"/>
      <c r="K264" s="1672">
        <f t="shared" ref="K264:K269" si="22">D264</f>
        <v>4476</v>
      </c>
      <c r="L264" s="466">
        <v>4600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6653</v>
      </c>
      <c r="E266" s="616"/>
      <c r="F266" s="616"/>
      <c r="G266" s="616"/>
      <c r="H266" s="616"/>
      <c r="I266" s="616"/>
      <c r="J266" s="616"/>
      <c r="K266" s="1672">
        <f t="shared" si="22"/>
        <v>6653</v>
      </c>
      <c r="L266" s="466">
        <v>7700</v>
      </c>
    </row>
    <row r="267" spans="1:14" x14ac:dyDescent="0.2">
      <c r="A267" s="1504" t="s">
        <v>953</v>
      </c>
      <c r="B267" s="614">
        <v>2550</v>
      </c>
      <c r="C267" s="616"/>
      <c r="D267" s="466">
        <v>4505</v>
      </c>
      <c r="E267" s="616"/>
      <c r="F267" s="616"/>
      <c r="G267" s="616"/>
      <c r="H267" s="616"/>
      <c r="I267" s="616"/>
      <c r="J267" s="616"/>
      <c r="K267" s="1672">
        <f t="shared" si="22"/>
        <v>4505</v>
      </c>
      <c r="L267" s="466">
        <v>3900</v>
      </c>
    </row>
    <row r="268" spans="1:14" x14ac:dyDescent="0.2">
      <c r="A268" s="1504" t="s">
        <v>100</v>
      </c>
      <c r="B268" s="614">
        <v>2560</v>
      </c>
      <c r="C268" s="616"/>
      <c r="D268" s="466">
        <v>5613</v>
      </c>
      <c r="E268" s="616"/>
      <c r="F268" s="616"/>
      <c r="G268" s="616"/>
      <c r="H268" s="616"/>
      <c r="I268" s="616"/>
      <c r="J268" s="616"/>
      <c r="K268" s="1672">
        <f t="shared" si="22"/>
        <v>5613</v>
      </c>
      <c r="L268" s="466">
        <v>4700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25411</v>
      </c>
      <c r="E270" s="616"/>
      <c r="F270" s="616"/>
      <c r="G270" s="616"/>
      <c r="H270" s="616"/>
      <c r="I270" s="616"/>
      <c r="J270" s="616"/>
      <c r="K270" s="1670">
        <f>SUM(K263:K269)</f>
        <v>25411</v>
      </c>
      <c r="L270" s="1670">
        <f>SUM(L263:L269)</f>
        <v>22400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26489</v>
      </c>
      <c r="E279" s="616"/>
      <c r="F279" s="616"/>
      <c r="G279" s="616"/>
      <c r="H279" s="616"/>
      <c r="I279" s="616"/>
      <c r="J279" s="616"/>
      <c r="K279" s="1677">
        <f>SUM(K238,K243,K257,K261,K270,K277,K278)</f>
        <v>26489</v>
      </c>
      <c r="L279" s="1677">
        <f>SUM(L238,L243,L257,L261,L270,L277,L278)</f>
        <v>23400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4" t="s">
        <v>505</v>
      </c>
      <c r="B295" s="2175"/>
      <c r="C295" s="616"/>
      <c r="D295" s="1670">
        <f>SUM(D229,D279,D280,D285)</f>
        <v>34872</v>
      </c>
      <c r="E295" s="616"/>
      <c r="F295" s="616"/>
      <c r="G295" s="616"/>
      <c r="H295" s="1670">
        <f>H293</f>
        <v>0</v>
      </c>
      <c r="I295" s="616"/>
      <c r="J295" s="616"/>
      <c r="K295" s="1670">
        <f>SUM(K229,K279,K280,K285,K293,K294)</f>
        <v>34872</v>
      </c>
      <c r="L295" s="1670">
        <f>SUM(L229,L279,L280,L285,L293,L294)</f>
        <v>31100</v>
      </c>
    </row>
    <row r="296" spans="1:14" ht="13.5" thickTop="1" x14ac:dyDescent="0.2">
      <c r="A296" s="2156" t="s">
        <v>996</v>
      </c>
      <c r="B296" s="2157"/>
      <c r="C296" s="616"/>
      <c r="D296" s="618"/>
      <c r="E296" s="616"/>
      <c r="F296" s="616"/>
      <c r="G296" s="616"/>
      <c r="H296" s="687"/>
      <c r="I296" s="616"/>
      <c r="J296" s="616"/>
      <c r="K296" s="1684">
        <f>'Revenues 9-14'!G268-'Expenditures 15-22'!K295</f>
        <v>-4030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7320</v>
      </c>
      <c r="F320" s="467">
        <v>0</v>
      </c>
      <c r="G320" s="467">
        <v>0</v>
      </c>
      <c r="H320" s="467">
        <v>0</v>
      </c>
      <c r="I320" s="467">
        <v>0</v>
      </c>
      <c r="J320" s="467">
        <v>0</v>
      </c>
      <c r="K320" s="1671">
        <f t="shared" ref="K320:K327" si="24">SUM(C320:J320)</f>
        <v>7320</v>
      </c>
      <c r="L320" s="467">
        <v>10215</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284</v>
      </c>
      <c r="C322" s="467">
        <v>0</v>
      </c>
      <c r="D322" s="467">
        <v>0</v>
      </c>
      <c r="E322" s="467">
        <v>10900</v>
      </c>
      <c r="F322" s="467">
        <v>0</v>
      </c>
      <c r="G322" s="467">
        <v>0</v>
      </c>
      <c r="H322" s="467">
        <v>0</v>
      </c>
      <c r="I322" s="467">
        <v>0</v>
      </c>
      <c r="J322" s="467">
        <v>0</v>
      </c>
      <c r="K322" s="1671">
        <f t="shared" si="24"/>
        <v>10900</v>
      </c>
      <c r="L322" s="467">
        <v>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12000</v>
      </c>
      <c r="D325" s="467">
        <v>0</v>
      </c>
      <c r="E325" s="467">
        <v>6183</v>
      </c>
      <c r="F325" s="467">
        <v>0</v>
      </c>
      <c r="G325" s="467">
        <v>0</v>
      </c>
      <c r="H325" s="467">
        <v>0</v>
      </c>
      <c r="I325" s="467">
        <v>0</v>
      </c>
      <c r="J325" s="467">
        <v>0</v>
      </c>
      <c r="K325" s="1671">
        <f t="shared" si="24"/>
        <v>18183</v>
      </c>
      <c r="L325" s="467">
        <v>16200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742</v>
      </c>
      <c r="F327" s="467">
        <v>0</v>
      </c>
      <c r="G327" s="467">
        <v>0</v>
      </c>
      <c r="H327" s="467">
        <v>0</v>
      </c>
      <c r="I327" s="467">
        <v>0</v>
      </c>
      <c r="J327" s="467">
        <v>0</v>
      </c>
      <c r="K327" s="1671">
        <f t="shared" si="24"/>
        <v>742</v>
      </c>
      <c r="L327" s="467">
        <v>1000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8100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12000</v>
      </c>
      <c r="D330" s="1670">
        <f t="shared" ref="D330:J330" si="25">SUM(D319:D329)</f>
        <v>0</v>
      </c>
      <c r="E330" s="1670">
        <f t="shared" si="25"/>
        <v>25145</v>
      </c>
      <c r="F330" s="1670">
        <f t="shared" si="25"/>
        <v>0</v>
      </c>
      <c r="G330" s="1670">
        <f t="shared" si="25"/>
        <v>0</v>
      </c>
      <c r="H330" s="1670">
        <f t="shared" si="25"/>
        <v>0</v>
      </c>
      <c r="I330" s="1670">
        <f t="shared" si="25"/>
        <v>0</v>
      </c>
      <c r="J330" s="1670">
        <f t="shared" si="25"/>
        <v>0</v>
      </c>
      <c r="K330" s="1670">
        <f>SUM(K319:K329)</f>
        <v>37145</v>
      </c>
      <c r="L330" s="1670">
        <f>SUM(L319:L329)</f>
        <v>35515</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12000</v>
      </c>
      <c r="D342" s="1670">
        <f>SUM(D330)</f>
        <v>0</v>
      </c>
      <c r="E342" s="1670">
        <f>SUM(E330)</f>
        <v>25145</v>
      </c>
      <c r="F342" s="1670">
        <f>SUM(F330)</f>
        <v>0</v>
      </c>
      <c r="G342" s="1670">
        <f>SUM(G330)</f>
        <v>0</v>
      </c>
      <c r="H342" s="1670">
        <f>SUM(H330,H334,H340)</f>
        <v>0</v>
      </c>
      <c r="I342" s="1670">
        <f>SUM(I330)</f>
        <v>0</v>
      </c>
      <c r="J342" s="1670">
        <f>SUM(J330)</f>
        <v>0</v>
      </c>
      <c r="K342" s="1670">
        <f>SUM(K330,K334,K340)</f>
        <v>37145</v>
      </c>
      <c r="L342" s="1677">
        <f>SUM(L330,L340,L341)</f>
        <v>35515</v>
      </c>
    </row>
    <row r="343" spans="1:14" ht="12.75" customHeight="1" thickTop="1" x14ac:dyDescent="0.2">
      <c r="A343" s="2169" t="s">
        <v>996</v>
      </c>
      <c r="B343" s="2170"/>
      <c r="C343" s="616"/>
      <c r="D343" s="616"/>
      <c r="E343" s="616"/>
      <c r="F343" s="616"/>
      <c r="G343" s="616"/>
      <c r="H343" s="616"/>
      <c r="I343" s="616"/>
      <c r="J343" s="616"/>
      <c r="K343" s="1684">
        <f>'Revenues 9-14'!J268-'Expenditures 15-22'!K342</f>
        <v>2591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30061</v>
      </c>
      <c r="F348" s="466">
        <v>0</v>
      </c>
      <c r="G348" s="466">
        <v>0</v>
      </c>
      <c r="H348" s="466">
        <v>0</v>
      </c>
      <c r="I348" s="467">
        <v>0</v>
      </c>
      <c r="J348" s="467">
        <v>0</v>
      </c>
      <c r="K348" s="1671">
        <f>SUM(C348:J348)</f>
        <v>30061</v>
      </c>
      <c r="L348" s="466">
        <v>2700</v>
      </c>
    </row>
    <row r="349" spans="1:14" x14ac:dyDescent="0.2">
      <c r="A349" s="1504" t="s">
        <v>197</v>
      </c>
      <c r="B349" s="614">
        <v>2540</v>
      </c>
      <c r="C349" s="466">
        <v>0</v>
      </c>
      <c r="D349" s="466">
        <v>0</v>
      </c>
      <c r="E349" s="466">
        <v>10143</v>
      </c>
      <c r="F349" s="466">
        <v>0</v>
      </c>
      <c r="G349" s="466">
        <v>6200</v>
      </c>
      <c r="H349" s="466">
        <v>0</v>
      </c>
      <c r="I349" s="467">
        <v>0</v>
      </c>
      <c r="J349" s="467">
        <v>0</v>
      </c>
      <c r="K349" s="1671">
        <f>SUM(C349:J349)</f>
        <v>16343</v>
      </c>
      <c r="L349" s="466">
        <v>8000</v>
      </c>
    </row>
    <row r="350" spans="1:14" ht="12.75" customHeight="1" thickBot="1" x14ac:dyDescent="0.25">
      <c r="A350" s="1668" t="s">
        <v>719</v>
      </c>
      <c r="B350" s="1669" t="s">
        <v>35</v>
      </c>
      <c r="C350" s="1670">
        <f>SUM(C348:C349)</f>
        <v>0</v>
      </c>
      <c r="D350" s="1670">
        <f t="shared" ref="D350:L350" si="26">SUM(D348:D349)</f>
        <v>0</v>
      </c>
      <c r="E350" s="1670">
        <f t="shared" si="26"/>
        <v>40204</v>
      </c>
      <c r="F350" s="1670">
        <f t="shared" si="26"/>
        <v>0</v>
      </c>
      <c r="G350" s="1670">
        <f t="shared" si="26"/>
        <v>6200</v>
      </c>
      <c r="H350" s="1670">
        <f t="shared" si="26"/>
        <v>0</v>
      </c>
      <c r="I350" s="1670">
        <f t="shared" si="26"/>
        <v>0</v>
      </c>
      <c r="J350" s="1670">
        <f t="shared" si="26"/>
        <v>0</v>
      </c>
      <c r="K350" s="1670">
        <f t="shared" si="26"/>
        <v>46404</v>
      </c>
      <c r="L350" s="1670">
        <f t="shared" si="26"/>
        <v>10700</v>
      </c>
    </row>
    <row r="351" spans="1:14" ht="12.75" customHeight="1" thickTop="1" x14ac:dyDescent="0.2">
      <c r="A351" s="1510" t="s">
        <v>980</v>
      </c>
      <c r="B351" s="643" t="s">
        <v>574</v>
      </c>
      <c r="C351" s="481">
        <v>0</v>
      </c>
      <c r="D351" s="481">
        <v>0</v>
      </c>
      <c r="E351" s="481">
        <v>1360</v>
      </c>
      <c r="F351" s="481">
        <v>0</v>
      </c>
      <c r="G351" s="481">
        <v>0</v>
      </c>
      <c r="H351" s="481">
        <v>0</v>
      </c>
      <c r="I351" s="478">
        <v>0</v>
      </c>
      <c r="J351" s="478">
        <v>0</v>
      </c>
      <c r="K351" s="615">
        <f>SUM(C351:J351)</f>
        <v>1360</v>
      </c>
      <c r="L351" s="481">
        <v>1000</v>
      </c>
    </row>
    <row r="352" spans="1:14" ht="12.75" customHeight="1" thickBot="1" x14ac:dyDescent="0.25">
      <c r="A352" s="1668" t="s">
        <v>624</v>
      </c>
      <c r="B352" s="1675" t="s">
        <v>569</v>
      </c>
      <c r="C352" s="1670">
        <f>SUM(C350:C351)</f>
        <v>0</v>
      </c>
      <c r="D352" s="1670">
        <f t="shared" ref="D352:L352" si="27">SUM(D350:D351)</f>
        <v>0</v>
      </c>
      <c r="E352" s="1670">
        <f t="shared" si="27"/>
        <v>41564</v>
      </c>
      <c r="F352" s="1670">
        <f t="shared" si="27"/>
        <v>0</v>
      </c>
      <c r="G352" s="1670">
        <f t="shared" si="27"/>
        <v>6200</v>
      </c>
      <c r="H352" s="1670">
        <f t="shared" si="27"/>
        <v>0</v>
      </c>
      <c r="I352" s="1670">
        <f t="shared" si="27"/>
        <v>0</v>
      </c>
      <c r="J352" s="1670">
        <f t="shared" si="27"/>
        <v>0</v>
      </c>
      <c r="K352" s="1670">
        <f t="shared" si="27"/>
        <v>47764</v>
      </c>
      <c r="L352" s="1670">
        <f t="shared" si="27"/>
        <v>11700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41564</v>
      </c>
      <c r="F367" s="1670">
        <f t="shared" si="28"/>
        <v>0</v>
      </c>
      <c r="G367" s="1670">
        <f t="shared" si="28"/>
        <v>6200</v>
      </c>
      <c r="H367" s="1670">
        <f t="shared" si="28"/>
        <v>0</v>
      </c>
      <c r="I367" s="1670">
        <f t="shared" si="28"/>
        <v>0</v>
      </c>
      <c r="J367" s="1670">
        <f t="shared" si="28"/>
        <v>0</v>
      </c>
      <c r="K367" s="1670">
        <f t="shared" si="28"/>
        <v>47764</v>
      </c>
      <c r="L367" s="1670">
        <f t="shared" si="28"/>
        <v>11700</v>
      </c>
    </row>
    <row r="368" spans="1:14" ht="13.5" thickTop="1" x14ac:dyDescent="0.2">
      <c r="A368" s="2156" t="s">
        <v>996</v>
      </c>
      <c r="B368" s="2157"/>
      <c r="C368" s="654"/>
      <c r="D368" s="654"/>
      <c r="E368" s="626"/>
      <c r="F368" s="626"/>
      <c r="G368" s="626"/>
      <c r="H368" s="626"/>
      <c r="I368" s="626"/>
      <c r="J368" s="623"/>
      <c r="K368" s="1671">
        <f>'Revenues 9-14'!K268-'Expenditures 15-22'!K367</f>
        <v>-27245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d21dc803-237d-4c68-8692-8d731fd29118"/>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 ds:uri="6ce3111e-7420-4802-b50a-75d4e9a0b980"/>
    <ds:schemaRef ds:uri="4d435f69-8686-490b-bd6d-b153bf22ab5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2019-08-24T14:45:49Z</cp:lastPrinted>
  <dcterms:created xsi:type="dcterms:W3CDTF">2003-10-29T19:06:34Z</dcterms:created>
  <dcterms:modified xsi:type="dcterms:W3CDTF">2019-11-08T14:13:16Z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