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D010D08-F48E-47B7-89EE-ACFDF4830285}"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E6" i="7" l="1"/>
  <c r="E16" i="7"/>
  <c r="E14" i="7"/>
  <c r="E12" i="7"/>
  <c r="E11" i="7"/>
  <c r="E10" i="7"/>
  <c r="E8" i="7"/>
  <c r="E7" i="7"/>
  <c r="E5" i="7"/>
  <c r="E4"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3" i="106"/>
  <c r="D1813" i="106" s="1"/>
  <c r="D1814" i="106"/>
  <c r="B1815" i="106"/>
  <c r="D1815" i="106" s="1"/>
  <c r="B1816" i="106"/>
  <c r="D1816" i="106" s="1"/>
  <c r="B1817" i="106"/>
  <c r="D1817" i="106" s="1"/>
  <c r="B1818" i="106"/>
  <c r="D1818" i="106" s="1"/>
  <c r="D1819" i="106"/>
  <c r="B1820" i="106"/>
  <c r="D1820" i="106" s="1"/>
  <c r="D1821" i="106"/>
  <c r="D1822"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E27" i="108"/>
  <c r="G27" i="108"/>
  <c r="F31" i="108"/>
  <c r="F36" i="108"/>
  <c r="G28" i="108"/>
  <c r="D31"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E35" i="108" l="1"/>
  <c r="F68" i="34"/>
  <c r="F34" i="34"/>
  <c r="B7074" i="106"/>
  <c r="D7074" i="106" s="1"/>
  <c r="L22" i="37"/>
  <c r="F37" i="34"/>
  <c r="E33" i="108"/>
  <c r="F42" i="34"/>
  <c r="H112" i="29"/>
  <c r="B7018" i="106" s="1"/>
  <c r="D7018" i="106" s="1"/>
  <c r="F28" i="108"/>
  <c r="F71" i="34"/>
  <c r="E38" i="108"/>
  <c r="H28" i="118"/>
  <c r="F36" i="34"/>
  <c r="B6289" i="106"/>
  <c r="D6289" i="106" s="1"/>
  <c r="D24" i="37"/>
  <c r="B4270" i="106" s="1"/>
  <c r="D4270" i="106" s="1"/>
  <c r="G29" i="108"/>
  <c r="F77" i="4"/>
  <c r="B3255" i="106" s="1"/>
  <c r="D3255" i="106" s="1"/>
  <c r="J210" i="29"/>
  <c r="B7072" i="106" s="1"/>
  <c r="D7072" i="106" s="1"/>
  <c r="F38" i="34"/>
  <c r="J41" i="3"/>
  <c r="B3647" i="106"/>
  <c r="D3647" i="106" s="1"/>
  <c r="L13" i="11"/>
  <c r="B2060" i="106" s="1"/>
  <c r="D2060" i="106" s="1"/>
  <c r="C342" i="29"/>
  <c r="B7216" i="106" s="1"/>
  <c r="D7216" i="106" s="1"/>
  <c r="J129" i="29"/>
  <c r="B7038" i="106" s="1"/>
  <c r="D7038" i="106" s="1"/>
  <c r="H76" i="4"/>
  <c r="B3298" i="106" s="1"/>
  <c r="D3298" i="106" s="1"/>
  <c r="E34" i="108"/>
  <c r="H342" i="29"/>
  <c r="B7221" i="106" s="1"/>
  <c r="D7221" i="106" s="1"/>
  <c r="I129" i="29"/>
  <c r="B7037" i="106" s="1"/>
  <c r="D7037" i="106" s="1"/>
  <c r="C352" i="29"/>
  <c r="B3621" i="106" s="1"/>
  <c r="D3621" i="106" s="1"/>
  <c r="K76" i="4"/>
  <c r="B3586" i="106" s="1"/>
  <c r="D3586" i="106" s="1"/>
  <c r="G14" i="4"/>
  <c r="B2609" i="106" s="1"/>
  <c r="D2609" i="106" s="1"/>
  <c r="F72" i="34"/>
  <c r="D69" i="36"/>
  <c r="G35" i="108"/>
  <c r="G30" i="108"/>
  <c r="F27" i="108"/>
  <c r="H33" i="11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B1266" i="106"/>
  <c r="D1266" i="106" s="1"/>
  <c r="D7250" i="106"/>
  <c r="K28" i="118"/>
  <c r="O27" i="118" s="1"/>
  <c r="O29" i="118" s="1"/>
  <c r="D44" i="36"/>
  <c r="L114" i="29"/>
  <c r="C367" i="29"/>
  <c r="B3622" i="106" s="1"/>
  <c r="D3622" i="106" s="1"/>
  <c r="J151" i="29"/>
  <c r="B7052" i="106" s="1"/>
  <c r="D7052" i="106" s="1"/>
  <c r="D7251" i="106"/>
  <c r="D7254" i="106"/>
  <c r="D7256" i="106"/>
  <c r="B7235" i="106"/>
  <c r="D7235" i="106" s="1"/>
  <c r="H77" i="4"/>
  <c r="B3299" i="106" s="1"/>
  <c r="D3299" i="106" s="1"/>
  <c r="K77" i="4"/>
  <c r="B3587" i="106" s="1"/>
  <c r="D3587" i="106" s="1"/>
  <c r="B1225" i="106"/>
  <c r="D1225" i="106" s="1"/>
  <c r="F41" i="108"/>
  <c r="G43" i="108" s="1"/>
  <c r="B5527" i="106"/>
  <c r="D5527" i="106" s="1"/>
  <c r="B1328" i="106"/>
  <c r="D1328" i="106" s="1"/>
  <c r="I7" i="4"/>
  <c r="B4444" i="106" s="1"/>
  <c r="D4444" i="106" s="1"/>
  <c r="D41" i="108"/>
  <c r="E43" i="108" s="1"/>
  <c r="K365" i="29"/>
  <c r="B7243" i="106" s="1"/>
  <c r="D7243" i="106" s="1"/>
  <c r="L16" i="11"/>
  <c r="B2061" i="106" s="1"/>
  <c r="D2061" i="106" s="1"/>
  <c r="N23" i="3"/>
  <c r="B284" i="106" s="1"/>
  <c r="D284" i="106" s="1"/>
  <c r="B1381" i="106"/>
  <c r="D1381"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K16" i="4"/>
  <c r="K367" i="29"/>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J20" i="4"/>
  <c r="B6230" i="106" s="1"/>
  <c r="D6230"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E19" i="7"/>
  <c r="B1823" i="106" s="1"/>
  <c r="D1823" i="106" s="1"/>
  <c r="B1812" i="106"/>
  <c r="D1812" i="106" s="1"/>
  <c r="F8" i="7"/>
  <c r="B1796" i="106" s="1"/>
  <c r="D1796" i="106" s="1"/>
  <c r="F19" i="7" l="1"/>
  <c r="B1807" i="106" s="1"/>
  <c r="D1807"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<sst xmlns="http://schemas.openxmlformats.org/spreadsheetml/2006/main" count="5100" uniqueCount="2115">
  <si>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</si>
  <si>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</si>
  <si>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</si>
  <si>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</si>
  <si>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</si>
  <si>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</si>
  <si>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</si>
  <si>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</si>
  <si>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</si>
  <si>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</si>
  <si>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</si>
  <si>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</si>
  <si>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</si>
  <si>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</si>
  <si>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</si>
  <si>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</si>
  <si>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</si>
  <si>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</si>
  <si>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</si>
  <si>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</si>
  <si>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</si>
  <si>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</si>
  <si>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</si>
  <si>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</si>
  <si>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</si>
  <si>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</si>
  <si>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</si>
  <si>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</si>
  <si>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</si>
  <si>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</si>
  <si>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</si>
  <si>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</si>
  <si>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</si>
  <si>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</si>
  <si>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</si>
  <si>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</si>
  <si>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</si>
  <si>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</si>
  <si>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</si>
  <si>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</si>
  <si>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</si>
  <si>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</si>
  <si>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</si>
  <si>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</si>
  <si>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</si>
  <si>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</si>
  <si>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</si>
  <si>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</si>
  <si>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</si>
  <si>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</si>
  <si>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</si>
  <si>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</si>
  <si>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</si>
  <si>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</si>
  <si>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</si>
  <si>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</si>
  <si>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</si>
  <si>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</si>
  <si>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</si>
  <si>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</si>
  <si>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</si>
  <si>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</si>
  <si>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</si>
  <si>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</si>
  <si>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</si>
  <si>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</si>
  <si>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</si>
  <si>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</si>
  <si>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</si>
  <si>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</si>
  <si>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</si>
  <si>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</si>
  <si>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</si>
  <si>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</si>
  <si>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</si>
  <si>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</si>
  <si>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</si>
  <si>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</si>
  <si>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</si>
  <si>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</si>
  <si>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</si>
  <si>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</si>
  <si>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</si>
  <si>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</si>
  <si>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</si>
  <si>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</si>
  <si>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</si>
  <si>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</si>
  <si>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</si>
  <si>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</si>
  <si>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</si>
  <si>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</si>
  <si>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</si>
  <si>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</si>
  <si>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</si>
  <si>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</si>
  <si>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</si>
  <si>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</si>
  <si>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</si>
  <si>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</si>
  <si>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</si>
  <si>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</si>
  <si>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</si>
  <si>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</si>
  <si>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</si>
  <si>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</si>
  <si>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</si>
  <si>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</si>
  <si>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</si>
  <si>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</si>
  <si>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</si>
  <si>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</si>
  <si>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</si>
  <si>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</si>
  <si>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</si>
  <si>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</si>
  <si>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</si>
  <si>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</si>
  <si>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</si>
  <si>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</si>
  <si>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</si>
  <si>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</si>
  <si>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</si>
  <si>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</si>
  <si>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</si>
  <si>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</si>
  <si>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</si>
  <si>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</si>
  <si>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</si>
  <si>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</si>
  <si>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</si>
  <si>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</si>
  <si>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</si>
  <si>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</si>
  <si>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</si>
  <si>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</si>
  <si>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</si>
  <si>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</si>
  <si>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</si>
  <si>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</si>
  <si>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</si>
  <si>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</si>
  <si>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</si>
  <si>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</si>
  <si>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</si>
  <si>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</si>
  <si>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</si>
  <si>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</si>
  <si>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</si>
  <si>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</si>
  <si>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</si>
  <si>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</si>
  <si>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</si>
  <si>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</si>
  <si>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</si>
  <si>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</si>
  <si>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</si>
  <si>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</si>
  <si>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</si>
  <si>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</si>
  <si>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</si>
  <si>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</si>
  <si>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</si>
  <si>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</si>
  <si>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</si>
  <si>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</si>
  <si>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</si>
  <si>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</si>
  <si>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</si>
  <si>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</si>
  <si>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</si>
  <si>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</si>
  <si>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</si>
  <si>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</si>
  <si>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</si>
  <si>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</si>
  <si>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</si>
  <si>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</si>
  <si>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</si>
  <si>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</si>
  <si>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</si>
  <si>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</si>
  <si>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</si>
  <si>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</si>
  <si>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</si>
  <si>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</si>
  <si>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</si>
  <si>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</si>
  <si>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</si>
  <si>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</si>
  <si>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</si>
  <si>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</si>
  <si>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</si>
  <si>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</si>
  <si>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</si>
  <si>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</si>
  <si>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</si>
  <si>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</si>
  <si>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</si>
  <si>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</si>
  <si>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</si>
  <si>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</si>
  <si>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</si>
  <si>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</si>
  <si>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</si>
  <si>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</si>
  <si>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</si>
  <si>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</si>
  <si>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</si>
  <si>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</si>
  <si>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</si>
  <si>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</si>
  <si>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</si>
  <si>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</si>
  <si>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</si>
  <si>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</si>
  <si>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</si>
  <si>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</si>
  <si>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</si>
  <si>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</si>
  <si>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</si>
  <si>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</si>
  <si>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</si>
  <si>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</si>
  <si>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</si>
  <si>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</si>
  <si>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</si>
  <si>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</si>
  <si>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</si>
  <si>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</si>
  <si>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</si>
  <si>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</si>
  <si>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</si>
  <si>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</si>
  <si>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</si>
  <si>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</si>
  <si>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</si>
  <si>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</si>
  <si>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</si>
  <si>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</si>
  <si>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</si>
  <si>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</si>
  <si>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</si>
  <si>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</si>
  <si>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</si>
  <si>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</si>
  <si>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</si>
  <si>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</si>
  <si>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</si>
  <si>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</si>
  <si>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</si>
  <si>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</si>
  <si>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</si>
  <si>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</si>
  <si>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</si>
  <si>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</si>
  <si>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</si>
  <si>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</si>
  <si>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</si>
  <si>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</si>
  <si>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</si>
  <si>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</si>
  <si>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</si>
  <si>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</si>
  <si>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</si>
  <si>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</si>
  <si>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</si>
  <si>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</si>
  <si>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</si>
  <si>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</si>
  <si>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</si>
  <si>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</si>
  <si>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</si>
  <si>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</si>
  <si>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</si>
  <si>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</si>
  <si>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</si>
  <si>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</si>
  <si>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</si>
  <si>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</si>
  <si>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</si>
  <si>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</si>
  <si>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</si>
  <si>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</si>
  <si>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</si>
  <si>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</si>
  <si>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</si>
  <si>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</si>
  <si>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</si>
  <si>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</si>
  <si>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</si>
  <si>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</si>
  <si>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</si>
  <si>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</si>
  <si>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</si>
  <si>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</si>
  <si>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</si>
  <si>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</si>
  <si>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</si>
  <si>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</si>
  <si>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</si>
  <si>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</si>
  <si>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</si>
  <si>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</si>
  <si>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</si>
  <si>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</si>
  <si>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</si>
  <si>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</si>
  <si>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</si>
  <si>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</si>
  <si>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</si>
  <si>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</si>
  <si>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</si>
  <si>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</si>
  <si>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</si>
  <si>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</si>
  <si>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</si>
  <si>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</si>
  <si>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</si>
  <si>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</si>
  <si>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</si>
  <si>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</si>
  <si>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</si>
  <si>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</si>
  <si>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</si>
  <si>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</si>
  <si>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</si>
  <si>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</si>
  <si>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</si>
  <si>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</si>
  <si>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</si>
  <si>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</si>
  <si>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</si>
  <si>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</si>
  <si>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</si>
  <si>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</si>
  <si>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</si>
  <si>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</si>
  <si>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</si>
  <si>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</si>
  <si>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</si>
  <si>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</si>
  <si>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</si>
  <si>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</si>
  <si>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</si>
  <si>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</si>
  <si>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</si>
  <si>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</si>
  <si>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</si>
  <si>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</si>
  <si>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</si>
  <si>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</si>
  <si>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</si>
  <si>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</si>
  <si>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</si>
  <si>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</si>
  <si>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</si>
  <si>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</si>
  <si>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</si>
  <si>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</si>
  <si>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</si>
  <si>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</si>
  <si>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</si>
  <si>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</si>
  <si>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</si>
  <si>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</si>
  <si>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</si>
  <si>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</si>
  <si>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</si>
  <si>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</si>
  <si>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</si>
  <si>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</si>
  <si>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</si>
  <si>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</si>
  <si>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</si>
  <si>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</si>
  <si>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</si>
  <si>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</si>
  <si>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</si>
  <si>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</si>
  <si>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</si>
  <si>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</si>
  <si>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</si>
  <si>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</si>
  <si>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</si>
  <si>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</si>
  <si>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</si>
  <si>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</si>
  <si>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</si>
  <si>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</si>
  <si>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</si>
  <si>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</si>
  <si>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</si>
  <si>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</si>
  <si>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</si>
  <si>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</si>
  <si>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</si>
  <si>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</si>
  <si>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</si>
  <si>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</si>
  <si>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</si>
  <si>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</si>
  <si>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</si>
  <si>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</si>
  <si>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</si>
  <si>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</si>
  <si>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</si>
  <si>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</si>
  <si>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</si>
  <si>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</si>
  <si>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</si>
  <si>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</si>
  <si>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</si>
  <si>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</si>
  <si>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</si>
  <si>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</si>
  <si>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</si>
  <si>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</si>
  <si>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</si>
  <si>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</si>
  <si>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</si>
  <si>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</si>
  <si>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</si>
  <si>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</si>
  <si>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</si>
  <si>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</si>
  <si>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</si>
  <si>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</si>
  <si>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</si>
  <si>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</si>
  <si>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</si>
  <si>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</si>
  <si>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</si>
  <si>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</si>
  <si>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</si>
  <si>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</si>
  <si>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</si>
  <si>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</si>
  <si>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</si>
  <si>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</si>
  <si>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</si>
  <si>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</si>
  <si>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</si>
  <si>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</si>
  <si>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</si>
  <si>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</si>
  <si>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</si>
  <si>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</si>
  <si>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</si>
  <si>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</si>
  <si>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</si>
  <si>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</si>
  <si>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</si>
  <si>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</si>
  <si>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</si>
  <si>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</si>
  <si>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</si>
  <si>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</si>
  <si>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</si>
  <si>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</si>
  <si>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</si>
  <si>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</si>
  <si>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</si>
  <si>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</si>
  <si>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</si>
  <si>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</si>
  <si>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</si>
  <si>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</si>
  <si>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</si>
  <si>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</si>
  <si>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</si>
  <si>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</si>
  <si>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</si>
  <si>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</si>
  <si>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</si>
  <si>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</si>
  <si>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</si>
  <si>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</si>
  <si>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</si>
  <si>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</si>
  <si>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</si>
  <si>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</si>
  <si>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</si>
  <si>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</si>
  <si>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</si>
  <si>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</si>
  <si>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</si>
  <si>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</si>
  <si>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</si>
  <si>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</si>
  <si>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</si>
  <si>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</si>
  <si>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</si>
  <si>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</si>
  <si>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</si>
  <si>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</si>
  <si>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</si>
  <si>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</si>
  <si>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</si>
  <si>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</si>
  <si>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</si>
  <si>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</si>
  <si>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</si>
  <si>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</si>
  <si>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</si>
  <si>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</si>
  <si>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</si>
  <si>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</si>
  <si>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</si>
  <si>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</si>
  <si>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</si>
  <si>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</si>
  <si>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</si>
  <si>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</si>
  <si>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</si>
  <si>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</si>
  <si>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</si>
  <si>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</si>
  <si>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</si>
  <si>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</si>
  <si>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</si>
  <si>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</si>
  <si>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</si>
  <si>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</si>
  <si>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</si>
  <si>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</si>
  <si>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</si>
  <si>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</si>
  <si>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</si>
  <si>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</si>
  <si>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</si>
  <si>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</si>
  <si>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</si>
  <si>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</si>
  <si>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</si>
  <si>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</si>
  <si>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</si>
  <si>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</si>
  <si>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</si>
  <si>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</si>
  <si>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</si>
  <si>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</si>
  <si>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</si>
  <si>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</si>
  <si>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</si>
  <si>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</si>
  <si>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</si>
  <si>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</si>
  <si>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</si>
  <si>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</si>
  <si>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</si>
  <si>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</si>
  <si>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</si>
  <si>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</si>
  <si>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</si>
  <si>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</si>
  <si>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</si>
  <si>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</si>
  <si>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</si>
  <si>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</si>
  <si>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</si>
  <si>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</si>
  <si>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</si>
  <si>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</si>
  <si>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</si>
  <si>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</si>
  <si>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</si>
  <si>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</si>
  <si>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</si>
  <si>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</si>
  <si>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</si>
  <si>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</si>
  <si>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</si>
  <si>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</si>
  <si>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</si>
  <si>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</si>
  <si>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</si>
  <si>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</si>
  <si>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</si>
  <si>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</si>
  <si>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</si>
  <si>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</si>
  <si>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</si>
  <si>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</si>
  <si>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</si>
  <si>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</si>
  <si>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</si>
  <si>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</si>
  <si>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</si>
  <si>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</si>
  <si>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</si>
  <si>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</si>
  <si>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</si>
  <si>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</si>
  <si>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</si>
  <si>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</si>
  <si>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</si>
  <si>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</si>
  <si>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</si>
  <si>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</si>
  <si>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</si>
  <si>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</si>
  <si>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</si>
  <si>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</si>
  <si>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</si>
  <si>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</si>
  <si>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</si>
  <si>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</si>
  <si>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</si>
  <si>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</si>
  <si>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</si>
  <si>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</si>
  <si>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</si>
  <si>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</si>
  <si>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</si>
  <si>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</si>
  <si>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</si>
  <si>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</si>
  <si>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</si>
  <si>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</si>
  <si>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</si>
  <si>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</si>
  <si>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</si>
  <si>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</si>
  <si>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</si>
  <si>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</si>
  <si>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</si>
  <si>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</si>
  <si>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</si>
  <si>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</si>
  <si>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</si>
  <si>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</si>
  <si>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</si>
  <si>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</si>
  <si>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</si>
  <si>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</si>
  <si>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</si>
  <si>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</si>
  <si>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</si>
  <si>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</si>
  <si>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</si>
  <si>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</si>
  <si>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</si>
  <si>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</si>
  <si>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</si>
  <si>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</si>
  <si>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</si>
  <si>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</si>
  <si>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</si>
  <si>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</si>
  <si>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</si>
  <si>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</si>
  <si>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</si>
  <si>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</si>
  <si>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</si>
  <si>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</si>
  <si>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</si>
  <si>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</si>
  <si>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</si>
  <si>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</si>
  <si>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</si>
  <si>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</si>
  <si>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</si>
  <si>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</si>
  <si>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</si>
  <si>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</si>
  <si>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</si>
  <si>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</si>
  <si>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</si>
  <si>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</si>
  <si>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</si>
  <si>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</si>
  <si>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</si>
  <si>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</si>
  <si>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</si>
  <si>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</si>
  <si>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</si>
  <si>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</si>
  <si>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</si>
  <si>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</si>
  <si>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</si>
  <si>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</si>
  <si>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</si>
  <si>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</si>
  <si>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</si>
  <si>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</si>
  <si>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</si>
  <si>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</si>
  <si>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</si>
  <si>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</si>
  <si>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</si>
  <si>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</si>
  <si>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</si>
  <si>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</si>
  <si>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</si>
  <si>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</si>
  <si>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</si>
  <si>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</si>
  <si>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</si>
  <si>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</si>
  <si>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</si>
  <si>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</si>
  <si>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</si>
  <si>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</si>
  <si>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</si>
  <si>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</si>
  <si>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</si>
  <si>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</si>
  <si>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</si>
  <si>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</si>
  <si>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</si>
  <si>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</si>
  <si>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</si>
  <si>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</si>
  <si>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</si>
  <si>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</si>
  <si>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</si>
  <si>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</si>
  <si>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</si>
  <si>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</si>
  <si>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</si>
  <si>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</si>
  <si>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</si>
  <si>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</si>
  <si>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</si>
  <si>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</si>
  <si>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</si>
  <si>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</si>
  <si>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</si>
  <si>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</si>
  <si>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</si>
  <si>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</si>
  <si>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</si>
  <si>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</si>
  <si>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</si>
  <si>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</si>
  <si>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</si>
  <si>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</si>
  <si>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</si>
  <si>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</si>
  <si>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</si>
  <si>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</si>
  <si>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</si>
  <si>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</si>
  <si>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</si>
  <si>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</si>
  <si>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</si>
  <si>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</si>
  <si>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</si>
  <si>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</si>
  <si>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</si>
  <si>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</si>
  <si>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</si>
  <si>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</si>
  <si>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</si>
  <si>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</si>
  <si>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</si>
  <si>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</si>
  <si>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</si>
  <si>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</si>
  <si>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</si>
  <si>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</si>
  <si>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</si>
  <si>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</si>
  <si>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</si>
  <si>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</si>
  <si>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</si>
  <si>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</si>
  <si>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</si>
  <si>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</si>
  <si>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</si>
  <si>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</si>
  <si>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</si>
  <si>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</si>
  <si>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</si>
  <si>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</si>
  <si>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</si>
  <si>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</si>
  <si>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</si>
  <si>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</si>
  <si>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</si>
  <si>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</si>
  <si>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</si>
  <si>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</si>
  <si>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</si>
  <si>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</si>
  <si>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</si>
  <si>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</si>
  <si>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</si>
  <si>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</si>
  <si>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</si>
  <si>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</si>
  <si>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</si>
  <si>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</si>
  <si>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</si>
  <si>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</si>
  <si>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</si>
  <si>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</si>
  <si>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</si>
  <si>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</si>
  <si>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</si>
  <si>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</si>
  <si>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</si>
  <si>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</si>
  <si>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</si>
  <si>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</si>
  <si>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</si>
  <si>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</si>
  <si>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</si>
  <si>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</si>
  <si>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</si>
  <si>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</si>
  <si>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</si>
  <si>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</si>
  <si>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</si>
  <si>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</si>
  <si>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</si>
  <si>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</si>
  <si>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</si>
  <si>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</si>
  <si>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</si>
  <si>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</si>
  <si>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</si>
  <si>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</si>
  <si>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</si>
  <si>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</si>
  <si>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</si>
  <si>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</si>
  <si>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</si>
  <si>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</si>
  <si>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</si>
  <si>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</si>
  <si>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</si>
  <si>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</si>
  <si>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</si>
  <si>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</si>
  <si>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</si>
  <si>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</si>
  <si>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</si>
  <si>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</si>
  <si>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</si>
  <si>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</si>
  <si>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</si>
  <si>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</si>
  <si>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</si>
  <si>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</si>
  <si>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</si>
  <si>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</si>
  <si>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</si>
  <si>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</si>
  <si>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</si>
  <si>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</si>
  <si>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</si>
  <si>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</si>
  <si>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</si>
  <si>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</si>
  <si>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</si>
  <si>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</si>
  <si>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</si>
  <si>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</si>
  <si>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</si>
  <si>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</si>
  <si>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</si>
  <si>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</si>
  <si>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</si>
  <si>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</si>
  <si>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</si>
  <si>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</si>
  <si>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</si>
  <si>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</si>
  <si>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</si>
  <si>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</si>
  <si>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</si>
  <si>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</si>
  <si>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</si>
  <si>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</si>
  <si>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</si>
  <si>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</si>
  <si>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</si>
  <si>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</si>
  <si>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</si>
  <si>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</si>
  <si>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</si>
  <si>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</si>
  <si>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</si>
  <si>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</si>
  <si>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</si>
  <si>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</si>
  <si>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</si>
  <si>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</si>
  <si>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</si>
  <si>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</si>
  <si>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</si>
  <si>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</si>
  <si>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</si>
  <si>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</si>
  <si>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</si>
  <si>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</si>
  <si>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</si>
  <si>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</si>
  <si>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</si>
  <si>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</si>
  <si>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</si>
  <si>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</si>
  <si>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</si>
  <si>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</si>
  <si>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</si>
  <si>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</si>
  <si>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</si>
  <si>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</si>
  <si>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</si>
  <si>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</si>
  <si>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</si>
  <si>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</si>
  <si>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</si>
  <si>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</si>
  <si>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</si>
  <si>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</si>
  <si>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</si>
  <si>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</si>
  <si>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</si>
  <si>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</si>
  <si>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</si>
  <si>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</si>
  <si>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</si>
  <si>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</si>
  <si>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</si>
  <si>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</si>
  <si>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</si>
  <si>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</si>
  <si>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</si>
  <si>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</si>
  <si>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</si>
  <si>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</si>
  <si>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</si>
  <si>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</si>
  <si>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</si>
  <si>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</si>
  <si>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</si>
  <si>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</si>
  <si>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</si>
  <si>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</si>
  <si>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</si>
  <si>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</si>
  <si>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</si>
  <si>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</si>
  <si>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</si>
  <si>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</si>
  <si>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</si>
  <si>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</si>
  <si>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</si>
  <si>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</si>
  <si>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</si>
  <si>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</si>
  <si>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</si>
  <si>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</si>
  <si>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</si>
  <si>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</si>
  <si>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</si>
  <si>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</si>
  <si>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</si>
  <si>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</si>
  <si>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</si>
  <si>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</si>
  <si>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</si>
  <si>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</si>
  <si>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</si>
  <si>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</si>
  <si>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</si>
  <si>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</si>
  <si>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</si>
  <si>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</si>
  <si>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</si>
  <si>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</si>
  <si>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</si>
  <si>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</si>
  <si>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</si>
  <si>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</si>
  <si>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</si>
  <si>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</si>
  <si>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</si>
  <si>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</si>
  <si>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</si>
  <si>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</si>
  <si>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</si>
  <si>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</si>
  <si>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</si>
  <si>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</si>
  <si>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</si>
  <si>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</si>
  <si>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</si>
  <si>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</si>
  <si>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</si>
  <si>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</si>
  <si>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</si>
  <si>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</si>
  <si>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</si>
  <si>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</si>
  <si>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</si>
  <si>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</si>
  <si>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</si>
  <si>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</si>
  <si>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</si>
  <si>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</si>
  <si>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</si>
  <si>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</si>
  <si>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</si>
  <si>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</si>
  <si>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</si>
  <si>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</si>
  <si>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</si>
  <si>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</si>
  <si>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</si>
  <si>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</si>
  <si>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</si>
  <si>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</si>
  <si>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</si>
  <si>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</si>
  <si>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</si>
  <si>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</si>
  <si>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</si>
  <si>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</si>
  <si>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</si>
  <si>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</si>
  <si>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</si>
  <si>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</si>
  <si>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</si>
  <si>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</si>
  <si>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</si>
  <si>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</si>
  <si>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</si>
  <si>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</si>
  <si>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</si>
  <si>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</si>
  <si>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</si>
  <si>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</si>
  <si>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</si>
  <si>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</si>
  <si>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</si>
  <si>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</si>
  <si>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</si>
  <si>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</si>
  <si>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</si>
  <si>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</si>
  <si>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</si>
  <si>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</si>
  <si>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</si>
  <si>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</si>
  <si>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</si>
  <si>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</si>
  <si>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</si>
  <si>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</si>
  <si>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</si>
  <si>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</si>
  <si>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</si>
  <si>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</si>
  <si>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</si>
  <si>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</si>
  <si>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</si>
  <si>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</si>
  <si>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</si>
  <si>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</si>
  <si>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</si>
  <si>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</si>
  <si>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</si>
  <si>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</si>
  <si>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</si>
  <si>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</si>
  <si>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</si>
  <si>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</si>
  <si>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</si>
  <si>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</si>
  <si>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</si>
  <si>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</si>
  <si>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</si>
  <si>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</si>
  <si>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</si>
  <si>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</si>
  <si>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</si>
  <si>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</si>
  <si>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</si>
  <si>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</si>
  <si>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</si>
  <si>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</si>
  <si>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</si>
  <si>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</si>
  <si>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</si>
  <si>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</si>
  <si>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</si>
  <si>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</si>
  <si>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</si>
  <si>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</si>
  <si>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</si>
  <si>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</si>
  <si>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</si>
  <si>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</si>
  <si>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</si>
  <si>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</si>
  <si>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</si>
  <si>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</si>
  <si>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</si>
  <si>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</si>
  <si>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</si>
  <si>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</si>
  <si>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</si>
  <si>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</si>
  <si>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</si>
  <si>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</si>
  <si>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</si>
  <si>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</si>
  <si>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</si>
  <si>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</si>
  <si>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</si>
  <si>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</si>
  <si>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</si>
  <si>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</si>
  <si>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</si>
  <si>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</si>
  <si>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</si>
  <si>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</si>
  <si>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</si>
  <si>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</si>
  <si>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</si>
  <si>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</si>
  <si>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</si>
  <si>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</si>
  <si>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</si>
  <si>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</si>
  <si>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</si>
  <si>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</si>
  <si>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</si>
  <si>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</si>
  <si>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</si>
  <si>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</si>
  <si>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</si>
  <si>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</si>
  <si>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</si>
  <si>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</si>
  <si>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</si>
  <si>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</si>
  <si>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</si>
  <si>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</si>
  <si>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</si>
  <si>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</si>
  <si>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</si>
  <si>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</si>
  <si>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</si>
  <si>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</si>
  <si>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</si>
  <si>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</si>
  <si>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</si>
  <si>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</si>
  <si>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</si>
  <si>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</si>
  <si>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</si>
  <si>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</si>
  <si>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</si>
  <si>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</si>
  <si>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</si>
  <si>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</si>
  <si>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</si>
  <si>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</si>
  <si>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</si>
  <si>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</si>
  <si>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</si>
  <si>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</si>
  <si>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</si>
  <si>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</si>
  <si>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</si>
  <si>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</si>
  <si>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</si>
  <si>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</si>
  <si>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</si>
  <si>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</si>
  <si>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</si>
  <si>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</si>
  <si>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</si>
  <si>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</si>
  <si>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</si>
  <si>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</si>
  <si>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</si>
  <si>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</si>
  <si>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</si>
  <si>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</si>
  <si>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</si>
  <si>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</si>
  <si>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</si>
  <si>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</si>
  <si>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</si>
  <si>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</si>
  <si>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</si>
  <si>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</si>
  <si>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</si>
  <si>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</si>
  <si>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</si>
  <si>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</si>
  <si>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</si>
  <si>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</si>
  <si>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</si>
  <si>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</si>
  <si>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</si>
  <si>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</si>
  <si>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</si>
  <si>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</si>
  <si>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</si>
  <si>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</si>
  <si>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</si>
  <si>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</si>
  <si>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</si>
  <si>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</si>
  <si>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</si>
  <si>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</si>
  <si>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</si>
  <si>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</si>
  <si>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</si>
  <si>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</si>
  <si>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</si>
  <si>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</si>
  <si>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</si>
  <si>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</si>
  <si>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</si>
  <si>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</si>
  <si>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</si>
  <si>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</si>
  <si>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</si>
  <si>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</si>
  <si>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</si>
  <si>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</si>
  <si>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</si>
  <si>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</si>
  <si>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</si>
  <si>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</si>
  <si>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</si>
  <si>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</si>
  <si>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</si>
  <si>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</si>
  <si>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</si>
  <si>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</si>
  <si>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</si>
  <si>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</si>
  <si>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</si>
  <si>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</si>
  <si>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</si>
  <si>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</si>
  <si>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</si>
  <si>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</si>
  <si>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</si>
  <si>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</si>
  <si>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</si>
  <si>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</si>
  <si>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</si>
  <si>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</si>
  <si>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</si>
  <si>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</si>
  <si>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</si>
  <si>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</si>
  <si>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</si>
  <si>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</si>
  <si>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</si>
  <si>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</si>
  <si>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</si>
  <si>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</si>
  <si>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</si>
  <si>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</si>
  <si>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</si>
  <si>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</si>
  <si>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</si>
  <si>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</si>
  <si>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</si>
  <si>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</si>
  <si>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</si>
  <si>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</si>
  <si>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</si>
  <si>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</si>
  <si>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</si>
  <si>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</si>
  <si>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</si>
  <si>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</si>
  <si>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</si>
  <si>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</si>
  <si>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</si>
  <si>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</si>
  <si>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</si>
  <si>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</si>
  <si>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</si>
  <si>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</si>
  <si>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</si>
  <si>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</si>
  <si>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</si>
  <si>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</si>
  <si>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</si>
  <si>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</si>
  <si>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</si>
  <si>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</si>
  <si>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</si>
  <si>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</si>
  <si>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</si>
  <si>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</si>
  <si>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</si>
  <si>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</si>
  <si>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</si>
  <si>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</si>
  <si>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</si>
  <si>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</si>
  <si>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</si>
  <si>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</si>
  <si>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</si>
  <si>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</si>
  <si>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</si>
  <si>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</si>
  <si>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</si>
  <si>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</si>
  <si>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</si>
  <si>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</si>
  <si>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</si>
  <si>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</si>
  <si>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</si>
  <si>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</si>
  <si>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</si>
  <si>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</si>
  <si>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</si>
  <si>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</si>
  <si>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</si>
  <si>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</si>
  <si>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</si>
  <si>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</si>
  <si>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</si>
  <si>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</si>
  <si>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</si>
  <si>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</si>
  <si>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</si>
  <si>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</si>
  <si>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</si>
  <si>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</si>
  <si>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</si>
  <si>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</si>
  <si>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</si>
  <si>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</si>
  <si>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</si>
  <si>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</si>
  <si>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</si>
  <si>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</si>
  <si>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</si>
  <si>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</si>
  <si>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</si>
  <si>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</si>
  <si>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</si>
  <si>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</si>
  <si>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</si>
  <si>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</si>
  <si>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</si>
  <si>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</si>
  <si>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</si>
  <si>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</si>
  <si>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</si>
  <si>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</si>
  <si>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</si>
  <si>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</si>
  <si>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</si>
  <si>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</si>
  <si>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</si>
  <si>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</si>
  <si>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</si>
  <si>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</si>
  <si>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</si>
  <si>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</si>
  <si>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</si>
  <si>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</si>
  <si>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</si>
  <si>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</si>
  <si>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</si>
  <si>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</si>
  <si>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</si>
  <si>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</si>
  <si>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</si>
  <si>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</si>
  <si>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</si>
  <si>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</si>
  <si>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</si>
  <si>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</si>
  <si>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</si>
  <si>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</si>
  <si>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</si>
  <si>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</si>
  <si>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</si>
  <si>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</si>
  <si>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</si>
  <si>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</si>
  <si>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</si>
  <si>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</si>
  <si>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</si>
  <si>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</si>
  <si>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</si>
  <si>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</si>
  <si>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</si>
  <si>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</si>
  <si>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</si>
  <si>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</si>
  <si>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</si>
  <si>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</si>
  <si>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</si>
  <si>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</si>
  <si>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</si>
  <si>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</si>
  <si>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</si>
  <si>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</si>
  <si>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</si>
  <si>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</si>
  <si>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</si>
  <si>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</si>
  <si>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</si>
  <si>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</si>
  <si>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</si>
  <si>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</si>
  <si>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</si>
  <si>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</si>
  <si>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</si>
  <si>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</si>
  <si>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</si>
  <si>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</si>
  <si>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</si>
  <si>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</si>
  <si>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</si>
  <si>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</si>
  <si>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</si>
  <si>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</si>
  <si>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</si>
  <si>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</si>
  <si>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</si>
  <si>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</si>
  <si>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</si>
  <si>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</si>
  <si>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</si>
  <si>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</si>
  <si>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</si>
  <si>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</si>
  <si>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</si>
  <si>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</si>
  <si>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</si>
  <si>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</si>
  <si>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</si>
  <si>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</si>
  <si>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</si>
  <si>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</si>
  <si>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</si>
  <si>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</si>
  <si>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</si>
  <si>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</si>
  <si>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</si>
  <si>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</si>
  <si>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</si>
  <si>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</si>
  <si>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</si>
  <si>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</si>
  <si>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</si>
  <si>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</si>
  <si>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</si>
  <si>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</si>
  <si>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</si>
  <si>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</si>
  <si>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</si>
  <si>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</si>
  <si>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</si>
  <si>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</si>
  <si>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</si>
  <si>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</si>
  <si>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</si>
  <si>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</si>
  <si>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</si>
  <si>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</si>
  <si>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</si>
  <si>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</si>
  <si>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</si>
  <si>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</si>
  <si>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</si>
  <si>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</si>
  <si>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</si>
  <si>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</si>
  <si>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</si>
  <si>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</si>
  <si>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</si>
  <si>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</si>
  <si>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</si>
  <si>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</si>
  <si>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</si>
  <si>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</si>
  <si>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</si>
  <si>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</si>
  <si>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</si>
  <si>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</si>
  <si>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</si>
  <si>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</si>
  <si>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</si>
  <si>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</si>
  <si>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</si>
  <si>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</si>
  <si>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</si>
  <si>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</si>
  <si>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</si>
  <si>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</si>
  <si>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</si>
  <si>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</si>
  <si>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</si>
  <si>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</si>
  <si>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</si>
  <si>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</si>
  <si>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</si>
  <si>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</si>
  <si>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</si>
  <si>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</si>
  <si>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</si>
  <si>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</si>
  <si>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</si>
  <si>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</si>
  <si>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</si>
  <si>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</si>
  <si>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</si>
  <si>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</si>
  <si>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</si>
  <si>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</si>
  <si>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</si>
  <si>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</si>
  <si>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</si>
  <si>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</si>
  <si>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</si>
  <si>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</si>
  <si>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</si>
  <si>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</si>
  <si>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</si>
  <si>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</si>
  <si>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</si>
  <si>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</si>
  <si>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</si>
  <si>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</si>
  <si>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</si>
  <si>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</si>
  <si>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</si>
  <si>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</si>
  <si>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</si>
  <si>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</si>
  <si>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</si>
  <si>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</si>
  <si>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</si>
  <si>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</si>
  <si>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</si>
  <si>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</si>
  <si>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</si>
  <si>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</si>
  <si>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</si>
  <si>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</si>
  <si>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</si>
  <si>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</si>
  <si>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</si>
  <si>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</si>
  <si>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</si>
  <si>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</si>
  <si>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</si>
  <si>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</si>
  <si>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</si>
  <si>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</si>
  <si>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</si>
  <si>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</si>
  <si>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</si>
  <si>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</si>
  <si>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</si>
  <si>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</si>
  <si>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</si>
  <si>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</si>
  <si>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</si>
  <si>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</si>
  <si>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</si>
  <si>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</si>
  <si>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</si>
  <si>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</si>
  <si>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</si>
  <si>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</si>
  <si>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</si>
  <si>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</si>
  <si>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</si>
  <si>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</si>
  <si>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</si>
  <si>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</si>
  <si>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</si>
  <si>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</si>
  <si>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</si>
  <si>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</si>
  <si>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</si>
  <si>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</si>
  <si>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</si>
  <si>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</si>
  <si>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</si>
  <si>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</si>
  <si>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</si>
  <si>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</si>
  <si>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</si>
  <si>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</si>
  <si>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</si>
  <si>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</si>
  <si>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</si>
  <si>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</si>
  <si>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</si>
  <si>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</si>
  <si>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</si>
  <si>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</si>
  <si>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</si>
  <si>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</si>
  <si>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</si>
  <si>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</si>
  <si>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</si>
  <si>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</si>
  <si>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</si>
  <si>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</si>
  <si>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</si>
  <si>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</si>
  <si>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</si>
  <si>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</si>
  <si>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</si>
  <si>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</si>
  <si>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</si>
  <si>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</si>
  <si>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</si>
  <si>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</si>
  <si>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</si>
  <si>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</si>
  <si>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</si>
  <si>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</si>
  <si>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</si>
  <si>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</si>
  <si>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</si>
  <si>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</si>
  <si>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</si>
  <si>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</si>
  <si>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</si>
  <si>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</si>
  <si>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</si>
  <si>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</si>
  <si>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</si>
  <si>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</si>
  <si>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</si>
  <si>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</si>
  <si>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</si>
  <si>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</si>
  <si>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</si>
  <si>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</si>
  <si>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</si>
  <si>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</si>
  <si>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</si>
  <si>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</si>
  <si>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</si>
  <si>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</si>
  <si>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</si>
  <si>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</si>
  <si>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</si>
  <si>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</si>
  <si>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</si>
  <si>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</si>
  <si>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</si>
  <si>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</si>
  <si>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</si>
  <si>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</si>
  <si>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</si>
  <si>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</si>
  <si>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</si>
  <si>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</si>
  <si>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</si>
  <si>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</si>
  <si>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</si>
  <si>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</si>
  <si>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</si>
  <si>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</si>
  <si>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</si>
  <si>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</si>
  <si>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</si>
  <si>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</si>
  <si>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</si>
  <si>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</si>
  <si>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</si>
  <si>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</si>
  <si>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</si>
  <si>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</si>
  <si>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</si>
  <si>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</si>
  <si>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</si>
  <si>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</si>
  <si>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</si>
  <si>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</si>
  <si>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</si>
  <si>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</si>
  <si>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</si>
  <si>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</si>
  <si>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</si>
  <si>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</si>
  <si>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</si>
  <si>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</si>
  <si>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</si>
  <si>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</si>
  <si>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</si>
  <si>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</si>
  <si>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</si>
  <si>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</si>
  <si>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</si>
  <si>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</si>
  <si>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</si>
  <si>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</si>
  <si>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</si>
  <si>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</si>
  <si>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</si>
  <si>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</si>
  <si>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</si>
  <si>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</si>
  <si>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</si>
  <si>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</si>
  <si>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</si>
  <si>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</si>
  <si>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</si>
  <si>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</si>
  <si>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</si>
  <si>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</si>
  <si>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</si>
  <si>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</si>
  <si>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</si>
  <si>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</si>
  <si>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</si>
  <si>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</si>
  <si>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</si>
  <si>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</si>
  <si>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</si>
  <si>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</si>
  <si>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</si>
  <si>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</si>
  <si>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</si>
  <si>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</si>
  <si>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</si>
  <si>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</si>
  <si>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</si>
  <si>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</si>
  <si>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</si>
  <si>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</si>
  <si>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</si>
  <si>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</si>
  <si>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</si>
  <si>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</si>
  <si>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</si>
  <si>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</si>
  <si>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</si>
  <si>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</si>
  <si>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</si>
  <si>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</si>
  <si>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</si>
  <si>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</si>
  <si>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</si>
  <si>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</si>
  <si>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</si>
  <si>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</si>
  <si>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</si>
  <si>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</si>
  <si>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</si>
  <si>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</si>
  <si>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</si>
  <si>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</si>
  <si>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</si>
  <si>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</si>
  <si>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</si>
  <si>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</si>
  <si>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</si>
  <si>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</si>
  <si>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</si>
  <si>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</si>
  <si>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</si>
  <si>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</si>
  <si>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</si>
  <si>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</si>
  <si>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</si>
  <si>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</si>
  <si>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</si>
  <si>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</si>
  <si>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</si>
  <si>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</si>
  <si>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</si>
  <si>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</si>
  <si>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</si>
  <si>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</si>
  <si>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</si>
  <si>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</si>
  <si>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</si>
  <si>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</si>
  <si>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</si>
  <si>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</si>
  <si>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</si>
  <si>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</si>
  <si>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</si>
  <si>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</si>
  <si>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</si>
  <si>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</si>
  <si>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</si>
  <si>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</si>
  <si>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</si>
  <si>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</si>
  <si>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</si>
  <si>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</si>
  <si>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</si>
  <si>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</si>
  <si>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</si>
  <si>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</si>
  <si>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</si>
  <si>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</si>
  <si>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</si>
  <si>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</si>
  <si>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</si>
  <si>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</si>
  <si>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</si>
  <si>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</si>
  <si>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</si>
  <si>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</si>
  <si>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</si>
  <si>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</si>
  <si>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</si>
  <si>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</si>
  <si>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</si>
  <si>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</si>
  <si>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</si>
  <si>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</si>
  <si>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</si>
  <si>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</si>
  <si>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</si>
  <si>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</si>
  <si>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</si>
  <si>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</si>
  <si>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</si>
  <si>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</si>
  <si>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</si>
  <si>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</si>
  <si>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</si>
  <si>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</si>
  <si>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</si>
  <si>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</si>
  <si>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</si>
  <si>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</si>
  <si>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</si>
  <si>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</si>
  <si>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</si>
  <si>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</si>
  <si>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</si>
  <si>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</si>
  <si>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</si>
  <si>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</si>
  <si>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</si>
  <si>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</si>
  <si>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</si>
  <si>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</si>
  <si>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</si>
  <si>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</si>
  <si>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</si>
  <si>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</si>
  <si>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</si>
  <si>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</si>
  <si>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</si>
  <si>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</si>
  <si>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</si>
  <si>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</si>
  <si>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</si>
  <si>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</si>
  <si>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</si>
  <si>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</si>
  <si>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</si>
  <si>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</si>
  <si>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</si>
  <si>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</si>
  <si>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</si>
  <si>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</si>
  <si>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</si>
  <si>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</si>
  <si>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</si>
  <si>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</si>
  <si>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</si>
  <si>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</si>
  <si>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</si>
  <si>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</si>
  <si>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</si>
  <si>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</si>
  <si>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</si>
  <si>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</si>
  <si>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</si>
  <si>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</si>
  <si>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</si>
  <si>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</si>
  <si>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</si>
  <si>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</si>
  <si>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</si>
  <si>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</si>
  <si>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</si>
  <si>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</si>
  <si>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</si>
  <si>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</si>
  <si>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</si>
  <si>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</si>
  <si>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</si>
  <si>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</si>
  <si>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</si>
  <si>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</si>
  <si>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</si>
  <si>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</si>
  <si>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</si>
  <si>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</si>
  <si>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</si>
  <si>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</si>
  <si>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</si>
  <si>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</si>
  <si>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</si>
  <si>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</si>
  <si>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</si>
  <si>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</si>
  <si>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</si>
  <si>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</si>
  <si>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</si>
  <si>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</si>
  <si>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</si>
  <si>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</si>
  <si>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</si>
  <si>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</si>
  <si>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</si>
  <si>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</si>
  <si>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</si>
  <si>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</si>
  <si>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</si>
  <si>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</si>
  <si>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</si>
  <si>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</si>
  <si>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</si>
  <si>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</si>
  <si>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</si>
  <si>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</si>
  <si>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</si>
  <si>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</si>
  <si>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</si>
  <si>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</si>
  <si>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</si>
  <si>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</si>
  <si>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</si>
  <si>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</si>
  <si>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</si>
  <si>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</si>
  <si>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</si>
  <si>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</si>
  <si>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</si>
  <si>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</si>
  <si>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</si>
  <si>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</si>
  <si>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</si>
  <si>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</si>
  <si>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</si>
  <si>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</si>
  <si>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</si>
  <si>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</si>
  <si>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</si>
  <si>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</si>
  <si>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</si>
  <si>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</si>
  <si>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</si>
  <si>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</si>
  <si>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</si>
  <si>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</si>
  <si>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</si>
  <si>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</si>
  <si>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</si>
  <si>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</si>
  <si>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</si>
  <si>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</si>
  <si>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</si>
  <si>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</si>
  <si>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</si>
  <si>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</si>
  <si>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</si>
  <si>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</si>
  <si>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</si>
  <si>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</si>
  <si>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</si>
  <si>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</si>
  <si>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</si>
  <si>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</si>
  <si>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</si>
  <si>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</si>
  <si>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</si>
  <si>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</si>
  <si>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</si>
  <si>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</si>
  <si>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</si>
  <si>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</si>
  <si>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</si>
  <si>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</si>
  <si>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</si>
  <si>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</si>
  <si>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</si>
  <si>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</si>
  <si>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</si>
  <si>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</si>
  <si>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</si>
  <si>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</si>
  <si>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</si>
  <si>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</si>
  <si>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</si>
  <si>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</si>
  <si>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</si>
  <si>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</si>
  <si>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</si>
  <si>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</si>
  <si>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</si>
  <si>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</si>
  <si>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</si>
  <si>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</si>
  <si>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</si>
  <si>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</si>
  <si>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</si>
  <si>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</si>
  <si>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</si>
  <si>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</si>
  <si>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</si>
  <si>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</si>
  <si>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</si>
  <si>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</si>
  <si>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</si>
  <si>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</si>
  <si>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</si>
  <si>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</si>
  <si>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</si>
  <si>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</si>
  <si>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</si>
  <si>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</si>
  <si>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</si>
  <si>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</si>
  <si>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</si>
  <si>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</si>
  <si>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</si>
  <si>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</si>
  <si>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</si>
  <si>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</si>
  <si>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</si>
  <si>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</si>
  <si>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</si>
  <si>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</si>
  <si>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</si>
  <si>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</si>
  <si>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</si>
  <si>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</si>
  <si>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</si>
  <si>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</si>
  <si>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</si>
  <si>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</si>
  <si>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</si>
  <si>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</si>
  <si>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</si>
  <si>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</si>
  <si>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</si>
  <si>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</si>
  <si>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</si>
  <si>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</si>
  <si>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</si>
  <si>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</si>
  <si>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</si>
  <si>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</si>
  <si>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</si>
  <si>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</si>
  <si>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</si>
  <si>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</si>
  <si>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</si>
  <si>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Kendall</t>
  </si>
  <si>
    <t>503 Chicago Road</t>
  </si>
  <si>
    <t>Newark</t>
  </si>
  <si>
    <t>ddrew@ngsd66.org</t>
  </si>
  <si>
    <t>Mack &amp; Associates, P.C.</t>
  </si>
  <si>
    <t>Tawnya Mack, CPA</t>
  </si>
  <si>
    <t>116 E. Washington St., Suite One</t>
  </si>
  <si>
    <t>Morris</t>
  </si>
  <si>
    <t>IL</t>
  </si>
  <si>
    <t>815-942-3306</t>
  </si>
  <si>
    <t>815-942-9430</t>
  </si>
  <si>
    <t>066-005100</t>
  </si>
  <si>
    <t>tmack@mackcpas.com</t>
  </si>
  <si>
    <t>Demetra Turman</t>
  </si>
  <si>
    <t>dturman@ngs66.org</t>
  </si>
  <si>
    <t>630-553-5435</t>
  </si>
  <si>
    <t>630-553-1027</t>
  </si>
  <si>
    <t>PDF in Opinion Page with signature</t>
  </si>
  <si>
    <t>GO Series 2012A</t>
  </si>
  <si>
    <t>GO Series 2012B</t>
  </si>
  <si>
    <t>Go Series 2016 Refunding</t>
  </si>
  <si>
    <t>Speaker System Loan</t>
  </si>
  <si>
    <t>Vendor Loan</t>
  </si>
  <si>
    <t>Illinois Energy Consortium</t>
  </si>
  <si>
    <t xml:space="preserve">Newark HS Dist 18; LaSalle County Food Cooperative </t>
  </si>
  <si>
    <t>Newark HS Dist 18</t>
  </si>
  <si>
    <t>Plano Area Spec Ed Coop</t>
  </si>
  <si>
    <t>Page 11, Line 107 Education Fund- Rebates and refunds received</t>
  </si>
  <si>
    <t>Page 11, Line 107 O&amp;M Fund- Miscellaneous receipts and reimbursements received</t>
  </si>
  <si>
    <t>Page 12, Line 180 Education Fund- Federal REAP Grant</t>
  </si>
  <si>
    <t>Page 12, Line 180 O&amp;M Fund- E-rate reimbursement</t>
  </si>
  <si>
    <t>Page 15, Line 41 Education Fund- Crossing Guard</t>
  </si>
  <si>
    <t>Page 19, Line 237 SS/IMRF Fund- Crossing Guards</t>
  </si>
  <si>
    <t>ED- SERVICES- PURCHASED SERVICES</t>
  </si>
  <si>
    <t>10-2560-300</t>
  </si>
  <si>
    <t>ARAMARK UNIFORM SERVICES</t>
  </si>
  <si>
    <t>ED- COPIER LEASE- PURCHASED SERVICES</t>
  </si>
  <si>
    <t>10-2630-300</t>
  </si>
  <si>
    <t>XEROX FINANCIAL SERVICES</t>
  </si>
  <si>
    <t>TRANS- PUPIL TRANS- PURCHASED SERVICES</t>
  </si>
  <si>
    <t>DAVE AHERNS</t>
  </si>
  <si>
    <t>Page 11, Line 107 Transportation Fund- Sale of Assets</t>
  </si>
  <si>
    <t>page 11, Line 107 Tort Fund- P-card rebates</t>
  </si>
  <si>
    <t>Page 18, Line 171 Debt Service Fund- Miscellaneous Bond fees</t>
  </si>
  <si>
    <t>Newark HS Dist 18; Lisbon Dist 90</t>
  </si>
  <si>
    <t>40-2550-300</t>
  </si>
  <si>
    <t>OM-UPKEEP/GROUND SERVICES-PURCHASED SERVICES</t>
  </si>
  <si>
    <t>20-2540-300</t>
  </si>
  <si>
    <t>A-1 PROPERTY SERVICES</t>
  </si>
  <si>
    <t>Newark CCSD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</si>
</sst>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cellStyleXfs>
  <cellXfs count="249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4" fillId="0" borderId="157" xfId="17" applyNumberFormat="1" applyFont="1" applyBorder="1" applyAlignment="1" applyProtection="1">
      <alignment horizontal="right" vertical="top"/>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7" t="s">
        <v>405</v>
      </c>
      <c r="J1" s="1988"/>
      <c r="K1" s="1988"/>
      <c r="L1" s="1988"/>
      <c r="M1" s="1988"/>
      <c r="N1" s="1988"/>
      <c r="O1" s="1988"/>
      <c r="P1" s="1988"/>
      <c r="Q1" s="1988"/>
      <c r="R1" s="1988"/>
      <c r="S1" s="1988"/>
    </row>
    <row r="2" spans="1:28" ht="12" customHeight="1" x14ac:dyDescent="0.2">
      <c r="A2" s="47" t="s">
        <v>1991</v>
      </c>
      <c r="D2" s="48"/>
      <c r="I2" s="1989" t="s">
        <v>979</v>
      </c>
      <c r="J2" s="1988"/>
      <c r="K2" s="1988"/>
      <c r="L2" s="1988"/>
      <c r="M2" s="1988"/>
      <c r="N2" s="1988"/>
      <c r="O2" s="1988"/>
      <c r="P2" s="1988"/>
      <c r="Q2" s="1988"/>
      <c r="R2" s="1988"/>
      <c r="S2" s="1988"/>
    </row>
    <row r="3" spans="1:28" ht="12" customHeight="1" x14ac:dyDescent="0.2">
      <c r="A3" s="155" t="s">
        <v>1943</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2064</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24047066004</v>
      </c>
      <c r="B13" s="2023"/>
      <c r="C13" s="2023"/>
      <c r="D13" s="2023"/>
      <c r="E13" s="2023"/>
      <c r="F13" s="2023"/>
      <c r="G13" s="2023"/>
      <c r="H13" s="2024"/>
      <c r="I13" s="31"/>
      <c r="J13" s="30"/>
      <c r="K13" s="28"/>
      <c r="L13" s="30"/>
      <c r="M13" s="30"/>
      <c r="N13" s="30"/>
      <c r="O13" s="30"/>
      <c r="P13" s="30"/>
      <c r="Q13" s="30"/>
      <c r="R13" s="30"/>
      <c r="S13" s="30"/>
      <c r="T13" s="2027" t="s">
        <v>2069</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2065</v>
      </c>
      <c r="B15" s="2025"/>
      <c r="C15" s="2025"/>
      <c r="D15" s="2025"/>
      <c r="E15" s="2025"/>
      <c r="F15" s="2025"/>
      <c r="G15" s="2025"/>
      <c r="H15" s="2026"/>
      <c r="T15" s="2031" t="s">
        <v>2070</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2114</v>
      </c>
      <c r="B17" s="1982"/>
      <c r="C17" s="1982"/>
      <c r="D17" s="1982"/>
      <c r="E17" s="1982"/>
      <c r="F17" s="1982"/>
      <c r="G17" s="1982"/>
      <c r="H17" s="2007"/>
      <c r="T17" s="2038" t="s">
        <v>2071</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2066</v>
      </c>
      <c r="B19" s="1967"/>
      <c r="C19" s="1967"/>
      <c r="D19" s="1967"/>
      <c r="E19" s="1967"/>
      <c r="F19" s="1967"/>
      <c r="G19" s="1967"/>
      <c r="H19" s="1947"/>
      <c r="I19" s="30"/>
      <c r="J19" s="99"/>
      <c r="K19" s="40"/>
      <c r="L19" s="38"/>
      <c r="M19" s="112" t="s">
        <v>315</v>
      </c>
      <c r="P19" s="27"/>
      <c r="Q19" s="27"/>
      <c r="R19" s="27"/>
      <c r="S19" s="31"/>
      <c r="T19" s="2021" t="s">
        <v>2072</v>
      </c>
      <c r="U19" s="1946"/>
      <c r="V19" s="1946"/>
      <c r="W19" s="1947"/>
      <c r="X19" s="2036" t="s">
        <v>2073</v>
      </c>
      <c r="Y19" s="2037"/>
      <c r="Z19" s="2034">
        <v>60450</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2067</v>
      </c>
      <c r="B21" s="1946"/>
      <c r="C21" s="1946"/>
      <c r="D21" s="1946"/>
      <c r="E21" s="1946"/>
      <c r="F21" s="1946"/>
      <c r="G21" s="1946"/>
      <c r="H21" s="1947"/>
      <c r="I21" s="2001" t="s">
        <v>678</v>
      </c>
      <c r="J21" s="1996"/>
      <c r="K21" s="1996"/>
      <c r="L21" s="1996"/>
      <c r="M21" s="1996"/>
      <c r="N21" s="1996"/>
      <c r="O21" s="1996"/>
      <c r="P21" s="1996"/>
      <c r="Q21" s="1996"/>
      <c r="R21" s="1996"/>
      <c r="S21" s="2002"/>
      <c r="T21" s="2045" t="s">
        <v>2074</v>
      </c>
      <c r="U21" s="2046"/>
      <c r="V21" s="2046"/>
      <c r="W21" s="2046"/>
      <c r="X21" s="2051" t="s">
        <v>2075</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t="s">
        <v>2068</v>
      </c>
      <c r="B23" s="1999"/>
      <c r="C23" s="1999"/>
      <c r="D23" s="1999"/>
      <c r="E23" s="1999"/>
      <c r="F23" s="1999"/>
      <c r="G23" s="1999"/>
      <c r="H23" s="2000"/>
      <c r="T23" s="1981" t="s">
        <v>2076</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60541</v>
      </c>
      <c r="B25" s="1946"/>
      <c r="C25" s="1946"/>
      <c r="D25" s="1946"/>
      <c r="E25" s="1946"/>
      <c r="F25" s="1946"/>
      <c r="G25" s="1946"/>
      <c r="H25" s="1947"/>
      <c r="I25" s="113"/>
      <c r="J25" s="1970"/>
      <c r="K25" s="1970"/>
      <c r="L25" s="1970"/>
      <c r="M25" s="1970"/>
      <c r="N25" s="1970"/>
      <c r="O25" s="1970"/>
      <c r="P25" s="1970"/>
      <c r="Q25" s="1970"/>
      <c r="R25" s="1970"/>
      <c r="S25" s="1971"/>
      <c r="T25" s="2041" t="s">
        <v>2077</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2078</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2079</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2080</v>
      </c>
      <c r="B42" s="1965"/>
      <c r="C42" s="1966"/>
      <c r="D42" s="1964" t="s">
        <v>2081</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15" sqref="H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1728602</v>
      </c>
      <c r="C4" s="1524">
        <v>923453</v>
      </c>
      <c r="D4" s="1752">
        <f>B4-C4</f>
        <v>805149</v>
      </c>
      <c r="E4" s="1524">
        <f>1647215+124254</f>
        <v>1771469</v>
      </c>
      <c r="F4" s="1752">
        <f>E4-C4</f>
        <v>848016</v>
      </c>
    </row>
    <row r="5" spans="1:6" ht="13.7" customHeight="1" x14ac:dyDescent="0.2">
      <c r="A5" s="715" t="s">
        <v>870</v>
      </c>
      <c r="B5" s="1750">
        <f>'Revenues 9-14'!D5</f>
        <v>242579</v>
      </c>
      <c r="C5" s="585">
        <v>139409</v>
      </c>
      <c r="D5" s="1753">
        <f t="shared" ref="D5:D18" si="0">B5-C5</f>
        <v>103170</v>
      </c>
      <c r="E5" s="585">
        <f>248672+18757</f>
        <v>267429</v>
      </c>
      <c r="F5" s="1753">
        <f>E5-C5</f>
        <v>128020</v>
      </c>
    </row>
    <row r="6" spans="1:6" ht="13.7" customHeight="1" x14ac:dyDescent="0.2">
      <c r="A6" s="715" t="s">
        <v>411</v>
      </c>
      <c r="B6" s="1750">
        <f>'Revenues 9-14'!E5</f>
        <v>147856</v>
      </c>
      <c r="C6" s="585">
        <v>78095</v>
      </c>
      <c r="D6" s="1753">
        <f t="shared" si="0"/>
        <v>69761</v>
      </c>
      <c r="E6" s="585">
        <f>139303+10572</f>
        <v>149875</v>
      </c>
      <c r="F6" s="1753">
        <f>E6-C6</f>
        <v>71780</v>
      </c>
    </row>
    <row r="7" spans="1:6" ht="13.7" customHeight="1" x14ac:dyDescent="0.2">
      <c r="A7" s="715" t="s">
        <v>155</v>
      </c>
      <c r="B7" s="1750">
        <f>'Revenues 9-14'!F5</f>
        <v>81282</v>
      </c>
      <c r="C7" s="585">
        <v>43425</v>
      </c>
      <c r="D7" s="1753">
        <f t="shared" si="0"/>
        <v>37857</v>
      </c>
      <c r="E7" s="585">
        <f>77460+5843</f>
        <v>83303</v>
      </c>
      <c r="F7" s="1753">
        <f>E7-C7</f>
        <v>39878</v>
      </c>
    </row>
    <row r="8" spans="1:6" ht="13.7" customHeight="1" x14ac:dyDescent="0.2">
      <c r="A8" s="715" t="s">
        <v>1179</v>
      </c>
      <c r="B8" s="1750">
        <f>'Revenues 9-14'!G5</f>
        <v>14740</v>
      </c>
      <c r="C8" s="585">
        <v>2837</v>
      </c>
      <c r="D8" s="1753">
        <f t="shared" si="0"/>
        <v>11903</v>
      </c>
      <c r="E8" s="585">
        <f>5060+381</f>
        <v>5441</v>
      </c>
      <c r="F8" s="1753">
        <f t="shared" ref="F8:F18" si="1">E8-C8</f>
        <v>2604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33484</v>
      </c>
      <c r="C10" s="585">
        <v>17889</v>
      </c>
      <c r="D10" s="1753">
        <f t="shared" si="0"/>
        <v>15595</v>
      </c>
      <c r="E10" s="585">
        <f>31908+2406</f>
        <v>34314</v>
      </c>
      <c r="F10" s="1753">
        <f t="shared" si="1"/>
        <v>16425</v>
      </c>
    </row>
    <row r="11" spans="1:6" x14ac:dyDescent="0.2">
      <c r="A11" s="715" t="s">
        <v>409</v>
      </c>
      <c r="B11" s="1750">
        <f>'Revenues 9-14'!J5</f>
        <v>28444</v>
      </c>
      <c r="C11" s="585">
        <v>10354</v>
      </c>
      <c r="D11" s="1753">
        <f t="shared" si="0"/>
        <v>18090</v>
      </c>
      <c r="E11" s="585">
        <f>18469+1394</f>
        <v>19863</v>
      </c>
      <c r="F11" s="1753">
        <f t="shared" si="1"/>
        <v>9509</v>
      </c>
    </row>
    <row r="12" spans="1:6" ht="13.7" customHeight="1" x14ac:dyDescent="0.2">
      <c r="A12" s="715" t="s">
        <v>157</v>
      </c>
      <c r="B12" s="1750">
        <f>'Revenues 9-14'!K5</f>
        <v>45161</v>
      </c>
      <c r="C12" s="585">
        <v>24127</v>
      </c>
      <c r="D12" s="1753">
        <f t="shared" si="0"/>
        <v>21034</v>
      </c>
      <c r="E12" s="585">
        <f>43037+3246</f>
        <v>46283</v>
      </c>
      <c r="F12" s="1753">
        <f t="shared" si="1"/>
        <v>22156</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12657</v>
      </c>
      <c r="C14" s="585">
        <v>6764</v>
      </c>
      <c r="D14" s="1753">
        <f t="shared" si="0"/>
        <v>5893</v>
      </c>
      <c r="E14" s="585">
        <f>12064+910</f>
        <v>12974</v>
      </c>
      <c r="F14" s="1753">
        <f t="shared" si="1"/>
        <v>6210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45517</v>
      </c>
      <c r="C16" s="585">
        <v>32769</v>
      </c>
      <c r="D16" s="1753">
        <f t="shared" si="0"/>
        <v>12748</v>
      </c>
      <c r="E16" s="585">
        <f>58450+4408</f>
        <v>62858</v>
      </c>
      <c r="F16" s="1753">
        <f t="shared" si="1"/>
        <v>30089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2380322</v>
      </c>
      <c r="C19" s="1751">
        <f>SUM(C4:C18)</f>
        <v>1279122</v>
      </c>
      <c r="D19" s="1751">
        <f>SUM(D4:D18)</f>
        <v>1101200</v>
      </c>
      <c r="E19" s="1751">
        <f>SUM(E4:E18)</f>
        <v>2453809</v>
      </c>
      <c r="F19" s="1751">
        <f>SUM(F4:F18)</f>
        <v>1174687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H15" sqref="H1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1954</v>
      </c>
      <c r="D2" s="723" t="s">
        <v>1955</v>
      </c>
      <c r="E2" s="723" t="s">
        <v>1956</v>
      </c>
      <c r="F2" s="1884" t="s">
        <v>1957</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2083</v>
      </c>
      <c r="B31" s="733">
        <v>41100</v>
      </c>
      <c r="C31" s="734">
        <v>425000</v>
      </c>
      <c r="D31" s="735">
        <v>1</v>
      </c>
      <c r="E31" s="734">
        <v>425000</v>
      </c>
      <c r="F31" s="734"/>
      <c r="G31" s="734"/>
      <c r="H31" s="734"/>
      <c r="I31" s="1756">
        <f>((E31+F31)-H31)+G31</f>
        <v>425000</v>
      </c>
      <c r="J31" s="734">
        <v>425000</v>
      </c>
      <c r="K31" s="736"/>
    </row>
    <row r="32" spans="1:11" ht="12" customHeight="1" x14ac:dyDescent="0.2">
      <c r="A32" s="732" t="s">
        <v>2084</v>
      </c>
      <c r="B32" s="733">
        <v>41100</v>
      </c>
      <c r="C32" s="734">
        <v>225000</v>
      </c>
      <c r="D32" s="735">
        <v>1</v>
      </c>
      <c r="E32" s="734">
        <v>225000</v>
      </c>
      <c r="F32" s="734"/>
      <c r="G32" s="734"/>
      <c r="H32" s="734"/>
      <c r="I32" s="1756">
        <f>((E32+F32)-H32)+G32</f>
        <v>225000</v>
      </c>
      <c r="J32" s="734">
        <v>225000</v>
      </c>
      <c r="K32" s="736"/>
    </row>
    <row r="33" spans="1:11" ht="12" customHeight="1" x14ac:dyDescent="0.2">
      <c r="A33" s="732" t="s">
        <v>2085</v>
      </c>
      <c r="B33" s="733">
        <v>42718</v>
      </c>
      <c r="C33" s="734">
        <v>637500</v>
      </c>
      <c r="D33" s="735">
        <v>3</v>
      </c>
      <c r="E33" s="734">
        <v>502100</v>
      </c>
      <c r="F33" s="734"/>
      <c r="G33" s="734"/>
      <c r="H33" s="734">
        <v>119200</v>
      </c>
      <c r="I33" s="1756">
        <f t="shared" ref="I33:I48" si="1">((E33+F33)-H33)+G33</f>
        <v>382900</v>
      </c>
      <c r="J33" s="734">
        <v>297475</v>
      </c>
      <c r="K33" s="736"/>
    </row>
    <row r="34" spans="1:11" ht="12" customHeight="1" x14ac:dyDescent="0.2">
      <c r="A34" s="732" t="s">
        <v>2086</v>
      </c>
      <c r="B34" s="733">
        <v>42268</v>
      </c>
      <c r="C34" s="734">
        <v>4217</v>
      </c>
      <c r="D34" s="735">
        <v>7</v>
      </c>
      <c r="E34" s="734">
        <v>1685</v>
      </c>
      <c r="F34" s="734"/>
      <c r="G34" s="734"/>
      <c r="H34" s="734">
        <v>842</v>
      </c>
      <c r="I34" s="1756">
        <f t="shared" si="1"/>
        <v>843</v>
      </c>
      <c r="J34" s="734">
        <v>843</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1291717</v>
      </c>
      <c r="D49" s="745"/>
      <c r="E49" s="1756">
        <f t="shared" ref="E49:J49" si="2">SUM(E31:E48)</f>
        <v>1153785</v>
      </c>
      <c r="F49" s="1756">
        <f t="shared" si="2"/>
        <v>0</v>
      </c>
      <c r="G49" s="1756">
        <f t="shared" si="2"/>
        <v>0</v>
      </c>
      <c r="H49" s="1756">
        <f t="shared" si="2"/>
        <v>120042</v>
      </c>
      <c r="I49" s="1756">
        <f t="shared" si="2"/>
        <v>1033743</v>
      </c>
      <c r="J49" s="1756">
        <f t="shared" si="2"/>
        <v>948318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t="s">
        <v>2087</v>
      </c>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1962</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12657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12657</v>
      </c>
      <c r="I12" s="1758">
        <f>SUM(I5:I11)</f>
        <v>0</v>
      </c>
      <c r="J12" s="1758">
        <f>SUM(J5:J11)</f>
        <v>0</v>
      </c>
      <c r="K12" s="1758">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12657</v>
      </c>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12657</v>
      </c>
      <c r="I23" s="1758">
        <f>SUM(I14:I16,I21,I22)</f>
        <v>0</v>
      </c>
      <c r="J23" s="1758">
        <f>SUM(J14:J16,J21,J22)</f>
        <v>0</v>
      </c>
      <c r="K23" s="1758">
        <f>SUM(K14:K16,K21,K22)</f>
        <v>0</v>
      </c>
    </row>
    <row r="24" spans="1:11" ht="14.25" thickTop="1" thickBot="1" x14ac:dyDescent="0.25">
      <c r="A24" s="2252" t="s">
        <v>1963</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5" sqref="H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56122</v>
      </c>
      <c r="D5" s="841"/>
      <c r="E5" s="841"/>
      <c r="F5" s="1760">
        <f>(C5+D5)-E5</f>
        <v>56122</v>
      </c>
      <c r="G5" s="837"/>
      <c r="H5" s="842"/>
      <c r="I5" s="842"/>
      <c r="J5" s="842"/>
      <c r="K5" s="793"/>
      <c r="L5" s="1769">
        <f>F5-K5</f>
        <v>56122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2841226</v>
      </c>
      <c r="D8" s="844">
        <v>11759</v>
      </c>
      <c r="E8" s="844"/>
      <c r="F8" s="1760">
        <f>(C8+D8)-E8</f>
        <v>2852985</v>
      </c>
      <c r="G8" s="843">
        <v>50</v>
      </c>
      <c r="H8" s="765">
        <v>1335101</v>
      </c>
      <c r="I8" s="765">
        <v>75206</v>
      </c>
      <c r="J8" s="765"/>
      <c r="K8" s="1769">
        <f>(H8+I8)-J8</f>
        <v>1410307</v>
      </c>
      <c r="L8" s="1769">
        <f>F8-K8</f>
        <v>1442678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223967</v>
      </c>
      <c r="D10" s="846">
        <v>7600</v>
      </c>
      <c r="E10" s="846"/>
      <c r="F10" s="1764">
        <f>(C10+D10)-E10</f>
        <v>231567</v>
      </c>
      <c r="G10" s="843">
        <v>20</v>
      </c>
      <c r="H10" s="847">
        <v>136745</v>
      </c>
      <c r="I10" s="847">
        <v>13688</v>
      </c>
      <c r="J10" s="847"/>
      <c r="K10" s="1769">
        <f>(H10+I10)-J10</f>
        <v>150433</v>
      </c>
      <c r="L10" s="1769">
        <f>F10-K10</f>
        <v>81134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250542</v>
      </c>
      <c r="D12" s="844">
        <v>26273</v>
      </c>
      <c r="E12" s="844"/>
      <c r="F12" s="1760">
        <f>(C12+D12)-E12</f>
        <v>276815</v>
      </c>
      <c r="G12" s="843">
        <v>10</v>
      </c>
      <c r="H12" s="765">
        <v>189233</v>
      </c>
      <c r="I12" s="765">
        <v>30939</v>
      </c>
      <c r="J12" s="765"/>
      <c r="K12" s="1769">
        <f>(H12+I12)-J12</f>
        <v>220172</v>
      </c>
      <c r="L12" s="1769">
        <f>F12-K12</f>
        <v>56643</v>
      </c>
    </row>
    <row r="13" spans="1:14" ht="14.25" thickTop="1" thickBot="1" x14ac:dyDescent="0.25">
      <c r="A13" s="848" t="s">
        <v>1122</v>
      </c>
      <c r="B13" s="840">
        <v>252</v>
      </c>
      <c r="C13" s="844">
        <v>38797</v>
      </c>
      <c r="D13" s="844"/>
      <c r="E13" s="844"/>
      <c r="F13" s="1760">
        <f>(C13+D13)-E13</f>
        <v>38797</v>
      </c>
      <c r="G13" s="843">
        <v>5</v>
      </c>
      <c r="H13" s="765">
        <v>38797</v>
      </c>
      <c r="I13" s="765"/>
      <c r="J13" s="765"/>
      <c r="K13" s="1769">
        <f>(H13+I13)-J13</f>
        <v>38797</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3410654</v>
      </c>
      <c r="D16" s="1760">
        <f>SUM(D3,D5:D6,D8:D10,D12:D15)</f>
        <v>45632</v>
      </c>
      <c r="E16" s="1760">
        <f>SUM(E3,E5:E6,E8:E10,E12:E15)</f>
        <v>0</v>
      </c>
      <c r="F16" s="1760">
        <f>SUM(F3,F5:F6,F8:F10,F12:F15)</f>
        <v>3456286</v>
      </c>
      <c r="G16" s="843"/>
      <c r="H16" s="1760">
        <f>SUM(H3,H6,H8:H10,H12:H14,)</f>
        <v>1699876</v>
      </c>
      <c r="I16" s="1760">
        <f>SUM(I3,I6,I8:I10,I12:I14,)</f>
        <v>119833</v>
      </c>
      <c r="J16" s="1760">
        <f>SUM(J3,J6,J8:J10,J12:J14,)</f>
        <v>0</v>
      </c>
      <c r="K16" s="1760">
        <f>(H16+I16)-J16</f>
        <v>1819709</v>
      </c>
      <c r="L16" s="1760">
        <f>F16-K16</f>
        <v>1636577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119833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H15" sqref="H15"/>
      <selection pane="bottomLeft" activeCell="H15" sqref="H1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1968076</v>
      </c>
      <c r="G8" s="865"/>
    </row>
    <row r="9" spans="1:7" x14ac:dyDescent="0.2">
      <c r="A9" s="869" t="s">
        <v>460</v>
      </c>
      <c r="B9" s="870" t="s">
        <v>1876</v>
      </c>
      <c r="C9" s="871"/>
      <c r="D9" s="869" t="s">
        <v>501</v>
      </c>
      <c r="E9" s="868"/>
      <c r="F9" s="1909">
        <f>'Expenditures 15-22'!K151</f>
        <v>168934</v>
      </c>
      <c r="G9" s="872"/>
    </row>
    <row r="10" spans="1:7" x14ac:dyDescent="0.2">
      <c r="A10" s="869" t="s">
        <v>499</v>
      </c>
      <c r="B10" s="870" t="s">
        <v>1877</v>
      </c>
      <c r="C10" s="871"/>
      <c r="D10" s="869" t="s">
        <v>501</v>
      </c>
      <c r="E10" s="868"/>
      <c r="F10" s="1909">
        <f>'Expenditures 15-22'!K174</f>
        <v>152249</v>
      </c>
      <c r="G10" s="872"/>
    </row>
    <row r="11" spans="1:7" x14ac:dyDescent="0.2">
      <c r="A11" s="869" t="s">
        <v>461</v>
      </c>
      <c r="B11" s="870" t="s">
        <v>1878</v>
      </c>
      <c r="C11" s="871"/>
      <c r="D11" s="869" t="s">
        <v>501</v>
      </c>
      <c r="E11" s="868"/>
      <c r="F11" s="1909">
        <f>'Expenditures 15-22'!K210</f>
        <v>135395</v>
      </c>
      <c r="G11" s="872"/>
    </row>
    <row r="12" spans="1:7" x14ac:dyDescent="0.2">
      <c r="A12" s="869" t="s">
        <v>462</v>
      </c>
      <c r="B12" s="870" t="s">
        <v>1879</v>
      </c>
      <c r="C12" s="871"/>
      <c r="D12" s="869" t="s">
        <v>501</v>
      </c>
      <c r="E12" s="868"/>
      <c r="F12" s="1909">
        <f>'Expenditures 15-22'!K295</f>
        <v>71060</v>
      </c>
      <c r="G12" s="872"/>
    </row>
    <row r="13" spans="1:7" x14ac:dyDescent="0.2">
      <c r="A13" s="869" t="s">
        <v>106</v>
      </c>
      <c r="B13" s="870" t="s">
        <v>1880</v>
      </c>
      <c r="C13" s="871"/>
      <c r="D13" s="869" t="s">
        <v>501</v>
      </c>
      <c r="E13" s="868"/>
      <c r="F13" s="1909">
        <f>'Expenditures 15-22'!K342</f>
        <v>40283</v>
      </c>
      <c r="G13" s="873"/>
    </row>
    <row r="14" spans="1:7" ht="12" customHeight="1" thickBot="1" x14ac:dyDescent="0.25">
      <c r="A14" s="1770"/>
      <c r="B14" s="1771"/>
      <c r="C14" s="1772"/>
      <c r="D14" s="1773" t="s">
        <v>501</v>
      </c>
      <c r="E14" s="1774" t="s">
        <v>958</v>
      </c>
      <c r="F14" s="1775">
        <f>SUM(F8:F13)</f>
        <v>2535997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42</v>
      </c>
      <c r="G52" s="865"/>
    </row>
    <row r="53" spans="1:7" x14ac:dyDescent="0.2">
      <c r="A53" s="869" t="s">
        <v>459</v>
      </c>
      <c r="B53" s="869" t="s">
        <v>1475</v>
      </c>
      <c r="C53" s="889">
        <f>'Expenditures 15-22'!B102</f>
        <v>4000</v>
      </c>
      <c r="D53" s="888" t="str">
        <f>'Expenditures 15-22'!A102</f>
        <v>Total Payments to Other Govt Units</v>
      </c>
      <c r="E53" s="868"/>
      <c r="F53" s="1913">
        <f>'Expenditures 15-22'!K102</f>
        <v>232196</v>
      </c>
      <c r="G53" s="865"/>
    </row>
    <row r="54" spans="1:7" x14ac:dyDescent="0.2">
      <c r="A54" s="869" t="s">
        <v>459</v>
      </c>
      <c r="B54" s="869" t="s">
        <v>1476</v>
      </c>
      <c r="C54" s="889" t="s">
        <v>982</v>
      </c>
      <c r="D54" s="885" t="s">
        <v>1095</v>
      </c>
      <c r="E54" s="868"/>
      <c r="F54" s="1913">
        <f>'Expenditures 15-22'!G114</f>
        <v>33390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16163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120042</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127045</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528878</v>
      </c>
      <c r="G76" s="865"/>
    </row>
    <row r="77" spans="1:8" s="893" customFormat="1" ht="12" customHeight="1" thickTop="1" thickBot="1" x14ac:dyDescent="0.25">
      <c r="A77" s="1779"/>
      <c r="B77" s="1776"/>
      <c r="C77" s="1772"/>
      <c r="D77" s="1777" t="s">
        <v>1899</v>
      </c>
      <c r="E77" s="1774"/>
      <c r="F77" s="1780">
        <f>(F14-F76)</f>
        <v>2007119</v>
      </c>
      <c r="G77" s="869"/>
    </row>
    <row r="78" spans="1:8" s="893" customFormat="1" ht="12" customHeight="1" thickTop="1" x14ac:dyDescent="0.2">
      <c r="A78" s="1781"/>
      <c r="B78" s="1776"/>
      <c r="C78" s="1772"/>
      <c r="D78" s="1777" t="s">
        <v>2060</v>
      </c>
      <c r="E78" s="1774"/>
      <c r="F78" s="898">
        <v>211.6</v>
      </c>
      <c r="G78" s="899"/>
      <c r="H78" s="869"/>
    </row>
    <row r="79" spans="1:8" s="893" customFormat="1" ht="12" customHeight="1" thickBot="1" x14ac:dyDescent="0.25">
      <c r="A79" s="1782"/>
      <c r="B79" s="1776"/>
      <c r="C79" s="1772"/>
      <c r="D79" s="1777" t="s">
        <v>1900</v>
      </c>
      <c r="E79" s="1774" t="s">
        <v>958</v>
      </c>
      <c r="F79" s="1783">
        <f>IF(F78&gt;0,F77/F78," Complete Line 78")</f>
        <v>9485.4395085066171</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47207</v>
      </c>
      <c r="G94" s="912"/>
    </row>
    <row r="95" spans="1:7" x14ac:dyDescent="0.2">
      <c r="A95" s="908" t="s">
        <v>140</v>
      </c>
      <c r="B95" s="908" t="s">
        <v>175</v>
      </c>
      <c r="C95" s="910">
        <v>1700</v>
      </c>
      <c r="D95" s="918" t="str">
        <f>'Revenues 9-14'!A82</f>
        <v>Total District/School Activity Income</v>
      </c>
      <c r="E95" s="906"/>
      <c r="F95" s="1789">
        <f>SUM('Revenues 9-14'!C82,'Revenues 9-14'!D82)</f>
        <v>17122</v>
      </c>
      <c r="G95" s="912"/>
    </row>
    <row r="96" spans="1:7" x14ac:dyDescent="0.2">
      <c r="A96" s="908" t="s">
        <v>459</v>
      </c>
      <c r="B96" s="908" t="s">
        <v>176</v>
      </c>
      <c r="C96" s="910">
        <f>'Revenues 9-14'!B84</f>
        <v>1811</v>
      </c>
      <c r="D96" s="911" t="str">
        <f>'Revenues 9-14'!A84</f>
        <v>Rentals - Regular Textbooks</v>
      </c>
      <c r="E96" s="906"/>
      <c r="F96" s="1789">
        <f>'Revenues 9-14'!C84</f>
        <v>22597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17491</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456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61420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38034</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31833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25578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17230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8326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287494</v>
      </c>
    </row>
    <row r="175" spans="1:7" ht="12" customHeight="1" x14ac:dyDescent="0.2">
      <c r="A175" s="1770"/>
      <c r="B175" s="1784"/>
      <c r="C175" s="1785"/>
      <c r="D175" s="1786" t="s">
        <v>2055</v>
      </c>
      <c r="E175" s="1787"/>
      <c r="F175" s="1789">
        <f>'PCTC-OEPP 27-28'!F77-F174</f>
        <v>1719625</v>
      </c>
    </row>
    <row r="176" spans="1:7" ht="12" customHeight="1" x14ac:dyDescent="0.2">
      <c r="A176" s="1770"/>
      <c r="B176" s="1784"/>
      <c r="C176" s="1785"/>
      <c r="D176" s="1786" t="s">
        <v>1817</v>
      </c>
      <c r="E176" s="1787"/>
      <c r="F176" s="1789">
        <f>'Cap Outlay Deprec 26'!I18</f>
        <v>119833</v>
      </c>
    </row>
    <row r="177" spans="1:7" ht="12" customHeight="1" x14ac:dyDescent="0.2">
      <c r="A177" s="1770"/>
      <c r="B177" s="1784"/>
      <c r="C177" s="1785"/>
      <c r="D177" s="1786" t="s">
        <v>2056</v>
      </c>
      <c r="E177" s="1787"/>
      <c r="F177" s="1789">
        <f>F175+F176</f>
        <v>1839458</v>
      </c>
    </row>
    <row r="178" spans="1:7" ht="12" customHeight="1" x14ac:dyDescent="0.2">
      <c r="A178" s="1770"/>
      <c r="B178" s="1790"/>
      <c r="C178" s="1785"/>
      <c r="D178" s="1786" t="str">
        <f>D78</f>
        <v>9 Month ADA from District Average Daily Attendance/Prior General State Aid Inquiry 2018-2019</v>
      </c>
      <c r="E178" s="1787"/>
      <c r="F178" s="1791">
        <f>'PCTC-OEPP 27-28'!F78</f>
        <v>211.6</v>
      </c>
      <c r="G178" s="930"/>
    </row>
    <row r="179" spans="1:7" ht="12" customHeight="1" thickBot="1" x14ac:dyDescent="0.25">
      <c r="A179" s="1770"/>
      <c r="B179" s="1790"/>
      <c r="C179" s="1785"/>
      <c r="D179" s="1786" t="s">
        <v>2057</v>
      </c>
      <c r="E179" s="1787" t="s">
        <v>1545</v>
      </c>
      <c r="F179" s="1792">
        <f>F177/F178</f>
        <v>8693.0907372400761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H15" sqref="H1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2063</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2098</v>
      </c>
      <c r="B17" s="1939" t="s">
        <v>2099</v>
      </c>
      <c r="C17" s="1940" t="s">
        <v>2100</v>
      </c>
      <c r="D17" s="1937">
        <v>613</v>
      </c>
      <c r="E17" s="1540">
        <f t="shared" ref="E17:E141" si="0">IF(D17&lt;=25000,D17,IF(D17&gt;25000,25000,0))</f>
        <v>613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613</v>
      </c>
      <c r="G17" s="1793">
        <f>IF(F17=0,0,D17-F17)</f>
        <v>0</v>
      </c>
      <c r="H17" s="1647"/>
    </row>
    <row r="18" spans="1:8" x14ac:dyDescent="0.25">
      <c r="A18" s="1938" t="s">
        <v>2101</v>
      </c>
      <c r="B18" s="1939" t="s">
        <v>2102</v>
      </c>
      <c r="C18" s="1940" t="s">
        <v>2103</v>
      </c>
      <c r="D18" s="1844">
        <v>12699</v>
      </c>
      <c r="E18" s="1540">
        <f t="shared" ref="E18:E140" si="2">IF(D18&lt;=25000,D18,IF(D18&gt;25000,25000,0))</f>
        <v>12699</v>
      </c>
      <c r="F18" s="1932">
        <f t="shared" si="1"/>
        <v>12699</v>
      </c>
      <c r="G18" s="1793">
        <f t="shared" ref="G18:G140" si="3">IF(F18=0,0,D18-F18)</f>
        <v>0</v>
      </c>
    </row>
    <row r="19" spans="1:8" x14ac:dyDescent="0.25">
      <c r="A19" s="1938" t="s">
        <v>2104</v>
      </c>
      <c r="B19" s="1941" t="s">
        <v>2110</v>
      </c>
      <c r="C19" s="1940" t="s">
        <v>2105</v>
      </c>
      <c r="D19" s="1844">
        <v>1252</v>
      </c>
      <c r="E19" s="1540">
        <f t="shared" si="2"/>
        <v>1252</v>
      </c>
      <c r="F19" s="1932">
        <f t="shared" si="1"/>
        <v>1252</v>
      </c>
      <c r="G19" s="1793">
        <f t="shared" si="3"/>
        <v>0</v>
      </c>
    </row>
    <row r="20" spans="1:8" x14ac:dyDescent="0.25">
      <c r="A20" s="1942" t="s">
        <v>2111</v>
      </c>
      <c r="B20" s="1943" t="s">
        <v>2112</v>
      </c>
      <c r="C20" s="1944" t="s">
        <v>2113</v>
      </c>
      <c r="D20" s="1844">
        <v>10100</v>
      </c>
      <c r="E20" s="1540">
        <f t="shared" si="2"/>
        <v>10100</v>
      </c>
      <c r="F20" s="1932">
        <f t="shared" si="1"/>
        <v>10100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24664</v>
      </c>
      <c r="E141" s="1541">
        <f t="shared" si="0"/>
        <v>24664</v>
      </c>
      <c r="F141" s="1933">
        <f>SUM(F17:F140)</f>
        <v>24664</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I46"/>
  <sheetViews>
    <sheetView showGridLines="0" defaultGridColor="0" topLeftCell="A10" colorId="8" zoomScale="110" zoomScaleNormal="110" workbookViewId="0">
      <selection activeCell="H15" sqref="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31833</v>
      </c>
      <c r="F10" s="974"/>
      <c r="G10" s="975"/>
      <c r="H10" s="162"/>
      <c r="I10" s="162"/>
    </row>
    <row r="11" spans="1:9" s="668" customFormat="1" ht="22.5" customHeight="1" x14ac:dyDescent="0.2">
      <c r="A11" s="2291" t="s">
        <v>1975</v>
      </c>
      <c r="B11" s="2292"/>
      <c r="C11" s="2292"/>
      <c r="D11" s="2293"/>
      <c r="E11" s="977">
        <v>7465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1060416</v>
      </c>
      <c r="F19" s="1799"/>
      <c r="G19" s="1801">
        <f>'Expenditures 15-22'!K33-SUM('Expenditures 15-22'!G33,'Expenditures 15-22'!I33)+'Expenditures 15-22'!D229</f>
        <v>1060416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71436</v>
      </c>
      <c r="F21" s="1802"/>
      <c r="G21" s="1805">
        <f>'Expenditures 15-22'!K42-SUM('Expenditures 15-22'!G42,'Expenditures 15-22'!I42)+'Expenditures 15-22'!K120-SUM('Expenditures 15-22'!G120,'Expenditures 15-22'!I120)+'Expenditures 15-22'!K180-SUM('Expenditures 15-22'!G180,'Expenditures 15-22'!I180)+'Expenditures 15-22'!D238</f>
        <v>71436</v>
      </c>
      <c r="H21" s="987"/>
      <c r="I21" s="162"/>
    </row>
    <row r="22" spans="1:9" s="668" customFormat="1" ht="12" customHeight="1" x14ac:dyDescent="0.2">
      <c r="A22" s="994" t="s">
        <v>564</v>
      </c>
      <c r="B22" s="995"/>
      <c r="C22" s="993">
        <v>2200</v>
      </c>
      <c r="D22" s="1802"/>
      <c r="E22" s="1804">
        <f>'Expenditures 15-22'!K47-SUM('Expenditures 15-22'!G47,'Expenditures 15-22'!I47)+'Expenditures 15-22'!D243</f>
        <v>19843</v>
      </c>
      <c r="F22" s="1802"/>
      <c r="G22" s="1805">
        <f>'Expenditures 15-22'!K47-SUM('Expenditures 15-22'!G47,'Expenditures 15-22'!I47)+'Expenditures 15-22'!D243</f>
        <v>19843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234531</v>
      </c>
      <c r="F23" s="1802"/>
      <c r="G23" s="1804">
        <f>'Expenditures 15-22'!K53-SUM('Expenditures 15-22'!G53,'Expenditures 15-22'!I53)+'Expenditures 15-22'!D257+'Expenditures 15-22'!K330-SUM('Expenditures 15-22'!G330,'Expenditures 15-22'!I330)</f>
        <v>234531</v>
      </c>
      <c r="H23" s="987"/>
      <c r="I23" s="162"/>
    </row>
    <row r="24" spans="1:9" s="668" customFormat="1" ht="12" customHeight="1" x14ac:dyDescent="0.2">
      <c r="A24" s="994" t="s">
        <v>566</v>
      </c>
      <c r="B24" s="995"/>
      <c r="C24" s="993">
        <v>2400</v>
      </c>
      <c r="D24" s="1802"/>
      <c r="E24" s="1804">
        <f>'Expenditures 15-22'!K57-SUM('Expenditures 15-22'!G57,'Expenditures 15-22'!I57)+'Expenditures 15-22'!D261</f>
        <v>125655</v>
      </c>
      <c r="F24" s="1802"/>
      <c r="G24" s="1805">
        <f>'Expenditures 15-22'!K57-SUM('Expenditures 15-22'!G57,'Expenditures 15-22'!I57)+'Expenditures 15-22'!D261</f>
        <v>125655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90275</v>
      </c>
      <c r="E27" s="1804">
        <f>E8</f>
        <v>0</v>
      </c>
      <c r="F27" s="1804">
        <f>'Expenditures 15-22'!K60-SUM('Expenditures 15-22'!G60,'Expenditures 15-22'!I60)+'Expenditures 15-22'!D264-E8</f>
        <v>90275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252024</v>
      </c>
      <c r="F28" s="1806">
        <f>'Expenditures 15-22'!K61-SUM('Expenditures 15-22'!G61,'Expenditures 15-22'!I61)+'Expenditures 15-22'!K124-SUM('Expenditures 15-22'!G124,'Expenditures 15-22'!I124)+'Expenditures 15-22'!D266-E9</f>
        <v>252024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8424</v>
      </c>
      <c r="F29" s="1802"/>
      <c r="G29" s="1805">
        <f>'Expenditures 15-22'!K62-SUM('Expenditures 15-22'!G62,'Expenditures 15-22'!I62)+'Expenditures 15-22'!K125-SUM('Expenditures 15-22'!G125,'Expenditures 15-22'!I125)+'Expenditures 15-22'!K182-SUM('Expenditures 15-22'!G182,'Expenditures 15-22'!I182)+'Expenditures 15-22'!D267</f>
        <v>8424</v>
      </c>
      <c r="H29" s="985"/>
    </row>
    <row r="30" spans="1:9" ht="12" customHeight="1" x14ac:dyDescent="0.2">
      <c r="A30" s="994" t="s">
        <v>100</v>
      </c>
      <c r="B30" s="997"/>
      <c r="C30" s="993">
        <v>2560</v>
      </c>
      <c r="D30" s="1802"/>
      <c r="E30" s="1804">
        <f>'Expenditures 15-22'!K63-SUM('Expenditures 15-22'!G63,'Expenditures 15-22'!I63)+'Expenditures 15-22'!D268-E10</f>
        <v>63046</v>
      </c>
      <c r="F30" s="1802"/>
      <c r="G30" s="1804">
        <f>'Expenditures 15-22'!K63-SUM('Expenditures 15-22'!G63,'Expenditures 15-22'!I63)+'Expenditures 15-22'!D268-E10</f>
        <v>63046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17429</v>
      </c>
      <c r="F35" s="1802"/>
      <c r="G35" s="1804">
        <f>'Expenditures 15-22'!K69-SUM('Expenditures 15-22'!G69,'Expenditures 15-22'!I69)+'Expenditures 15-22'!D274</f>
        <v>17429</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42</v>
      </c>
      <c r="F39" s="1802"/>
      <c r="G39" s="1804">
        <f>'Expenditures 15-22'!K75-SUM('Expenditures 15-22'!G75,'Expenditures 15-22'!I75)+'Expenditures 15-22'!K130-SUM('Expenditures 15-22'!G130,'Expenditures 15-22'!I130)+'Expenditures 15-22'!K185-SUM('Expenditures 15-22'!G185,'Expenditures 15-22'!I185)+'Expenditures 15-22'!D280</f>
        <v>42</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90275</v>
      </c>
      <c r="E41" s="1806">
        <f>SUM(E19:E40)</f>
        <v>1852846</v>
      </c>
      <c r="F41" s="1806">
        <f>SUM(F19:F39)</f>
        <v>342299</v>
      </c>
      <c r="G41" s="1806">
        <f>SUM(G19:G40)</f>
        <v>1600822</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90275</v>
      </c>
      <c r="F43" s="1807" t="s">
        <v>473</v>
      </c>
      <c r="G43" s="1808">
        <f>F41</f>
        <v>342299</v>
      </c>
    </row>
    <row r="44" spans="1:7" ht="12" customHeight="1" x14ac:dyDescent="0.2">
      <c r="A44" s="987"/>
      <c r="B44" s="162"/>
      <c r="C44" s="1001"/>
      <c r="D44" s="1807" t="s">
        <v>474</v>
      </c>
      <c r="E44" s="1808">
        <f>E41</f>
        <v>1852846</v>
      </c>
      <c r="F44" s="1807" t="s">
        <v>474</v>
      </c>
      <c r="G44" s="1808">
        <f>G41</f>
        <v>1600822</v>
      </c>
    </row>
    <row r="45" spans="1:7" ht="12" customHeight="1" x14ac:dyDescent="0.2">
      <c r="A45" s="987"/>
      <c r="B45" s="162"/>
      <c r="C45" s="162"/>
      <c r="D45" s="1809" t="s">
        <v>1006</v>
      </c>
      <c r="E45" s="1810">
        <f>(E43/E44)</f>
        <v>4.8722343896902387E-2</v>
      </c>
      <c r="F45" s="1809" t="s">
        <v>1006</v>
      </c>
      <c r="G45" s="1810">
        <f>(G43/G44)</f>
        <v>0.21382702136777232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4" activePane="bottomLeft" state="frozen"/>
      <selection activeCell="H15" sqref="H15"/>
      <selection pane="bottomLeft" activeCell="H15" sqref="H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Newark CCSD 66</v>
      </c>
      <c r="D6" s="2312"/>
      <c r="E6" s="2312"/>
      <c r="F6" s="1852"/>
    </row>
    <row r="7" spans="1:10" ht="11.25" customHeight="1" thickBot="1" x14ac:dyDescent="0.3">
      <c r="A7" s="1850"/>
      <c r="B7" s="1851"/>
      <c r="C7" s="2313">
        <f>COVER!A13</f>
        <v>24047066004</v>
      </c>
      <c r="D7" s="2313"/>
      <c r="E7" s="231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2090</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2064</v>
      </c>
      <c r="D15" s="1865" t="s">
        <v>2064</v>
      </c>
      <c r="E15" s="1868"/>
      <c r="F15" s="1867" t="s">
        <v>2088</v>
      </c>
      <c r="H15" s="1878">
        <f t="shared" si="0"/>
        <v>5</v>
      </c>
      <c r="I15" s="1878">
        <f t="shared" si="1"/>
        <v>5</v>
      </c>
      <c r="J15" s="1878">
        <f t="shared" si="2"/>
        <v>0</v>
      </c>
    </row>
    <row r="16" spans="1:10" ht="12" customHeight="1" x14ac:dyDescent="0.2">
      <c r="A16" s="1863" t="s">
        <v>1388</v>
      </c>
      <c r="B16" s="1864"/>
      <c r="C16" s="1865" t="s">
        <v>2064</v>
      </c>
      <c r="D16" s="1865" t="s">
        <v>2064</v>
      </c>
      <c r="E16" s="1868"/>
      <c r="F16" s="1867" t="s">
        <v>2089</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c r="E21" s="1868"/>
      <c r="F21" s="1867" t="s">
        <v>2090</v>
      </c>
      <c r="H21" s="1878">
        <f t="shared" si="0"/>
        <v>5</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c r="F24" s="1867" t="s">
        <v>2109</v>
      </c>
      <c r="H24" s="1878">
        <f t="shared" si="0"/>
        <v>5</v>
      </c>
      <c r="I24" s="1878">
        <f t="shared" si="1"/>
        <v>5</v>
      </c>
      <c r="J24" s="1878">
        <f t="shared" si="2"/>
        <v>0</v>
      </c>
    </row>
    <row r="25" spans="1:12" ht="12" customHeight="1" x14ac:dyDescent="0.2">
      <c r="A25" s="1863" t="s">
        <v>1533</v>
      </c>
      <c r="B25" s="1864"/>
      <c r="C25" s="1865" t="s">
        <v>2064</v>
      </c>
      <c r="D25" s="1865" t="s">
        <v>2064</v>
      </c>
      <c r="E25" s="1868"/>
      <c r="F25" s="1867" t="s">
        <v>2109</v>
      </c>
      <c r="H25" s="1878">
        <f t="shared" si="0"/>
        <v>5</v>
      </c>
      <c r="I25" s="1878">
        <f t="shared" si="1"/>
        <v>5</v>
      </c>
      <c r="J25" s="1878">
        <f t="shared" si="2"/>
        <v>0</v>
      </c>
    </row>
    <row r="26" spans="1:12" ht="12" customHeight="1" x14ac:dyDescent="0.2">
      <c r="A26" s="1863" t="s">
        <v>1534</v>
      </c>
      <c r="B26" s="1864"/>
      <c r="C26" s="1865" t="s">
        <v>2064</v>
      </c>
      <c r="D26" s="1865" t="s">
        <v>2064</v>
      </c>
      <c r="E26" s="1868"/>
      <c r="F26" s="1867" t="s">
        <v>2091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c r="F30" s="1867" t="s">
        <v>2090</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35</v>
      </c>
      <c r="J34" s="1878">
        <f>SUM(J11:J32)</f>
        <v>0</v>
      </c>
      <c r="K34" s="1878">
        <f>SUM(H34:J34)</f>
        <v>75</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Newark CCSD 66</v>
      </c>
      <c r="J6" s="2322"/>
      <c r="Q6" s="1664"/>
    </row>
    <row r="7" spans="1:17" x14ac:dyDescent="0.2">
      <c r="A7" s="2323" t="s">
        <v>869</v>
      </c>
      <c r="B7" s="2324"/>
      <c r="C7" s="2324"/>
      <c r="D7" s="2324"/>
      <c r="E7" s="2325"/>
      <c r="F7" s="1017"/>
      <c r="G7" s="1009"/>
      <c r="H7" s="1016" t="s">
        <v>372</v>
      </c>
      <c r="I7" s="2326">
        <f>COVER!A13</f>
        <v>24047066004</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159407</v>
      </c>
      <c r="F12" s="1039"/>
      <c r="G12" s="1811">
        <f t="shared" ref="G12:G18" si="0">SUM(E12:F12)</f>
        <v>159407</v>
      </c>
      <c r="H12" s="1040">
        <v>167377</v>
      </c>
      <c r="I12" s="1039"/>
      <c r="J12" s="1811">
        <f t="shared" ref="J12:J18" si="1">SUM(H12:I12)</f>
        <v>167377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159407</v>
      </c>
      <c r="F19" s="1813">
        <f t="shared" si="2"/>
        <v>0</v>
      </c>
      <c r="G19" s="1813">
        <f t="shared" si="2"/>
        <v>159407</v>
      </c>
      <c r="H19" s="1813">
        <f t="shared" si="2"/>
        <v>167377</v>
      </c>
      <c r="I19" s="1813">
        <f t="shared" si="2"/>
        <v>0</v>
      </c>
      <c r="J19" s="1813">
        <f t="shared" si="2"/>
        <v>167377</v>
      </c>
    </row>
    <row r="20" spans="1:10" ht="13.5" thickTop="1" x14ac:dyDescent="0.2">
      <c r="A20" s="1035">
        <v>9</v>
      </c>
      <c r="B20" s="2333" t="s">
        <v>1979</v>
      </c>
      <c r="C20" s="2333"/>
      <c r="D20" s="2334"/>
      <c r="E20" s="1046"/>
      <c r="F20" s="1046"/>
      <c r="G20" s="1046"/>
      <c r="H20" s="1046"/>
      <c r="I20" s="1046"/>
      <c r="J20" s="1814">
        <f>IF(AND(G19&gt;0,J19&gt;0),(((J19-G19)/G19)),"Enter Budget Data")</f>
        <v>4.9997804362418213E-2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H15" sqref="H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8">
        <v>5</v>
      </c>
      <c r="B9" s="329" t="s">
        <v>2096</v>
      </c>
    </row>
    <row r="10" spans="1:2" x14ac:dyDescent="0.2">
      <c r="A10" s="1068">
        <v>6</v>
      </c>
      <c r="B10" s="329" t="s">
        <v>2097</v>
      </c>
    </row>
    <row r="11" spans="1:2" x14ac:dyDescent="0.2">
      <c r="A11" s="1068">
        <v>7</v>
      </c>
      <c r="B11" s="329" t="s">
        <v>2106</v>
      </c>
    </row>
    <row r="12" spans="1:2" x14ac:dyDescent="0.2">
      <c r="A12" s="1068">
        <v>8</v>
      </c>
      <c r="B12" s="329" t="s">
        <v>2107</v>
      </c>
    </row>
    <row r="13" spans="1:2" x14ac:dyDescent="0.2">
      <c r="A13" s="1068">
        <v>9</v>
      </c>
      <c r="B13" s="329" t="s">
        <v>2108</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Newark CCSD 66</v>
      </c>
    </row>
    <row r="65" spans="2:2" x14ac:dyDescent="0.2">
      <c r="B65" s="1070">
        <f>COVER!A13</f>
        <v>24047066004</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3" zoomScale="110" zoomScaleNormal="110" workbookViewId="0">
      <selection activeCell="H15" sqref="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H15" sqref="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4: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4" spans="2:6" x14ac:dyDescent="0.2">
      <c r="B14" s="1071"/>
      <c r="C14" s="1071"/>
      <c r="D14" s="1071"/>
      <c r="E14" s="1071"/>
      <c r="F14" s="1071"/>
    </row>
    <row r="22" spans="1:2" x14ac:dyDescent="0.2">
      <c r="A22" s="1072" t="s">
        <v>1493</v>
      </c>
    </row>
    <row r="24" spans="1:2" x14ac:dyDescent="0.2">
      <c r="A24" s="389" t="s">
        <v>857</v>
      </c>
    </row>
    <row r="25" spans="1:2" s="1071" customFormat="1" ht="45" customHeight="1" x14ac:dyDescent="0.2">
      <c r="A25" s="1073"/>
      <c r="B25" s="1073" t="s">
        <v>1684</v>
      </c>
    </row>
    <row r="26" spans="1:2" ht="6" customHeight="1" x14ac:dyDescent="0.2"/>
    <row r="27" spans="1:2" ht="24.75" customHeight="1" x14ac:dyDescent="0.2">
      <c r="A27" s="2340" t="s">
        <v>1685</v>
      </c>
      <c r="B27" s="2340"/>
    </row>
  </sheetData>
  <sheetProtection selectLockedCells="1"/>
  <mergeCells count="1">
    <mergeCell ref="A27:B27"/>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35842" r:id="rId4"/>
      </mc:Fallback>
    </mc:AlternateContent>
    <mc:AlternateContent xmlns:mc="http://schemas.openxmlformats.org/markup-compatibility/2006">
      <mc:Choice Requires="x14">
        <oleObject progId="AcroExch.Document.DC" dvAspect="DVASPECT_ICON" shapeId="35843" r:id="rId6">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35843" r:id="rId6"/>
      </mc:Fallback>
    </mc:AlternateContent>
    <mc:AlternateContent xmlns:mc="http://schemas.openxmlformats.org/markup-compatibility/2006">
      <mc:Choice Requires="x14">
        <oleObject progId="AcroExch.Document.DC" dvAspect="DVASPECT_ICON" shapeId="35844" r:id="rId7">
          <objectPr defaultSize="0" r:id="rId8">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4" r:id="rId7"/>
      </mc:Fallback>
    </mc:AlternateContent>
    <mc:AlternateContent xmlns:mc="http://schemas.openxmlformats.org/markup-compatibility/2006">
      <mc:Choice Requires="x14">
        <oleObject progId="AcroExch.Document.DC" dvAspect="DVASPECT_ICON" shapeId="35845" r:id="rId9">
          <objectPr defaultSize="0" r:id="rId8">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35845"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H15" sqref="H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2278675</v>
      </c>
      <c r="C8" s="1815">
        <f>'Acct Summary 7-8'!D8</f>
        <v>256943</v>
      </c>
      <c r="D8" s="1815">
        <f>'Acct Summary 7-8'!F8</f>
        <v>145886</v>
      </c>
      <c r="E8" s="1815">
        <f>'Acct Summary 7-8'!I8</f>
        <v>34846</v>
      </c>
      <c r="F8" s="1815">
        <f>SUM(B8:E8)</f>
        <v>2716350</v>
      </c>
    </row>
    <row r="9" spans="1:8" s="1079" customFormat="1" ht="14.25" customHeight="1" thickBot="1" x14ac:dyDescent="0.25">
      <c r="A9" s="1078" t="s">
        <v>1369</v>
      </c>
      <c r="B9" s="1816">
        <f>'Acct Summary 7-8'!C17</f>
        <v>1968076</v>
      </c>
      <c r="C9" s="1816">
        <f>'Acct Summary 7-8'!D17</f>
        <v>168934</v>
      </c>
      <c r="D9" s="1816">
        <f>'Acct Summary 7-8'!F17</f>
        <v>135395</v>
      </c>
      <c r="E9" s="1815"/>
      <c r="F9" s="1815">
        <f>SUM(B9:E9)</f>
        <v>2272405</v>
      </c>
    </row>
    <row r="10" spans="1:8" s="1079" customFormat="1" ht="14.25" thickTop="1" thickBot="1" x14ac:dyDescent="0.25">
      <c r="A10" s="1080" t="s">
        <v>1370</v>
      </c>
      <c r="B10" s="1817">
        <f>(B8-B9)</f>
        <v>310599</v>
      </c>
      <c r="C10" s="1817">
        <f>(C8-C9)</f>
        <v>88009</v>
      </c>
      <c r="D10" s="1817">
        <f>(D8-D9)</f>
        <v>10491</v>
      </c>
      <c r="E10" s="1816">
        <f>(E8-E9)</f>
        <v>34846</v>
      </c>
      <c r="F10" s="1818">
        <f>SUM(F8-F9)</f>
        <v>443945</v>
      </c>
    </row>
    <row r="11" spans="1:8" s="1079" customFormat="1" ht="14.25" thickTop="1" thickBot="1" x14ac:dyDescent="0.25">
      <c r="A11" s="1081" t="s">
        <v>1983</v>
      </c>
      <c r="B11" s="1819">
        <f>'Acct Summary 7-8'!C81</f>
        <v>2484730</v>
      </c>
      <c r="C11" s="1819">
        <f>'Acct Summary 7-8'!D81</f>
        <v>316715</v>
      </c>
      <c r="D11" s="1819">
        <f>'Acct Summary 7-8'!F81</f>
        <v>191580</v>
      </c>
      <c r="E11" s="1819">
        <f>'Acct Summary 7-8'!I81</f>
        <v>104733</v>
      </c>
      <c r="F11" s="1820">
        <f>SUM(B11:E11)</f>
        <v>3097758</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8" colorId="8" zoomScale="110" zoomScaleNormal="110" workbookViewId="0">
      <selection activeCell="H15" sqref="H1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24047066004</v>
      </c>
    </row>
    <row r="3" spans="1:2" x14ac:dyDescent="0.2">
      <c r="A3" t="s">
        <v>956</v>
      </c>
      <c r="B3" s="138" t="str">
        <f>COVER!A15</f>
        <v>Kendall</v>
      </c>
    </row>
    <row r="4" spans="1:2" x14ac:dyDescent="0.2">
      <c r="A4" t="s">
        <v>1007</v>
      </c>
      <c r="B4" s="138" t="str">
        <f>COVER!A17</f>
        <v>Newark CCSD 66</v>
      </c>
    </row>
    <row r="5" spans="1:2" x14ac:dyDescent="0.2">
      <c r="A5" t="s">
        <v>704</v>
      </c>
      <c r="B5" s="138" t="str">
        <f>COVER!A38</f>
        <v>Demetra Turman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2466678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2484730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2377968</v>
      </c>
      <c r="D92" s="2" t="str">
        <f t="shared" si="0"/>
        <v>Error?</v>
      </c>
    </row>
    <row r="93" spans="1:4" x14ac:dyDescent="0.2">
      <c r="A93" s="5">
        <v>32</v>
      </c>
      <c r="B93" s="138">
        <f>'Assets-Liab 5-6'!C41</f>
        <v>2484730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310906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316715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316715</v>
      </c>
      <c r="D123" s="2" t="str">
        <f t="shared" si="0"/>
        <v>Error?</v>
      </c>
    </row>
    <row r="124" spans="1:4" x14ac:dyDescent="0.2">
      <c r="A124" s="5">
        <v>63</v>
      </c>
      <c r="B124" s="138">
        <f>'Assets-Liab 5-6'!D41</f>
        <v>316715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85425</v>
      </c>
      <c r="D129" s="2" t="str">
        <f t="shared" si="1"/>
        <v>Error?</v>
      </c>
    </row>
    <row r="130" spans="1:4" x14ac:dyDescent="0.2">
      <c r="A130" s="5">
        <v>69</v>
      </c>
      <c r="B130" s="138">
        <f>'Assets-Liab 5-6'!E12</f>
        <v>0</v>
      </c>
      <c r="D130" s="2" t="str">
        <f t="shared" si="1"/>
        <v>Error?</v>
      </c>
    </row>
    <row r="131" spans="1:4" x14ac:dyDescent="0.2">
      <c r="A131" s="5">
        <v>70</v>
      </c>
      <c r="B131" s="138">
        <f>'Assets-Liab 5-6'!E13</f>
        <v>85425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85425</v>
      </c>
      <c r="D140" s="2" t="str">
        <f t="shared" si="1"/>
        <v>Error?</v>
      </c>
    </row>
    <row r="141" spans="1:4" x14ac:dyDescent="0.2">
      <c r="A141" s="5">
        <v>80</v>
      </c>
      <c r="B141" s="138">
        <f>'Assets-Liab 5-6'!E41</f>
        <v>85425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184556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191580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191580</v>
      </c>
      <c r="D170" s="2" t="str">
        <f t="shared" si="1"/>
        <v>Error?</v>
      </c>
    </row>
    <row r="171" spans="1:4" x14ac:dyDescent="0.2">
      <c r="A171" s="5">
        <v>110</v>
      </c>
      <c r="B171" s="138">
        <f>'Assets-Liab 5-6'!F41</f>
        <v>191580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127084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133045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-94192</v>
      </c>
      <c r="D189" s="2" t="str">
        <f t="shared" si="1"/>
        <v>Error?</v>
      </c>
    </row>
    <row r="190" spans="1:4" x14ac:dyDescent="0.2">
      <c r="A190" s="5">
        <v>129</v>
      </c>
      <c r="B190" s="138">
        <f>'Assets-Liab 5-6'!G41</f>
        <v>133045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3457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3457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3457</v>
      </c>
      <c r="D212" s="2" t="str">
        <f t="shared" si="2"/>
        <v>Error?</v>
      </c>
    </row>
    <row r="213" spans="1:4" x14ac:dyDescent="0.2">
      <c r="A213" s="12">
        <v>152</v>
      </c>
      <c r="B213" s="138">
        <f>'Assets-Liab 5-6'!H41</f>
        <v>3457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56122</v>
      </c>
      <c r="D273" s="2" t="str">
        <f t="shared" si="3"/>
        <v>Error?</v>
      </c>
    </row>
    <row r="274" spans="1:4" x14ac:dyDescent="0.2">
      <c r="A274" s="5">
        <v>213</v>
      </c>
      <c r="B274" s="138">
        <f>'Assets-Liab 5-6'!M17</f>
        <v>2852985</v>
      </c>
      <c r="D274" s="2" t="str">
        <f t="shared" si="3"/>
        <v>Error?</v>
      </c>
    </row>
    <row r="275" spans="1:4" x14ac:dyDescent="0.2">
      <c r="A275" s="5">
        <v>214</v>
      </c>
      <c r="B275" s="138">
        <f>'Assets-Liab 5-6'!M18</f>
        <v>231567</v>
      </c>
      <c r="D275" s="2" t="str">
        <f t="shared" si="3"/>
        <v>Error?</v>
      </c>
    </row>
    <row r="276" spans="1:4" x14ac:dyDescent="0.2">
      <c r="A276" s="5">
        <v>215</v>
      </c>
      <c r="B276" s="138">
        <f>'Assets-Liab 5-6'!M19</f>
        <v>315612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3456286</v>
      </c>
      <c r="C279" s="2" t="s">
        <v>573</v>
      </c>
      <c r="D279" s="2" t="str">
        <f t="shared" si="3"/>
        <v>Error?</v>
      </c>
    </row>
    <row r="280" spans="1:4" x14ac:dyDescent="0.2">
      <c r="A280" s="5">
        <v>219</v>
      </c>
      <c r="B280" s="138">
        <f>'Assets-Liab 5-6'!M40</f>
        <v>3456286</v>
      </c>
      <c r="D280" s="2" t="str">
        <f t="shared" si="3"/>
        <v>Error?</v>
      </c>
    </row>
    <row r="281" spans="1:4" x14ac:dyDescent="0.2">
      <c r="A281" s="5">
        <v>220</v>
      </c>
      <c r="B281" s="138">
        <f>'Assets-Liab 5-6'!M41</f>
        <v>3456286</v>
      </c>
      <c r="C281" s="2" t="s">
        <v>573</v>
      </c>
      <c r="D281" s="2" t="str">
        <f t="shared" si="3"/>
        <v>Error?</v>
      </c>
    </row>
    <row r="282" spans="1:4" x14ac:dyDescent="0.2">
      <c r="A282" s="5">
        <v>221</v>
      </c>
      <c r="B282" s="138">
        <f>'Assets-Liab 5-6'!N21</f>
        <v>85425</v>
      </c>
      <c r="D282" s="2" t="str">
        <f t="shared" si="3"/>
        <v>Error?</v>
      </c>
    </row>
    <row r="283" spans="1:4" x14ac:dyDescent="0.2">
      <c r="A283" s="5">
        <v>222</v>
      </c>
      <c r="B283" s="138">
        <f>'Assets-Liab 5-6'!N22</f>
        <v>948318</v>
      </c>
      <c r="D283" s="2" t="str">
        <f t="shared" si="3"/>
        <v>Error?</v>
      </c>
    </row>
    <row r="284" spans="1:4" x14ac:dyDescent="0.2">
      <c r="A284" s="5">
        <v>223</v>
      </c>
      <c r="B284" s="138">
        <f>'Assets-Liab 5-6'!N23</f>
        <v>1033743</v>
      </c>
      <c r="C284" s="2" t="s">
        <v>573</v>
      </c>
      <c r="D284" s="2" t="str">
        <f t="shared" si="3"/>
        <v>Error?</v>
      </c>
    </row>
    <row r="285" spans="1:4" x14ac:dyDescent="0.2">
      <c r="A285" s="5">
        <v>224</v>
      </c>
      <c r="B285" s="138">
        <f>'Assets-Liab 5-6'!N36</f>
        <v>1033743</v>
      </c>
      <c r="D285" s="2" t="str">
        <f t="shared" si="3"/>
        <v>Error?</v>
      </c>
    </row>
    <row r="286" spans="1:4" x14ac:dyDescent="0.2">
      <c r="A286" s="10">
        <v>225</v>
      </c>
      <c r="D286" s="2" t="str">
        <f t="shared" si="3"/>
        <v>OK</v>
      </c>
    </row>
    <row r="287" spans="1:4" x14ac:dyDescent="0.2">
      <c r="A287" s="5">
        <v>226</v>
      </c>
      <c r="B287" s="138">
        <f>'Assets-Liab 5-6'!N37</f>
        <v>1033743</v>
      </c>
      <c r="C287" s="2" t="s">
        <v>573</v>
      </c>
      <c r="D287" s="2" t="str">
        <f t="shared" si="3"/>
        <v>Error?</v>
      </c>
    </row>
    <row r="288" spans="1:4" x14ac:dyDescent="0.2">
      <c r="A288" s="5">
        <v>227</v>
      </c>
      <c r="B288" s="138">
        <f>'Assets-Liab 5-6'!N41</f>
        <v>1033743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703386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24830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839148</v>
      </c>
      <c r="C720" s="2" t="s">
        <v>573</v>
      </c>
      <c r="D720" s="2" t="str">
        <f t="shared" si="10"/>
        <v>Error?</v>
      </c>
    </row>
    <row r="721" spans="1:4" x14ac:dyDescent="0.2">
      <c r="A721" s="5">
        <v>660</v>
      </c>
      <c r="B721" s="138">
        <f>'Expenditures 15-22'!C36</f>
        <v>3750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10559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48499</v>
      </c>
      <c r="D725" s="2" t="str">
        <f t="shared" si="10"/>
        <v>Error?</v>
      </c>
    </row>
    <row r="726" spans="1:4" x14ac:dyDescent="0.2">
      <c r="A726" s="5">
        <v>665</v>
      </c>
      <c r="B726" s="138">
        <f>'Expenditures 15-22'!C41</f>
        <v>3693</v>
      </c>
      <c r="D726" s="2" t="str">
        <f t="shared" si="10"/>
        <v>Error?</v>
      </c>
    </row>
    <row r="727" spans="1:4" x14ac:dyDescent="0.2">
      <c r="A727" s="5">
        <v>666</v>
      </c>
      <c r="B727" s="138">
        <f>'Expenditures 15-22'!C42</f>
        <v>66501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1600</v>
      </c>
      <c r="D732" s="2" t="str">
        <f t="shared" si="10"/>
        <v>Error?</v>
      </c>
    </row>
    <row r="733" spans="1:4" x14ac:dyDescent="0.2">
      <c r="A733" s="5">
        <v>672</v>
      </c>
      <c r="B733" s="138">
        <f>'Expenditures 15-22'!C50</f>
        <v>119813</v>
      </c>
      <c r="D733" s="2" t="str">
        <f t="shared" si="10"/>
        <v>Error?</v>
      </c>
    </row>
    <row r="734" spans="1:4" x14ac:dyDescent="0.2">
      <c r="A734" s="5">
        <v>673</v>
      </c>
      <c r="B734" s="138">
        <f>'Expenditures 15-22'!C53</f>
        <v>121413</v>
      </c>
      <c r="C734" s="2" t="s">
        <v>573</v>
      </c>
      <c r="D734" s="2" t="str">
        <f t="shared" si="10"/>
        <v>Error?</v>
      </c>
    </row>
    <row r="735" spans="1:4" x14ac:dyDescent="0.2">
      <c r="A735" s="5">
        <v>674</v>
      </c>
      <c r="B735" s="138">
        <f>'Expenditures 15-22'!C55</f>
        <v>106525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106525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62340</v>
      </c>
      <c r="D739" s="2" t="str">
        <f t="shared" si="10"/>
        <v>Error?</v>
      </c>
    </row>
    <row r="740" spans="1:4" x14ac:dyDescent="0.2">
      <c r="A740" s="5">
        <v>679</v>
      </c>
      <c r="B740" s="138">
        <f>'Expenditures 15-22'!C61</f>
        <v>67754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41738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171832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466271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1305419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112212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133151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822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822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33918</v>
      </c>
      <c r="D791" s="2" t="str">
        <f t="shared" si="11"/>
        <v>Error?</v>
      </c>
    </row>
    <row r="792" spans="1:4" x14ac:dyDescent="0.2">
      <c r="A792" s="5">
        <v>731</v>
      </c>
      <c r="B792" s="138">
        <f>'Expenditures 15-22'!D53</f>
        <v>33918</v>
      </c>
      <c r="C792" s="2" t="s">
        <v>573</v>
      </c>
      <c r="D792" s="2" t="str">
        <f t="shared" si="11"/>
        <v>Error?</v>
      </c>
    </row>
    <row r="793" spans="1:4" x14ac:dyDescent="0.2">
      <c r="A793" s="5">
        <v>732</v>
      </c>
      <c r="B793" s="138">
        <f>'Expenditures 15-22'!D55</f>
        <v>9773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9773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10997</v>
      </c>
      <c r="D797" s="2" t="str">
        <f t="shared" si="11"/>
        <v>Error?</v>
      </c>
    </row>
    <row r="798" spans="1:4" x14ac:dyDescent="0.2">
      <c r="A798" s="5">
        <v>737</v>
      </c>
      <c r="B798" s="138">
        <f>'Expenditures 15-22'!D61</f>
        <v>16116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27162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71675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204826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6935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269</v>
      </c>
      <c r="D841" s="2" t="str">
        <f t="shared" si="12"/>
        <v>Error?</v>
      </c>
    </row>
    <row r="842" spans="1:4" x14ac:dyDescent="0.2">
      <c r="A842" s="5">
        <v>781</v>
      </c>
      <c r="B842" s="138">
        <f>'Expenditures 15-22'!E41</f>
        <v>1135</v>
      </c>
      <c r="D842" s="2" t="str">
        <f t="shared" si="12"/>
        <v>Error?</v>
      </c>
    </row>
    <row r="843" spans="1:4" x14ac:dyDescent="0.2">
      <c r="A843" s="5">
        <v>782</v>
      </c>
      <c r="B843" s="138">
        <f>'Expenditures 15-22'!E42</f>
        <v>1483</v>
      </c>
      <c r="C843" s="2" t="s">
        <v>573</v>
      </c>
      <c r="D843" s="2" t="str">
        <f t="shared" si="12"/>
        <v>Error?</v>
      </c>
    </row>
    <row r="844" spans="1:4" x14ac:dyDescent="0.2">
      <c r="A844" s="5">
        <v>783</v>
      </c>
      <c r="B844" s="138">
        <f>'Expenditures 15-22'!E44</f>
        <v>8491</v>
      </c>
      <c r="D844" s="2" t="str">
        <f t="shared" si="12"/>
        <v>Error?</v>
      </c>
    </row>
    <row r="845" spans="1:4" x14ac:dyDescent="0.2">
      <c r="A845" s="5">
        <v>784</v>
      </c>
      <c r="B845" s="138">
        <f>'Expenditures 15-22'!E45</f>
        <v>6354</v>
      </c>
      <c r="D845" s="2" t="str">
        <f t="shared" si="12"/>
        <v>Error?</v>
      </c>
    </row>
    <row r="846" spans="1:4" x14ac:dyDescent="0.2">
      <c r="A846" s="5">
        <v>785</v>
      </c>
      <c r="B846" s="138">
        <f>'Expenditures 15-22'!E46</f>
        <v>3313</v>
      </c>
      <c r="D846" s="2" t="str">
        <f t="shared" si="12"/>
        <v>Error?</v>
      </c>
    </row>
    <row r="847" spans="1:4" x14ac:dyDescent="0.2">
      <c r="A847" s="5">
        <v>786</v>
      </c>
      <c r="B847" s="138">
        <f>'Expenditures 15-22'!E47</f>
        <v>18158</v>
      </c>
      <c r="C847" s="2" t="s">
        <v>573</v>
      </c>
      <c r="D847" s="2" t="str">
        <f t="shared" si="12"/>
        <v>Error?</v>
      </c>
    </row>
    <row r="848" spans="1:4" x14ac:dyDescent="0.2">
      <c r="A848" s="5">
        <v>787</v>
      </c>
      <c r="B848" s="138">
        <f>'Expenditures 15-22'!E49</f>
        <v>24077</v>
      </c>
      <c r="D848" s="2" t="str">
        <f t="shared" si="12"/>
        <v>Error?</v>
      </c>
    </row>
    <row r="849" spans="1:4" x14ac:dyDescent="0.2">
      <c r="A849" s="5">
        <v>788</v>
      </c>
      <c r="B849" s="138">
        <f>'Expenditures 15-22'!E50</f>
        <v>3369</v>
      </c>
      <c r="D849" s="2" t="str">
        <f t="shared" si="12"/>
        <v>Error?</v>
      </c>
    </row>
    <row r="850" spans="1:4" x14ac:dyDescent="0.2">
      <c r="A850" s="5">
        <v>789</v>
      </c>
      <c r="B850" s="138">
        <f>'Expenditures 15-22'!E53</f>
        <v>27446</v>
      </c>
      <c r="C850" s="2" t="s">
        <v>573</v>
      </c>
      <c r="D850" s="2" t="str">
        <f t="shared" si="12"/>
        <v>Error?</v>
      </c>
    </row>
    <row r="851" spans="1:4" x14ac:dyDescent="0.2">
      <c r="A851" s="5">
        <v>790</v>
      </c>
      <c r="B851" s="138">
        <f>'Expenditures 15-22'!E55</f>
        <v>1104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1104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542</v>
      </c>
      <c r="D855" s="2" t="str">
        <f t="shared" si="12"/>
        <v>Error?</v>
      </c>
    </row>
    <row r="856" spans="1:4" x14ac:dyDescent="0.2">
      <c r="A856" s="5">
        <v>795</v>
      </c>
      <c r="B856" s="138">
        <f>'Expenditures 15-22'!E61</f>
        <v>1920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14161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14161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67201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306332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41502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43601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619</v>
      </c>
      <c r="C901" s="2" t="s">
        <v>573</v>
      </c>
      <c r="D901" s="2" t="str">
        <f t="shared" si="13"/>
        <v>Error?</v>
      </c>
    </row>
    <row r="902" spans="1:4" x14ac:dyDescent="0.2">
      <c r="A902" s="5">
        <v>841</v>
      </c>
      <c r="B902" s="138">
        <f>'Expenditures 15-22'!F44</f>
        <v>829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829</v>
      </c>
      <c r="C905" s="2" t="s">
        <v>573</v>
      </c>
      <c r="D905" s="2" t="str">
        <f t="shared" si="13"/>
        <v>Error?</v>
      </c>
    </row>
    <row r="906" spans="1:4" x14ac:dyDescent="0.2">
      <c r="A906" s="5">
        <v>845</v>
      </c>
      <c r="B906" s="138">
        <f>'Expenditures 15-22'!F49</f>
        <v>294</v>
      </c>
      <c r="D906" s="2" t="str">
        <f t="shared" si="13"/>
        <v>Error?</v>
      </c>
    </row>
    <row r="907" spans="1:4" x14ac:dyDescent="0.2">
      <c r="A907" s="5">
        <v>846</v>
      </c>
      <c r="B907" s="138">
        <f>'Expenditures 15-22'!F50</f>
        <v>1036</v>
      </c>
      <c r="D907" s="2" t="str">
        <f t="shared" si="13"/>
        <v>Error?</v>
      </c>
    </row>
    <row r="908" spans="1:4" x14ac:dyDescent="0.2">
      <c r="A908" s="5">
        <v>847</v>
      </c>
      <c r="B908" s="138">
        <f>'Expenditures 15-22'!F53</f>
        <v>1330</v>
      </c>
      <c r="C908" s="2" t="s">
        <v>573</v>
      </c>
      <c r="D908" s="2" t="str">
        <f t="shared" si="13"/>
        <v>Error?</v>
      </c>
    </row>
    <row r="909" spans="1:4" x14ac:dyDescent="0.2">
      <c r="A909" s="5">
        <v>848</v>
      </c>
      <c r="B909" s="138">
        <f>'Expenditures 15-22'!F55</f>
        <v>1882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1882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1063</v>
      </c>
      <c r="D913" s="2" t="str">
        <f t="shared" si="13"/>
        <v>Error?</v>
      </c>
    </row>
    <row r="914" spans="1:4" x14ac:dyDescent="0.2">
      <c r="A914" s="5">
        <v>853</v>
      </c>
      <c r="B914" s="138">
        <f>'Expenditures 15-22'!F61</f>
        <v>477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42815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44355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3268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3268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52283</v>
      </c>
      <c r="C929" s="2" t="s">
        <v>573</v>
      </c>
      <c r="D929" s="2" t="str">
        <f t="shared" si="13"/>
        <v>Error?</v>
      </c>
    </row>
    <row r="930" spans="1:4" x14ac:dyDescent="0.2">
      <c r="A930" s="5">
        <v>869</v>
      </c>
      <c r="B930" s="138">
        <f>'Expenditures 15-22'!F75</f>
        <v>42</v>
      </c>
      <c r="D930" s="2" t="str">
        <f t="shared" si="13"/>
        <v>Error?</v>
      </c>
    </row>
    <row r="931" spans="1:4" x14ac:dyDescent="0.2">
      <c r="A931" s="5">
        <v>870</v>
      </c>
      <c r="B931" s="138">
        <f>'Expenditures 15-22'!F114</f>
        <v>95926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11536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20398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2472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2472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4750</v>
      </c>
      <c r="D971" s="2" t="str">
        <f t="shared" si="14"/>
        <v>Error?</v>
      </c>
    </row>
    <row r="972" spans="1:4" x14ac:dyDescent="0.2">
      <c r="A972" s="5">
        <v>911</v>
      </c>
      <c r="B972" s="138">
        <f>'Expenditures 15-22'!G61</f>
        <v>5770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10520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12992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33390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12093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13827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856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856</v>
      </c>
      <c r="C1021" s="2" t="s">
        <v>573</v>
      </c>
      <c r="D1021" s="2" t="str">
        <f t="shared" si="14"/>
        <v>Error?</v>
      </c>
    </row>
    <row r="1022" spans="1:4" x14ac:dyDescent="0.2">
      <c r="A1022" s="5">
        <v>961</v>
      </c>
      <c r="B1022" s="138">
        <f>'Expenditures 15-22'!H49</f>
        <v>1862</v>
      </c>
      <c r="D1022" s="2" t="str">
        <f t="shared" si="14"/>
        <v>Error?</v>
      </c>
    </row>
    <row r="1023" spans="1:4" x14ac:dyDescent="0.2">
      <c r="A1023" s="5">
        <v>962</v>
      </c>
      <c r="B1023" s="138">
        <f>'Expenditures 15-22'!H50</f>
        <v>1271</v>
      </c>
      <c r="D1023" s="2" t="str">
        <f t="shared" ref="D1023:D1086" si="15">IF(ISBLANK(B1023),"OK",IF(A1023-B1023=0,"OK","Error?"))</f>
        <v>Error?</v>
      </c>
    </row>
    <row r="1024" spans="1:4" x14ac:dyDescent="0.2">
      <c r="A1024" s="5">
        <v>963</v>
      </c>
      <c r="B1024" s="138">
        <f>'Expenditures 15-22'!H53</f>
        <v>3133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3384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983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4367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8356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22183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881326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33233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1057060</v>
      </c>
      <c r="C1108" s="2" t="s">
        <v>573</v>
      </c>
      <c r="D1108" s="2" t="str">
        <f t="shared" si="16"/>
        <v>Error?</v>
      </c>
    </row>
    <row r="1109" spans="1:4" x14ac:dyDescent="0.2">
      <c r="A1109" s="5">
        <v>1048</v>
      </c>
      <c r="B1109" s="138">
        <f>'Expenditures 15-22'!K36</f>
        <v>3750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11257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49590</v>
      </c>
      <c r="C1113" s="2" t="s">
        <v>573</v>
      </c>
      <c r="D1113" s="2" t="str">
        <f t="shared" si="16"/>
        <v>Error?</v>
      </c>
    </row>
    <row r="1114" spans="1:4" x14ac:dyDescent="0.2">
      <c r="A1114" s="5">
        <v>1053</v>
      </c>
      <c r="B1114" s="138">
        <f>'Expenditures 15-22'!K41</f>
        <v>4828</v>
      </c>
      <c r="C1114" s="2" t="s">
        <v>573</v>
      </c>
      <c r="D1114" s="2" t="str">
        <f t="shared" si="16"/>
        <v>Error?</v>
      </c>
    </row>
    <row r="1115" spans="1:4" x14ac:dyDescent="0.2">
      <c r="A1115" s="5">
        <v>1054</v>
      </c>
      <c r="B1115" s="138">
        <f>'Expenditures 15-22'!K42</f>
        <v>69425</v>
      </c>
      <c r="C1115" s="2" t="s">
        <v>573</v>
      </c>
      <c r="D1115" s="2" t="str">
        <f t="shared" si="16"/>
        <v>Error?</v>
      </c>
    </row>
    <row r="1116" spans="1:4" x14ac:dyDescent="0.2">
      <c r="A1116" s="5">
        <v>1055</v>
      </c>
      <c r="B1116" s="138">
        <f>'Expenditures 15-22'!K44</f>
        <v>9320</v>
      </c>
      <c r="C1116" s="2" t="s">
        <v>573</v>
      </c>
      <c r="D1116" s="2" t="str">
        <f t="shared" si="16"/>
        <v>Error?</v>
      </c>
    </row>
    <row r="1117" spans="1:4" x14ac:dyDescent="0.2">
      <c r="A1117" s="5">
        <v>1056</v>
      </c>
      <c r="B1117" s="138">
        <f>'Expenditures 15-22'!K45</f>
        <v>7210</v>
      </c>
      <c r="C1117" s="2" t="s">
        <v>573</v>
      </c>
      <c r="D1117" s="2" t="str">
        <f t="shared" si="16"/>
        <v>Error?</v>
      </c>
    </row>
    <row r="1118" spans="1:4" x14ac:dyDescent="0.2">
      <c r="A1118" s="5">
        <v>1057</v>
      </c>
      <c r="B1118" s="138">
        <f>'Expenditures 15-22'!K46</f>
        <v>3313</v>
      </c>
      <c r="C1118" s="2" t="s">
        <v>573</v>
      </c>
      <c r="D1118" s="2" t="str">
        <f t="shared" si="16"/>
        <v>Error?</v>
      </c>
    </row>
    <row r="1119" spans="1:4" x14ac:dyDescent="0.2">
      <c r="A1119" s="5">
        <v>1058</v>
      </c>
      <c r="B1119" s="138">
        <f>'Expenditures 15-22'!K47</f>
        <v>19843</v>
      </c>
      <c r="C1119" s="2" t="s">
        <v>573</v>
      </c>
      <c r="D1119" s="2" t="str">
        <f t="shared" si="16"/>
        <v>Error?</v>
      </c>
    </row>
    <row r="1120" spans="1:4" x14ac:dyDescent="0.2">
      <c r="A1120" s="5">
        <v>1059</v>
      </c>
      <c r="B1120" s="138">
        <f>'Expenditures 15-22'!K49</f>
        <v>27833</v>
      </c>
      <c r="C1120" s="2" t="s">
        <v>573</v>
      </c>
      <c r="D1120" s="2" t="str">
        <f t="shared" si="16"/>
        <v>Error?</v>
      </c>
    </row>
    <row r="1121" spans="1:4" x14ac:dyDescent="0.2">
      <c r="A1121" s="5">
        <v>1060</v>
      </c>
      <c r="B1121" s="138">
        <f>'Expenditures 15-22'!K50</f>
        <v>159407</v>
      </c>
      <c r="C1121" s="2" t="s">
        <v>573</v>
      </c>
      <c r="D1121" s="2" t="str">
        <f t="shared" si="16"/>
        <v>Error?</v>
      </c>
    </row>
    <row r="1122" spans="1:4" x14ac:dyDescent="0.2">
      <c r="A1122" s="5">
        <v>1061</v>
      </c>
      <c r="B1122" s="138">
        <f>'Expenditures 15-22'!K53</f>
        <v>187240</v>
      </c>
      <c r="C1122" s="2" t="s">
        <v>573</v>
      </c>
      <c r="D1122" s="2" t="str">
        <f t="shared" si="16"/>
        <v>Error?</v>
      </c>
    </row>
    <row r="1123" spans="1:4" x14ac:dyDescent="0.2">
      <c r="A1123" s="5">
        <v>1062</v>
      </c>
      <c r="B1123" s="138">
        <f>'Expenditures 15-22'!K55</f>
        <v>121756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121756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83076</v>
      </c>
      <c r="C1127" s="2" t="s">
        <v>573</v>
      </c>
      <c r="D1127" s="2" t="str">
        <f t="shared" si="16"/>
        <v>Error?</v>
      </c>
    </row>
    <row r="1128" spans="1:4" x14ac:dyDescent="0.2">
      <c r="A1128" s="5">
        <v>1067</v>
      </c>
      <c r="B1128" s="138">
        <f>'Expenditures 15-22'!K61</f>
        <v>92037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87972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263085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17429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17429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678778</v>
      </c>
      <c r="C1143" s="2" t="s">
        <v>573</v>
      </c>
      <c r="D1143" s="2" t="str">
        <f t="shared" si="16"/>
        <v>Error?</v>
      </c>
    </row>
    <row r="1144" spans="1:4" x14ac:dyDescent="0.2">
      <c r="A1144" s="5">
        <v>1083</v>
      </c>
      <c r="B1144" s="138">
        <f>'Expenditures 15-22'!K75</f>
        <v>42</v>
      </c>
      <c r="C1144" s="2" t="s">
        <v>573</v>
      </c>
      <c r="D1144" s="2" t="str">
        <f t="shared" si="16"/>
        <v>Error?</v>
      </c>
    </row>
    <row r="1145" spans="1:4" x14ac:dyDescent="0.2">
      <c r="A1145" s="5">
        <v>1084</v>
      </c>
      <c r="B1145" s="138">
        <f>'Expenditures 15-22'!K102</f>
        <v>232196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1968076</v>
      </c>
      <c r="C1152" s="2" t="s">
        <v>573</v>
      </c>
      <c r="D1152" s="2" t="str">
        <f t="shared" si="17"/>
        <v>Error?</v>
      </c>
    </row>
    <row r="1153" spans="1:4" x14ac:dyDescent="0.2">
      <c r="A1153" s="5">
        <v>1092</v>
      </c>
      <c r="B1153" s="138">
        <f>'Expenditures 15-22'!K115</f>
        <v>310599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8553</v>
      </c>
      <c r="D1221" s="2" t="str">
        <f t="shared" si="18"/>
        <v>Error?</v>
      </c>
    </row>
    <row r="1222" spans="1:4" x14ac:dyDescent="0.2">
      <c r="A1222" s="10">
        <v>1161</v>
      </c>
      <c r="D1222" s="2" t="str">
        <f t="shared" si="18"/>
        <v>OK</v>
      </c>
    </row>
    <row r="1223" spans="1:4" x14ac:dyDescent="0.2">
      <c r="A1223" s="5">
        <v>1162</v>
      </c>
      <c r="B1223" s="138">
        <f>'Expenditures 15-22'!C127</f>
        <v>8553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8553</v>
      </c>
      <c r="C1225" s="2" t="s">
        <v>573</v>
      </c>
      <c r="D1225" s="2" t="str">
        <f t="shared" si="18"/>
        <v>Error?</v>
      </c>
    </row>
    <row r="1226" spans="1:4" x14ac:dyDescent="0.2">
      <c r="A1226" s="5">
        <v>1165</v>
      </c>
      <c r="B1226" s="138">
        <f>'Expenditures 15-22'!C151</f>
        <v>8553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91580</v>
      </c>
      <c r="D1237" s="2" t="str">
        <f t="shared" si="18"/>
        <v>Error?</v>
      </c>
    </row>
    <row r="1238" spans="1:4" x14ac:dyDescent="0.2">
      <c r="A1238" s="10">
        <v>1177</v>
      </c>
      <c r="D1238" s="2" t="str">
        <f t="shared" si="18"/>
        <v>OK</v>
      </c>
    </row>
    <row r="1239" spans="1:4" x14ac:dyDescent="0.2">
      <c r="A1239" s="5">
        <v>1178</v>
      </c>
      <c r="B1239" s="138">
        <f>'Expenditures 15-22'!E127</f>
        <v>91580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91580</v>
      </c>
      <c r="C1241" s="2" t="s">
        <v>573</v>
      </c>
      <c r="D1241" s="2" t="str">
        <f t="shared" si="18"/>
        <v>Error?</v>
      </c>
    </row>
    <row r="1242" spans="1:4" x14ac:dyDescent="0.2">
      <c r="A1242" s="5">
        <v>1181</v>
      </c>
      <c r="B1242" s="138">
        <f>'Expenditures 15-22'!E151</f>
        <v>91580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51634</v>
      </c>
      <c r="D1245" s="2" t="str">
        <f t="shared" si="18"/>
        <v>Error?</v>
      </c>
    </row>
    <row r="1246" spans="1:4" x14ac:dyDescent="0.2">
      <c r="A1246" s="10">
        <v>1185</v>
      </c>
      <c r="D1246" s="2" t="str">
        <f t="shared" si="18"/>
        <v>OK</v>
      </c>
    </row>
    <row r="1247" spans="1:4" x14ac:dyDescent="0.2">
      <c r="A1247" s="5">
        <v>1186</v>
      </c>
      <c r="B1247" s="138">
        <f>'Expenditures 15-22'!F127</f>
        <v>51634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51634</v>
      </c>
      <c r="C1249" s="2" t="s">
        <v>573</v>
      </c>
      <c r="D1249" s="2" t="str">
        <f t="shared" si="18"/>
        <v>Error?</v>
      </c>
    </row>
    <row r="1250" spans="1:4" x14ac:dyDescent="0.2">
      <c r="A1250" s="5">
        <v>1189</v>
      </c>
      <c r="B1250" s="138">
        <f>'Expenditures 15-22'!F151</f>
        <v>51634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16163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16163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16163</v>
      </c>
      <c r="C1258" s="2" t="s">
        <v>573</v>
      </c>
      <c r="D1258" s="2" t="str">
        <f t="shared" si="18"/>
        <v>Error?</v>
      </c>
    </row>
    <row r="1259" spans="1:4" x14ac:dyDescent="0.2">
      <c r="A1259" s="5">
        <v>1198</v>
      </c>
      <c r="B1259" s="138">
        <f>'Expenditures 15-22'!G151</f>
        <v>16163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1004</v>
      </c>
      <c r="D1262" s="2" t="str">
        <f t="shared" si="18"/>
        <v>Error?</v>
      </c>
    </row>
    <row r="1263" spans="1:4" x14ac:dyDescent="0.2">
      <c r="A1263" s="10">
        <v>1202</v>
      </c>
      <c r="D1263" s="2" t="str">
        <f t="shared" si="18"/>
        <v>OK</v>
      </c>
    </row>
    <row r="1264" spans="1:4" x14ac:dyDescent="0.2">
      <c r="A1264" s="5">
        <v>1203</v>
      </c>
      <c r="B1264" s="138">
        <f>'Expenditures 15-22'!H127</f>
        <v>1004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1004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1004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168934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168934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168934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168934</v>
      </c>
      <c r="C1288" s="2" t="s">
        <v>573</v>
      </c>
      <c r="D1288" s="2" t="str">
        <f t="shared" si="19"/>
        <v>Error?</v>
      </c>
    </row>
    <row r="1289" spans="1:4" x14ac:dyDescent="0.2">
      <c r="A1289" s="5">
        <v>1228</v>
      </c>
      <c r="B1289" s="138">
        <f>'Expenditures 15-22'!K152</f>
        <v>88009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30757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120042</v>
      </c>
      <c r="D1315" s="2" t="str">
        <f t="shared" si="19"/>
        <v>Error?</v>
      </c>
    </row>
    <row r="1316" spans="1:4" x14ac:dyDescent="0.2">
      <c r="A1316" s="5">
        <v>1255</v>
      </c>
      <c r="B1316" s="138">
        <f>'Expenditures 15-22'!H171</f>
        <v>1450</v>
      </c>
      <c r="D1316" s="2" t="str">
        <f t="shared" si="19"/>
        <v>Error?</v>
      </c>
    </row>
    <row r="1317" spans="1:4" x14ac:dyDescent="0.2">
      <c r="A1317" s="5">
        <v>1256</v>
      </c>
      <c r="B1317" s="138">
        <f>'Expenditures 15-22'!H172</f>
        <v>152249</v>
      </c>
      <c r="C1317" s="2" t="s">
        <v>573</v>
      </c>
      <c r="D1317" s="2" t="str">
        <f t="shared" si="19"/>
        <v>Error?</v>
      </c>
    </row>
    <row r="1318" spans="1:4" x14ac:dyDescent="0.2">
      <c r="A1318" s="5">
        <v>1257</v>
      </c>
      <c r="B1318" s="138">
        <f>'Expenditures 15-22'!H174</f>
        <v>152249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30757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120042</v>
      </c>
      <c r="C1329" s="2" t="s">
        <v>573</v>
      </c>
      <c r="D1329" s="2" t="str">
        <f t="shared" si="19"/>
        <v>Error?</v>
      </c>
    </row>
    <row r="1330" spans="1:4" x14ac:dyDescent="0.2">
      <c r="A1330" s="5">
        <v>1269</v>
      </c>
      <c r="B1330" s="138">
        <f>'Expenditures 15-22'!K171</f>
        <v>1450</v>
      </c>
      <c r="C1330" s="2" t="s">
        <v>573</v>
      </c>
      <c r="D1330" s="2" t="str">
        <f t="shared" si="19"/>
        <v>Error?</v>
      </c>
    </row>
    <row r="1331" spans="1:4" x14ac:dyDescent="0.2">
      <c r="A1331" s="5">
        <v>1270</v>
      </c>
      <c r="B1331" s="138">
        <f>'Expenditures 15-22'!K172</f>
        <v>152249</v>
      </c>
      <c r="C1331" s="2" t="s">
        <v>573</v>
      </c>
      <c r="D1331" s="2" t="str">
        <f t="shared" si="19"/>
        <v>Error?</v>
      </c>
    </row>
    <row r="1332" spans="1:4" x14ac:dyDescent="0.2">
      <c r="A1332" s="5">
        <v>1271</v>
      </c>
      <c r="B1332" s="138">
        <f>'Expenditures 15-22'!K174</f>
        <v>152249</v>
      </c>
      <c r="C1332" s="2" t="s">
        <v>573</v>
      </c>
      <c r="D1332" s="2" t="str">
        <f t="shared" si="19"/>
        <v>Error?</v>
      </c>
    </row>
    <row r="1333" spans="1:4" x14ac:dyDescent="0.2">
      <c r="A1333" s="5">
        <v>1272</v>
      </c>
      <c r="B1333" s="138">
        <f>'Expenditures 15-22'!K175</f>
        <v>-3628</v>
      </c>
      <c r="C1333" s="2" t="s">
        <v>573</v>
      </c>
      <c r="D1333" s="2" t="str">
        <f t="shared" si="19"/>
        <v>Error?</v>
      </c>
    </row>
    <row r="1334" spans="1:4" x14ac:dyDescent="0.2">
      <c r="A1334" s="10">
        <v>1273</v>
      </c>
      <c r="D1334" s="2" t="str">
        <f t="shared" si="19"/>
        <v>OK</v>
      </c>
    </row>
    <row r="1335" spans="1:4" x14ac:dyDescent="0.2">
      <c r="A1335" s="5">
        <v>1274</v>
      </c>
      <c r="B1335" s="138">
        <f>'Expenditures 15-22'!C182</f>
        <v>5120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5120</v>
      </c>
      <c r="C1339" s="2" t="s">
        <v>573</v>
      </c>
      <c r="D1339" s="2" t="str">
        <f t="shared" si="19"/>
        <v>Error?</v>
      </c>
    </row>
    <row r="1340" spans="1:4" x14ac:dyDescent="0.2">
      <c r="A1340" s="5">
        <v>1279</v>
      </c>
      <c r="B1340" s="138">
        <f>'Expenditures 15-22'!C210</f>
        <v>5120</v>
      </c>
      <c r="C1340" s="2" t="s">
        <v>573</v>
      </c>
      <c r="D1340" s="2" t="str">
        <f t="shared" si="19"/>
        <v>Error?</v>
      </c>
    </row>
    <row r="1341" spans="1:4" x14ac:dyDescent="0.2">
      <c r="A1341" s="5">
        <v>1280</v>
      </c>
      <c r="B1341" s="138">
        <f>'Expenditures 15-22'!D182</f>
        <v>1958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1958</v>
      </c>
      <c r="C1345" s="2" t="s">
        <v>573</v>
      </c>
      <c r="D1345" s="2" t="str">
        <f t="shared" si="20"/>
        <v>Error?</v>
      </c>
    </row>
    <row r="1346" spans="1:4" x14ac:dyDescent="0.2">
      <c r="A1346" s="5">
        <v>1285</v>
      </c>
      <c r="B1346" s="138">
        <f>'Expenditures 15-22'!D210</f>
        <v>1958</v>
      </c>
      <c r="C1346" s="2" t="s">
        <v>573</v>
      </c>
      <c r="D1346" s="2" t="str">
        <f t="shared" si="20"/>
        <v>Error?</v>
      </c>
    </row>
    <row r="1347" spans="1:4" x14ac:dyDescent="0.2">
      <c r="A1347" s="5">
        <v>1286</v>
      </c>
      <c r="B1347" s="138">
        <f>'Expenditures 15-22'!E182</f>
        <v>1252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1252</v>
      </c>
      <c r="C1351" s="2" t="s">
        <v>573</v>
      </c>
      <c r="D1351" s="2" t="str">
        <f t="shared" si="20"/>
        <v>Error?</v>
      </c>
    </row>
    <row r="1352" spans="1:4" x14ac:dyDescent="0.2">
      <c r="A1352" s="5">
        <v>1291</v>
      </c>
      <c r="B1352" s="138">
        <f>'Expenditures 15-22'!E196</f>
        <v>127045</v>
      </c>
      <c r="C1352" s="2" t="s">
        <v>573</v>
      </c>
      <c r="D1352" s="2" t="str">
        <f t="shared" si="20"/>
        <v>Error?</v>
      </c>
    </row>
    <row r="1353" spans="1:4" x14ac:dyDescent="0.2">
      <c r="A1353" s="5">
        <v>1292</v>
      </c>
      <c r="B1353" s="138">
        <f>'Expenditures 15-22'!E210</f>
        <v>128297</v>
      </c>
      <c r="C1353" s="2" t="s">
        <v>573</v>
      </c>
      <c r="D1353" s="2" t="str">
        <f t="shared" si="20"/>
        <v>Error?</v>
      </c>
    </row>
    <row r="1354" spans="1:4" x14ac:dyDescent="0.2">
      <c r="A1354" s="5">
        <v>1293</v>
      </c>
      <c r="B1354" s="138">
        <f>'Expenditures 15-22'!F182</f>
        <v>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v>
      </c>
      <c r="C1358" s="2" t="s">
        <v>573</v>
      </c>
      <c r="D1358" s="2" t="str">
        <f t="shared" si="20"/>
        <v>Error?</v>
      </c>
    </row>
    <row r="1359" spans="1:4" x14ac:dyDescent="0.2">
      <c r="A1359" s="5">
        <v>1298</v>
      </c>
      <c r="B1359" s="138">
        <f>'Expenditures 15-22'!F210</f>
        <v>20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8350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8350</v>
      </c>
      <c r="C1381" s="2" t="s">
        <v>573</v>
      </c>
      <c r="D1381" s="2" t="str">
        <f t="shared" si="20"/>
        <v>Error?</v>
      </c>
    </row>
    <row r="1382" spans="1:4" x14ac:dyDescent="0.2">
      <c r="A1382" s="5">
        <v>1321</v>
      </c>
      <c r="B1382" s="138">
        <f>'Expenditures 15-22'!K196</f>
        <v>127045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135395</v>
      </c>
      <c r="C1388" s="2" t="s">
        <v>573</v>
      </c>
      <c r="D1388" s="2" t="str">
        <f t="shared" si="20"/>
        <v>Error?</v>
      </c>
    </row>
    <row r="1389" spans="1:4" x14ac:dyDescent="0.2">
      <c r="A1389" s="5">
        <v>1328</v>
      </c>
      <c r="B1389" s="138">
        <f>'Expenditures 15-22'!K211</f>
        <v>10491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23754</v>
      </c>
      <c r="C1410" s="2" t="s">
        <v>573</v>
      </c>
      <c r="D1410" s="2" t="str">
        <f t="shared" si="21"/>
        <v>Error?</v>
      </c>
    </row>
    <row r="1411" spans="1:4" x14ac:dyDescent="0.2">
      <c r="A1411" s="5">
        <v>1350</v>
      </c>
      <c r="B1411" s="138">
        <f>'Expenditures 15-22'!D232</f>
        <v>54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808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703</v>
      </c>
      <c r="D1415" s="2" t="str">
        <f t="shared" si="21"/>
        <v>Error?</v>
      </c>
    </row>
    <row r="1416" spans="1:4" x14ac:dyDescent="0.2">
      <c r="A1416" s="5">
        <v>1355</v>
      </c>
      <c r="B1416" s="138">
        <f>'Expenditures 15-22'!D237</f>
        <v>446</v>
      </c>
      <c r="D1416" s="2" t="str">
        <f t="shared" si="21"/>
        <v>Error?</v>
      </c>
    </row>
    <row r="1417" spans="1:4" x14ac:dyDescent="0.2">
      <c r="A1417" s="5">
        <v>1356</v>
      </c>
      <c r="B1417" s="138">
        <f>'Expenditures 15-22'!D238</f>
        <v>2011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122</v>
      </c>
      <c r="D1422" s="2" t="str">
        <f t="shared" si="21"/>
        <v>Error?</v>
      </c>
    </row>
    <row r="1423" spans="1:4" x14ac:dyDescent="0.2">
      <c r="A1423" s="5">
        <v>1362</v>
      </c>
      <c r="B1423" s="138">
        <f>'Expenditures 15-22'!D246</f>
        <v>6886</v>
      </c>
      <c r="D1423" s="2" t="str">
        <f t="shared" si="21"/>
        <v>Error?</v>
      </c>
    </row>
    <row r="1424" spans="1:4" x14ac:dyDescent="0.2">
      <c r="A1424" s="5">
        <v>1363</v>
      </c>
      <c r="B1424" s="138">
        <f>'Expenditures 15-22'!D257</f>
        <v>7008</v>
      </c>
      <c r="C1424" s="2" t="s">
        <v>573</v>
      </c>
      <c r="D1424" s="2" t="str">
        <f t="shared" si="21"/>
        <v>Error?</v>
      </c>
    </row>
    <row r="1425" spans="1:4" x14ac:dyDescent="0.2">
      <c r="A1425" s="5">
        <v>1364</v>
      </c>
      <c r="B1425" s="138">
        <f>'Expenditures 15-22'!D259</f>
        <v>6371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6371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12986</v>
      </c>
      <c r="D1431" s="2" t="str">
        <f t="shared" si="21"/>
        <v>Error?</v>
      </c>
    </row>
    <row r="1432" spans="1:4" x14ac:dyDescent="0.2">
      <c r="A1432" s="5">
        <v>1371</v>
      </c>
      <c r="B1432" s="138">
        <f>'Expenditures 15-22'!D267</f>
        <v>74</v>
      </c>
      <c r="D1432" s="2" t="str">
        <f t="shared" si="21"/>
        <v>Error?</v>
      </c>
    </row>
    <row r="1433" spans="1:4" x14ac:dyDescent="0.2">
      <c r="A1433" s="5">
        <v>1372</v>
      </c>
      <c r="B1433" s="138">
        <f>'Expenditures 15-22'!D268</f>
        <v>6907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31916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47306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71060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1154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23754</v>
      </c>
      <c r="C1474" s="2" t="s">
        <v>573</v>
      </c>
      <c r="D1474" s="2" t="str">
        <f t="shared" si="22"/>
        <v>Error?</v>
      </c>
    </row>
    <row r="1475" spans="1:4" x14ac:dyDescent="0.2">
      <c r="A1475" s="5">
        <v>1414</v>
      </c>
      <c r="B1475" s="138">
        <f>'Expenditures 15-22'!K232</f>
        <v>54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808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703</v>
      </c>
      <c r="C1479" s="2" t="s">
        <v>573</v>
      </c>
      <c r="D1479" s="2" t="str">
        <f t="shared" si="22"/>
        <v>Error?</v>
      </c>
    </row>
    <row r="1480" spans="1:4" x14ac:dyDescent="0.2">
      <c r="A1480" s="5">
        <v>1419</v>
      </c>
      <c r="B1480" s="138">
        <f>'Expenditures 15-22'!K237</f>
        <v>446</v>
      </c>
      <c r="C1480" s="2" t="s">
        <v>573</v>
      </c>
      <c r="D1480" s="2" t="str">
        <f t="shared" si="22"/>
        <v>Error?</v>
      </c>
    </row>
    <row r="1481" spans="1:4" x14ac:dyDescent="0.2">
      <c r="A1481" s="5">
        <v>1420</v>
      </c>
      <c r="B1481" s="138">
        <f>'Expenditures 15-22'!K238</f>
        <v>2011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122</v>
      </c>
      <c r="C1486" s="2" t="s">
        <v>573</v>
      </c>
      <c r="D1486" s="2" t="str">
        <f t="shared" si="22"/>
        <v>Error?</v>
      </c>
    </row>
    <row r="1487" spans="1:4" x14ac:dyDescent="0.2">
      <c r="A1487" s="5">
        <v>1426</v>
      </c>
      <c r="B1487" s="138">
        <f>'Expenditures 15-22'!K246</f>
        <v>6886</v>
      </c>
      <c r="C1487" s="2" t="s">
        <v>573</v>
      </c>
      <c r="D1487" s="2" t="str">
        <f t="shared" si="22"/>
        <v>Error?</v>
      </c>
    </row>
    <row r="1488" spans="1:4" x14ac:dyDescent="0.2">
      <c r="A1488" s="5">
        <v>1427</v>
      </c>
      <c r="B1488" s="138">
        <f>'Expenditures 15-22'!K257</f>
        <v>7008</v>
      </c>
      <c r="C1488" s="2" t="s">
        <v>573</v>
      </c>
      <c r="D1488" s="2" t="str">
        <f t="shared" si="22"/>
        <v>Error?</v>
      </c>
    </row>
    <row r="1489" spans="1:4" x14ac:dyDescent="0.2">
      <c r="A1489" s="5">
        <v>1428</v>
      </c>
      <c r="B1489" s="138">
        <f>'Expenditures 15-22'!K259</f>
        <v>6371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6371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11949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12986</v>
      </c>
      <c r="C1495" s="2" t="s">
        <v>573</v>
      </c>
      <c r="D1495" s="2" t="str">
        <f t="shared" si="22"/>
        <v>Error?</v>
      </c>
    </row>
    <row r="1496" spans="1:4" x14ac:dyDescent="0.2">
      <c r="A1496" s="5">
        <v>1435</v>
      </c>
      <c r="B1496" s="138">
        <f>'Expenditures 15-22'!K267</f>
        <v>74</v>
      </c>
      <c r="C1496" s="2" t="s">
        <v>573</v>
      </c>
      <c r="D1496" s="2" t="str">
        <f t="shared" si="22"/>
        <v>Error?</v>
      </c>
    </row>
    <row r="1497" spans="1:4" x14ac:dyDescent="0.2">
      <c r="A1497" s="5">
        <v>1436</v>
      </c>
      <c r="B1497" s="138">
        <f>'Expenditures 15-22'!K268</f>
        <v>6907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31916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47306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71060</v>
      </c>
      <c r="C1517" s="2" t="s">
        <v>573</v>
      </c>
      <c r="D1517" s="2" t="str">
        <f t="shared" si="22"/>
        <v>Error?</v>
      </c>
    </row>
    <row r="1518" spans="1:4" x14ac:dyDescent="0.2">
      <c r="A1518" s="5">
        <v>1457</v>
      </c>
      <c r="B1518" s="138">
        <f>'Expenditures 15-22'!K296</f>
        <v>-3786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1091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1091</v>
      </c>
      <c r="C1547" s="2" t="s">
        <v>573</v>
      </c>
      <c r="D1547" s="2" t="str">
        <f t="shared" si="23"/>
        <v>Error?</v>
      </c>
    </row>
    <row r="1548" spans="1:4" x14ac:dyDescent="0.2">
      <c r="A1548" s="5">
        <v>1487</v>
      </c>
      <c r="B1548" s="138">
        <f>'Expenditures 15-22'!G312</f>
        <v>1091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1091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1091</v>
      </c>
      <c r="C1559" s="2" t="s">
        <v>573</v>
      </c>
      <c r="D1559" s="2" t="str">
        <f t="shared" si="23"/>
        <v>Error?</v>
      </c>
    </row>
    <row r="1560" spans="1:4" x14ac:dyDescent="0.2">
      <c r="A1560" s="5">
        <v>1499</v>
      </c>
      <c r="B1560" s="138">
        <f>'Expenditures 15-22'!K312</f>
        <v>1091</v>
      </c>
      <c r="C1560" s="2" t="s">
        <v>573</v>
      </c>
      <c r="D1560" s="2" t="str">
        <f t="shared" si="23"/>
        <v>Error?</v>
      </c>
    </row>
    <row r="1561" spans="1:4" x14ac:dyDescent="0.2">
      <c r="A1561" s="5">
        <v>1500</v>
      </c>
      <c r="B1561" s="138">
        <f>'Expenditures 15-22'!K313</f>
        <v>2684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2224131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2484730</v>
      </c>
      <c r="C1630" s="2" t="s">
        <v>573</v>
      </c>
      <c r="D1630" s="2" t="str">
        <f t="shared" si="24"/>
        <v>Error?</v>
      </c>
    </row>
    <row r="1631" spans="1:4" x14ac:dyDescent="0.2">
      <c r="A1631" s="5">
        <v>1570</v>
      </c>
      <c r="B1631" s="138">
        <f>'Acct Summary 7-8'!D79</f>
        <v>179549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316715</v>
      </c>
      <c r="C1644" s="2" t="s">
        <v>573</v>
      </c>
      <c r="D1644" s="2" t="str">
        <f t="shared" si="24"/>
        <v>Error?</v>
      </c>
    </row>
    <row r="1645" spans="1:4" x14ac:dyDescent="0.2">
      <c r="A1645" s="5">
        <v>1584</v>
      </c>
      <c r="B1645" s="138">
        <f>'Acct Summary 7-8'!E79</f>
        <v>88210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85425</v>
      </c>
      <c r="C1658" s="2" t="s">
        <v>573</v>
      </c>
      <c r="D1658" s="2" t="str">
        <f t="shared" si="24"/>
        <v>Error?</v>
      </c>
    </row>
    <row r="1659" spans="1:4" x14ac:dyDescent="0.2">
      <c r="A1659" s="5">
        <v>1598</v>
      </c>
      <c r="B1659" s="138">
        <f>'Acct Summary 7-8'!F79</f>
        <v>181089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191580</v>
      </c>
      <c r="C1672" s="2" t="s">
        <v>573</v>
      </c>
      <c r="D1672" s="2" t="str">
        <f t="shared" si="25"/>
        <v>Error?</v>
      </c>
    </row>
    <row r="1673" spans="1:4" x14ac:dyDescent="0.2">
      <c r="A1673" s="5">
        <v>1612</v>
      </c>
      <c r="B1673" s="138">
        <f>'Acct Summary 7-8'!G79</f>
        <v>136831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133045</v>
      </c>
      <c r="C1686" s="2" t="s">
        <v>573</v>
      </c>
      <c r="D1686" s="2" t="str">
        <f t="shared" si="25"/>
        <v>Error?</v>
      </c>
    </row>
    <row r="1687" spans="1:4" x14ac:dyDescent="0.2">
      <c r="A1687" s="5">
        <v>1626</v>
      </c>
      <c r="B1687" s="138">
        <f>'Acct Summary 7-8'!H79</f>
        <v>773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3457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1728602</v>
      </c>
      <c r="C1744" s="2" t="s">
        <v>573</v>
      </c>
      <c r="D1744" s="2" t="str">
        <f t="shared" si="26"/>
        <v>Error?</v>
      </c>
    </row>
    <row r="1745" spans="1:5" x14ac:dyDescent="0.2">
      <c r="A1745" s="5">
        <v>1684</v>
      </c>
      <c r="B1745" s="138">
        <f>'Tax Sched 23'!B5</f>
        <v>242579</v>
      </c>
      <c r="C1745" s="2" t="s">
        <v>573</v>
      </c>
      <c r="D1745" s="2" t="str">
        <f t="shared" si="26"/>
        <v>Error?</v>
      </c>
    </row>
    <row r="1746" spans="1:5" x14ac:dyDescent="0.2">
      <c r="A1746" s="5">
        <v>1685</v>
      </c>
      <c r="B1746" s="138">
        <f>'Tax Sched 23'!B6</f>
        <v>147856</v>
      </c>
      <c r="C1746" s="2" t="s">
        <v>573</v>
      </c>
      <c r="D1746" s="2" t="str">
        <f t="shared" si="26"/>
        <v>Error?</v>
      </c>
    </row>
    <row r="1747" spans="1:5" x14ac:dyDescent="0.2">
      <c r="A1747" s="5">
        <v>1686</v>
      </c>
      <c r="B1747" s="138">
        <f>'Tax Sched 23'!B7</f>
        <v>81282</v>
      </c>
      <c r="C1747" s="2" t="s">
        <v>573</v>
      </c>
      <c r="D1747" s="2" t="str">
        <f t="shared" si="26"/>
        <v>Error?</v>
      </c>
    </row>
    <row r="1748" spans="1:5" x14ac:dyDescent="0.2">
      <c r="A1748" s="5">
        <v>1687</v>
      </c>
      <c r="B1748" s="138">
        <f>'Tax Sched 23'!B8</f>
        <v>14740</v>
      </c>
      <c r="C1748" s="2" t="s">
        <v>573</v>
      </c>
      <c r="D1748" s="2" t="str">
        <f t="shared" si="26"/>
        <v>Error?</v>
      </c>
    </row>
    <row r="1749" spans="1:5" x14ac:dyDescent="0.2">
      <c r="A1749" s="5">
        <v>1688</v>
      </c>
      <c r="B1749" s="138">
        <f>'Tax Sched 23'!B10</f>
        <v>33484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28444</v>
      </c>
      <c r="C1752" s="2" t="s">
        <v>573</v>
      </c>
      <c r="D1752" s="2" t="str">
        <f t="shared" si="26"/>
        <v>Error?</v>
      </c>
    </row>
    <row r="1753" spans="1:5" x14ac:dyDescent="0.2">
      <c r="A1753" s="5">
        <v>1692</v>
      </c>
      <c r="B1753" s="138">
        <f>'Tax Sched 23'!B12</f>
        <v>45161</v>
      </c>
      <c r="C1753" s="2" t="s">
        <v>573</v>
      </c>
      <c r="D1753" s="2" t="str">
        <f t="shared" si="26"/>
        <v>Error?</v>
      </c>
    </row>
    <row r="1754" spans="1:5" x14ac:dyDescent="0.2">
      <c r="A1754" s="5">
        <v>1693</v>
      </c>
      <c r="B1754" s="138">
        <f>'Tax Sched 23'!B14</f>
        <v>12657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2380322</v>
      </c>
      <c r="C1759" s="2" t="s">
        <v>573</v>
      </c>
      <c r="D1759" s="2" t="str">
        <f t="shared" si="26"/>
        <v>Error?</v>
      </c>
    </row>
    <row r="1760" spans="1:5" x14ac:dyDescent="0.2">
      <c r="A1760" s="5">
        <v>1699</v>
      </c>
      <c r="B1760" s="138">
        <f>'Tax Sched 23'!D4</f>
        <v>805149</v>
      </c>
      <c r="C1760" s="2" t="s">
        <v>573</v>
      </c>
      <c r="D1760" s="2" t="str">
        <f t="shared" si="26"/>
        <v>Error?</v>
      </c>
    </row>
    <row r="1761" spans="1:5" x14ac:dyDescent="0.2">
      <c r="A1761" s="5">
        <v>1700</v>
      </c>
      <c r="B1761" s="138">
        <f>'Tax Sched 23'!D5</f>
        <v>103170</v>
      </c>
      <c r="C1761" s="2" t="s">
        <v>573</v>
      </c>
      <c r="D1761" s="2" t="str">
        <f t="shared" si="26"/>
        <v>Error?</v>
      </c>
    </row>
    <row r="1762" spans="1:5" s="8" customFormat="1" x14ac:dyDescent="0.2">
      <c r="A1762" s="5">
        <v>1701</v>
      </c>
      <c r="B1762" s="138">
        <f>'Tax Sched 23'!D6</f>
        <v>69761</v>
      </c>
      <c r="C1762" s="2" t="s">
        <v>573</v>
      </c>
      <c r="D1762" s="2" t="str">
        <f t="shared" si="26"/>
        <v>Error?</v>
      </c>
      <c r="E1762" s="9"/>
    </row>
    <row r="1763" spans="1:5" x14ac:dyDescent="0.2">
      <c r="A1763" s="5">
        <v>1702</v>
      </c>
      <c r="B1763" s="138">
        <f>'Tax Sched 23'!D7</f>
        <v>37857</v>
      </c>
      <c r="C1763" s="2" t="s">
        <v>573</v>
      </c>
      <c r="D1763" s="2" t="str">
        <f t="shared" si="26"/>
        <v>Error?</v>
      </c>
    </row>
    <row r="1764" spans="1:5" x14ac:dyDescent="0.2">
      <c r="A1764" s="5">
        <v>1703</v>
      </c>
      <c r="B1764" s="138">
        <f>'Tax Sched 23'!D8</f>
        <v>11903</v>
      </c>
      <c r="C1764" s="2" t="s">
        <v>573</v>
      </c>
      <c r="D1764" s="2" t="str">
        <f t="shared" si="26"/>
        <v>Error?</v>
      </c>
    </row>
    <row r="1765" spans="1:5" x14ac:dyDescent="0.2">
      <c r="A1765" s="5">
        <v>1704</v>
      </c>
      <c r="B1765" s="138">
        <f>'Tax Sched 23'!D10</f>
        <v>15595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18090</v>
      </c>
      <c r="C1768" s="2" t="s">
        <v>573</v>
      </c>
      <c r="D1768" s="2" t="str">
        <f t="shared" si="26"/>
        <v>Error?</v>
      </c>
    </row>
    <row r="1769" spans="1:5" x14ac:dyDescent="0.2">
      <c r="A1769" s="5">
        <v>1708</v>
      </c>
      <c r="B1769" s="138">
        <f>'Tax Sched 23'!D12</f>
        <v>21034</v>
      </c>
      <c r="C1769" s="2" t="s">
        <v>573</v>
      </c>
      <c r="D1769" s="2" t="str">
        <f t="shared" si="26"/>
        <v>Error?</v>
      </c>
    </row>
    <row r="1770" spans="1:5" x14ac:dyDescent="0.2">
      <c r="A1770" s="5">
        <v>1709</v>
      </c>
      <c r="B1770" s="138">
        <f>'Tax Sched 23'!D14</f>
        <v>5893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1101200</v>
      </c>
      <c r="C1775" s="2" t="s">
        <v>573</v>
      </c>
      <c r="D1775" s="2" t="str">
        <f t="shared" si="26"/>
        <v>Error?</v>
      </c>
    </row>
    <row r="1776" spans="1:5" x14ac:dyDescent="0.2">
      <c r="A1776" s="5">
        <v>1715</v>
      </c>
      <c r="B1776" s="138">
        <f>'Tax Sched 23'!C4</f>
        <v>923453</v>
      </c>
      <c r="D1776" s="2" t="str">
        <f t="shared" si="26"/>
        <v>Error?</v>
      </c>
    </row>
    <row r="1777" spans="1:4" x14ac:dyDescent="0.2">
      <c r="A1777" s="5">
        <v>1716</v>
      </c>
      <c r="B1777" s="138">
        <f>'Tax Sched 23'!C5</f>
        <v>139409</v>
      </c>
      <c r="D1777" s="2" t="str">
        <f t="shared" si="26"/>
        <v>Error?</v>
      </c>
    </row>
    <row r="1778" spans="1:4" x14ac:dyDescent="0.2">
      <c r="A1778" s="5">
        <v>1717</v>
      </c>
      <c r="B1778" s="138">
        <f>'Tax Sched 23'!C6</f>
        <v>78095</v>
      </c>
      <c r="D1778" s="2" t="str">
        <f t="shared" si="26"/>
        <v>Error?</v>
      </c>
    </row>
    <row r="1779" spans="1:4" x14ac:dyDescent="0.2">
      <c r="A1779" s="5">
        <v>1718</v>
      </c>
      <c r="B1779" s="138">
        <f>'Tax Sched 23'!C7</f>
        <v>43425</v>
      </c>
      <c r="D1779" s="2" t="str">
        <f t="shared" si="26"/>
        <v>Error?</v>
      </c>
    </row>
    <row r="1780" spans="1:4" x14ac:dyDescent="0.2">
      <c r="A1780" s="5">
        <v>1719</v>
      </c>
      <c r="B1780" s="138">
        <f>'Tax Sched 23'!C8</f>
        <v>2837</v>
      </c>
      <c r="D1780" s="2" t="str">
        <f t="shared" si="26"/>
        <v>Error?</v>
      </c>
    </row>
    <row r="1781" spans="1:4" x14ac:dyDescent="0.2">
      <c r="A1781" s="5">
        <v>1720</v>
      </c>
      <c r="B1781" s="138">
        <f>'Tax Sched 23'!C10</f>
        <v>17889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10354</v>
      </c>
      <c r="D1784" s="2" t="str">
        <f t="shared" si="26"/>
        <v>Error?</v>
      </c>
    </row>
    <row r="1785" spans="1:4" x14ac:dyDescent="0.2">
      <c r="A1785" s="5">
        <v>1724</v>
      </c>
      <c r="B1785" s="138">
        <f>'Tax Sched 23'!C12</f>
        <v>24127</v>
      </c>
      <c r="D1785" s="2" t="str">
        <f t="shared" si="26"/>
        <v>Error?</v>
      </c>
    </row>
    <row r="1786" spans="1:4" x14ac:dyDescent="0.2">
      <c r="A1786" s="5">
        <v>1725</v>
      </c>
      <c r="B1786" s="138">
        <f>'Tax Sched 23'!C14</f>
        <v>6764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1279122</v>
      </c>
      <c r="C1791" s="2" t="s">
        <v>573</v>
      </c>
      <c r="D1791" s="2" t="str">
        <f t="shared" ref="D1791:D1854" si="27">IF(ISBLANK(B1791),"OK",IF(A1791-B1791=0,"OK","Error?"))</f>
        <v>Error?</v>
      </c>
    </row>
    <row r="1792" spans="1:4" x14ac:dyDescent="0.2">
      <c r="A1792" s="5">
        <v>1731</v>
      </c>
      <c r="B1792" s="138">
        <f>'Tax Sched 23'!F4</f>
        <v>848016</v>
      </c>
      <c r="C1792" s="2" t="s">
        <v>573</v>
      </c>
      <c r="D1792" s="2" t="str">
        <f t="shared" si="27"/>
        <v>Error?</v>
      </c>
    </row>
    <row r="1793" spans="1:4" x14ac:dyDescent="0.2">
      <c r="A1793" s="5">
        <v>1732</v>
      </c>
      <c r="B1793" s="138">
        <f>'Tax Sched 23'!F5</f>
        <v>128020</v>
      </c>
      <c r="C1793" s="2" t="s">
        <v>573</v>
      </c>
      <c r="D1793" s="2" t="str">
        <f t="shared" si="27"/>
        <v>Error?</v>
      </c>
    </row>
    <row r="1794" spans="1:4" x14ac:dyDescent="0.2">
      <c r="A1794" s="5">
        <v>1733</v>
      </c>
      <c r="B1794" s="138">
        <f>'Tax Sched 23'!F6</f>
        <v>71780</v>
      </c>
      <c r="C1794" s="2" t="s">
        <v>573</v>
      </c>
      <c r="D1794" s="2" t="str">
        <f t="shared" si="27"/>
        <v>Error?</v>
      </c>
    </row>
    <row r="1795" spans="1:4" x14ac:dyDescent="0.2">
      <c r="A1795" s="5">
        <v>1734</v>
      </c>
      <c r="B1795" s="138">
        <f>'Tax Sched 23'!F7</f>
        <v>39878</v>
      </c>
      <c r="C1795" s="2" t="s">
        <v>573</v>
      </c>
      <c r="D1795" s="2" t="str">
        <f t="shared" si="27"/>
        <v>Error?</v>
      </c>
    </row>
    <row r="1796" spans="1:4" x14ac:dyDescent="0.2">
      <c r="A1796" s="5">
        <v>1735</v>
      </c>
      <c r="B1796" s="138">
        <f>'Tax Sched 23'!F8</f>
        <v>2604</v>
      </c>
      <c r="C1796" s="2" t="s">
        <v>573</v>
      </c>
      <c r="D1796" s="2" t="str">
        <f t="shared" si="27"/>
        <v>Error?</v>
      </c>
    </row>
    <row r="1797" spans="1:4" x14ac:dyDescent="0.2">
      <c r="A1797" s="5">
        <v>1736</v>
      </c>
      <c r="B1797" s="138">
        <f>'Tax Sched 23'!F10</f>
        <v>16425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9509</v>
      </c>
      <c r="C1800" s="2" t="s">
        <v>573</v>
      </c>
      <c r="D1800" s="2" t="str">
        <f t="shared" si="27"/>
        <v>Error?</v>
      </c>
    </row>
    <row r="1801" spans="1:4" x14ac:dyDescent="0.2">
      <c r="A1801" s="5">
        <v>1740</v>
      </c>
      <c r="B1801" s="138">
        <f>'Tax Sched 23'!F12</f>
        <v>22156</v>
      </c>
      <c r="C1801" s="2" t="s">
        <v>573</v>
      </c>
      <c r="D1801" s="2" t="str">
        <f t="shared" si="27"/>
        <v>Error?</v>
      </c>
    </row>
    <row r="1802" spans="1:4" x14ac:dyDescent="0.2">
      <c r="A1802" s="5">
        <v>1741</v>
      </c>
      <c r="B1802" s="138">
        <f>'Tax Sched 23'!F14</f>
        <v>6210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1174687</v>
      </c>
      <c r="C1807" s="2" t="s">
        <v>573</v>
      </c>
      <c r="D1807" s="2" t="str">
        <f t="shared" si="27"/>
        <v>Error?</v>
      </c>
    </row>
    <row r="1808" spans="1:4" x14ac:dyDescent="0.2">
      <c r="A1808" s="5">
        <v>1747</v>
      </c>
      <c r="B1808" s="138">
        <f>'Tax Sched 23'!E4</f>
        <v>1771469</v>
      </c>
      <c r="D1808" s="2" t="str">
        <f t="shared" si="27"/>
        <v>Error?</v>
      </c>
    </row>
    <row r="1809" spans="1:4" x14ac:dyDescent="0.2">
      <c r="A1809" s="5">
        <v>1748</v>
      </c>
      <c r="B1809" s="138">
        <f>'Tax Sched 23'!E5</f>
        <v>267429</v>
      </c>
      <c r="D1809" s="2" t="str">
        <f t="shared" si="27"/>
        <v>Error?</v>
      </c>
    </row>
    <row r="1810" spans="1:4" x14ac:dyDescent="0.2">
      <c r="A1810" s="5">
        <v>1749</v>
      </c>
      <c r="B1810" s="138">
        <f>'Tax Sched 23'!E6</f>
        <v>149875</v>
      </c>
      <c r="D1810" s="2" t="str">
        <f t="shared" si="27"/>
        <v>Error?</v>
      </c>
    </row>
    <row r="1811" spans="1:4" x14ac:dyDescent="0.2">
      <c r="A1811" s="5">
        <v>1750</v>
      </c>
      <c r="B1811" s="138">
        <f>'Tax Sched 23'!E7</f>
        <v>83303</v>
      </c>
      <c r="D1811" s="2" t="str">
        <f t="shared" si="27"/>
        <v>Error?</v>
      </c>
    </row>
    <row r="1812" spans="1:4" x14ac:dyDescent="0.2">
      <c r="A1812" s="5">
        <v>1751</v>
      </c>
      <c r="B1812" s="138">
        <f>'Tax Sched 23'!E8</f>
        <v>5441</v>
      </c>
      <c r="D1812" s="2" t="str">
        <f t="shared" si="27"/>
        <v>Error?</v>
      </c>
    </row>
    <row r="1813" spans="1:4" x14ac:dyDescent="0.2">
      <c r="A1813" s="5">
        <v>1752</v>
      </c>
      <c r="B1813" s="138">
        <f>'Tax Sched 23'!E10</f>
        <v>34314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19863</v>
      </c>
      <c r="D1816" s="2" t="str">
        <f t="shared" si="27"/>
        <v>Error?</v>
      </c>
    </row>
    <row r="1817" spans="1:4" x14ac:dyDescent="0.2">
      <c r="A1817" s="5">
        <v>1756</v>
      </c>
      <c r="B1817" s="138">
        <f>'Tax Sched 23'!E12</f>
        <v>46283</v>
      </c>
      <c r="D1817" s="2" t="str">
        <f t="shared" si="27"/>
        <v>Error?</v>
      </c>
    </row>
    <row r="1818" spans="1:4" x14ac:dyDescent="0.2">
      <c r="A1818" s="5">
        <v>1757</v>
      </c>
      <c r="B1818" s="138">
        <f>'Tax Sched 23'!E14</f>
        <v>12974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2453809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1153785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12657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12657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12657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56122</v>
      </c>
      <c r="D2008" s="2" t="str">
        <f t="shared" si="30"/>
        <v>Error?</v>
      </c>
    </row>
    <row r="2009" spans="1:4" x14ac:dyDescent="0.2">
      <c r="A2009" s="5">
        <v>1948</v>
      </c>
      <c r="B2009" s="138">
        <f>'Cap Outlay Deprec 26'!C8</f>
        <v>2841226</v>
      </c>
      <c r="D2009" s="2" t="str">
        <f t="shared" si="30"/>
        <v>Error?</v>
      </c>
    </row>
    <row r="2010" spans="1:4" x14ac:dyDescent="0.2">
      <c r="A2010" s="5">
        <v>1949</v>
      </c>
      <c r="B2010" s="138">
        <f>'Cap Outlay Deprec 26'!C10</f>
        <v>223967</v>
      </c>
      <c r="D2010" s="2" t="str">
        <f t="shared" si="30"/>
        <v>Error?</v>
      </c>
    </row>
    <row r="2011" spans="1:4" x14ac:dyDescent="0.2">
      <c r="A2011" s="5">
        <v>1950</v>
      </c>
      <c r="B2011" s="138">
        <f>'Cap Outlay Deprec 26'!C12</f>
        <v>250542</v>
      </c>
      <c r="D2011" s="2" t="str">
        <f t="shared" si="30"/>
        <v>Error?</v>
      </c>
    </row>
    <row r="2012" spans="1:4" x14ac:dyDescent="0.2">
      <c r="A2012" s="5">
        <v>1951</v>
      </c>
      <c r="B2012" s="138">
        <f>'Cap Outlay Deprec 26'!C13</f>
        <v>38797</v>
      </c>
      <c r="D2012" s="2" t="str">
        <f t="shared" si="30"/>
        <v>Error?</v>
      </c>
    </row>
    <row r="2013" spans="1:4" x14ac:dyDescent="0.2">
      <c r="A2013" s="5">
        <v>1952</v>
      </c>
      <c r="B2013" s="138">
        <f>'Cap Outlay Deprec 26'!C16</f>
        <v>3410654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11759</v>
      </c>
      <c r="D2015" s="2" t="str">
        <f t="shared" si="30"/>
        <v>Error?</v>
      </c>
    </row>
    <row r="2016" spans="1:4" x14ac:dyDescent="0.2">
      <c r="A2016" s="5">
        <v>1955</v>
      </c>
      <c r="B2016" s="138">
        <f>'Cap Outlay Deprec 26'!D10</f>
        <v>7600</v>
      </c>
      <c r="D2016" s="2" t="str">
        <f t="shared" si="30"/>
        <v>Error?</v>
      </c>
    </row>
    <row r="2017" spans="1:4" x14ac:dyDescent="0.2">
      <c r="A2017" s="5">
        <v>1956</v>
      </c>
      <c r="B2017" s="138">
        <f>'Cap Outlay Deprec 26'!D12</f>
        <v>26273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45632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56122</v>
      </c>
      <c r="C2026" s="2" t="s">
        <v>573</v>
      </c>
      <c r="D2026" s="2" t="str">
        <f t="shared" si="30"/>
        <v>Error?</v>
      </c>
    </row>
    <row r="2027" spans="1:4" x14ac:dyDescent="0.2">
      <c r="A2027" s="5">
        <v>1966</v>
      </c>
      <c r="B2027" s="138">
        <f>'Cap Outlay Deprec 26'!F8</f>
        <v>2852985</v>
      </c>
      <c r="C2027" s="2" t="s">
        <v>573</v>
      </c>
      <c r="D2027" s="2" t="str">
        <f t="shared" si="30"/>
        <v>Error?</v>
      </c>
    </row>
    <row r="2028" spans="1:4" x14ac:dyDescent="0.2">
      <c r="A2028" s="5">
        <v>1967</v>
      </c>
      <c r="B2028" s="138">
        <f>'Cap Outlay Deprec 26'!F10</f>
        <v>231567</v>
      </c>
      <c r="C2028" s="2" t="s">
        <v>573</v>
      </c>
      <c r="D2028" s="2" t="str">
        <f t="shared" si="30"/>
        <v>Error?</v>
      </c>
    </row>
    <row r="2029" spans="1:4" x14ac:dyDescent="0.2">
      <c r="A2029" s="5">
        <v>1968</v>
      </c>
      <c r="B2029" s="138">
        <f>'Cap Outlay Deprec 26'!F12</f>
        <v>276815</v>
      </c>
      <c r="C2029" s="2" t="s">
        <v>573</v>
      </c>
      <c r="D2029" s="2" t="str">
        <f t="shared" si="30"/>
        <v>Error?</v>
      </c>
    </row>
    <row r="2030" spans="1:4" x14ac:dyDescent="0.2">
      <c r="A2030" s="5">
        <v>1969</v>
      </c>
      <c r="B2030" s="138">
        <f>'Cap Outlay Deprec 26'!F13</f>
        <v>38797</v>
      </c>
      <c r="C2030" s="2" t="s">
        <v>573</v>
      </c>
      <c r="D2030" s="2" t="str">
        <f t="shared" si="30"/>
        <v>Error?</v>
      </c>
    </row>
    <row r="2031" spans="1:4" x14ac:dyDescent="0.2">
      <c r="A2031" s="5">
        <v>1970</v>
      </c>
      <c r="B2031" s="138">
        <f>'Cap Outlay Deprec 26'!F16</f>
        <v>3456286</v>
      </c>
      <c r="C2031" s="2" t="s">
        <v>573</v>
      </c>
      <c r="D2031" s="2" t="str">
        <f t="shared" si="30"/>
        <v>Error?</v>
      </c>
    </row>
    <row r="2032" spans="1:4" x14ac:dyDescent="0.2">
      <c r="A2032" s="10">
        <v>1971</v>
      </c>
      <c r="D2032" s="2" t="str">
        <f t="shared" si="30"/>
        <v>OK</v>
      </c>
    </row>
    <row r="2033" spans="1:4" x14ac:dyDescent="0.2">
      <c r="A2033" s="5">
        <v>1972</v>
      </c>
      <c r="B2033" s="138">
        <f>'Cap Outlay Deprec 26'!H8</f>
        <v>1335101</v>
      </c>
      <c r="D2033" s="2" t="str">
        <f t="shared" si="30"/>
        <v>Error?</v>
      </c>
    </row>
    <row r="2034" spans="1:4" x14ac:dyDescent="0.2">
      <c r="A2034" s="5">
        <v>1973</v>
      </c>
      <c r="B2034" s="138">
        <f>'Cap Outlay Deprec 26'!H10</f>
        <v>136745</v>
      </c>
      <c r="D2034" s="2" t="str">
        <f t="shared" si="30"/>
        <v>Error?</v>
      </c>
    </row>
    <row r="2035" spans="1:4" x14ac:dyDescent="0.2">
      <c r="A2035" s="5">
        <v>1974</v>
      </c>
      <c r="B2035" s="138">
        <f>'Cap Outlay Deprec 26'!H12</f>
        <v>189233</v>
      </c>
      <c r="D2035" s="2" t="str">
        <f t="shared" si="30"/>
        <v>Error?</v>
      </c>
    </row>
    <row r="2036" spans="1:4" x14ac:dyDescent="0.2">
      <c r="A2036" s="5">
        <v>1975</v>
      </c>
      <c r="B2036" s="138">
        <f>'Cap Outlay Deprec 26'!H13</f>
        <v>38797</v>
      </c>
      <c r="D2036" s="2" t="str">
        <f t="shared" si="30"/>
        <v>Error?</v>
      </c>
    </row>
    <row r="2037" spans="1:4" x14ac:dyDescent="0.2">
      <c r="A2037" s="5">
        <v>1976</v>
      </c>
      <c r="B2037" s="138">
        <f>'Cap Outlay Deprec 26'!H16</f>
        <v>1699876</v>
      </c>
      <c r="C2037" s="2" t="s">
        <v>573</v>
      </c>
      <c r="D2037" s="2" t="str">
        <f t="shared" si="30"/>
        <v>Error?</v>
      </c>
    </row>
    <row r="2038" spans="1:4" x14ac:dyDescent="0.2">
      <c r="A2038" s="10">
        <v>1977</v>
      </c>
      <c r="D2038" s="2" t="str">
        <f t="shared" si="30"/>
        <v>OK</v>
      </c>
    </row>
    <row r="2039" spans="1:4" x14ac:dyDescent="0.2">
      <c r="A2039" s="5">
        <v>1978</v>
      </c>
      <c r="B2039" s="138">
        <f>'Cap Outlay Deprec 26'!I8</f>
        <v>75206</v>
      </c>
      <c r="D2039" s="2" t="str">
        <f t="shared" si="30"/>
        <v>Error?</v>
      </c>
    </row>
    <row r="2040" spans="1:4" x14ac:dyDescent="0.2">
      <c r="A2040" s="5">
        <v>1979</v>
      </c>
      <c r="B2040" s="138">
        <f>'Cap Outlay Deprec 26'!I10</f>
        <v>13688</v>
      </c>
      <c r="D2040" s="2" t="str">
        <f t="shared" si="30"/>
        <v>Error?</v>
      </c>
    </row>
    <row r="2041" spans="1:4" x14ac:dyDescent="0.2">
      <c r="A2041" s="5">
        <v>1980</v>
      </c>
      <c r="B2041" s="138">
        <f>'Cap Outlay Deprec 26'!I12</f>
        <v>30939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119833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1410307</v>
      </c>
      <c r="C2051" s="2" t="s">
        <v>573</v>
      </c>
      <c r="D2051" s="2" t="str">
        <f t="shared" si="31"/>
        <v>Error?</v>
      </c>
    </row>
    <row r="2052" spans="1:4" x14ac:dyDescent="0.2">
      <c r="A2052" s="5">
        <v>1991</v>
      </c>
      <c r="B2052" s="138">
        <f>'Cap Outlay Deprec 26'!K10</f>
        <v>150433</v>
      </c>
      <c r="C2052" s="2" t="s">
        <v>573</v>
      </c>
      <c r="D2052" s="2" t="str">
        <f t="shared" si="31"/>
        <v>Error?</v>
      </c>
    </row>
    <row r="2053" spans="1:4" x14ac:dyDescent="0.2">
      <c r="A2053" s="5">
        <v>1992</v>
      </c>
      <c r="B2053" s="138">
        <f>'Cap Outlay Deprec 26'!K12</f>
        <v>220172</v>
      </c>
      <c r="C2053" s="2" t="s">
        <v>573</v>
      </c>
      <c r="D2053" s="2" t="str">
        <f t="shared" si="31"/>
        <v>Error?</v>
      </c>
    </row>
    <row r="2054" spans="1:4" x14ac:dyDescent="0.2">
      <c r="A2054" s="5">
        <v>1993</v>
      </c>
      <c r="B2054" s="138">
        <f>'Cap Outlay Deprec 26'!K13</f>
        <v>38797</v>
      </c>
      <c r="C2054" s="2" t="s">
        <v>573</v>
      </c>
      <c r="D2054" s="2" t="str">
        <f t="shared" si="31"/>
        <v>Error?</v>
      </c>
    </row>
    <row r="2055" spans="1:4" x14ac:dyDescent="0.2">
      <c r="A2055" s="5">
        <v>1994</v>
      </c>
      <c r="B2055" s="138">
        <f>'Cap Outlay Deprec 26'!K16</f>
        <v>1819709</v>
      </c>
      <c r="C2055" s="2" t="s">
        <v>573</v>
      </c>
      <c r="D2055" s="2" t="str">
        <f t="shared" si="31"/>
        <v>Error?</v>
      </c>
    </row>
    <row r="2056" spans="1:4" x14ac:dyDescent="0.2">
      <c r="A2056" s="5">
        <v>1995</v>
      </c>
      <c r="B2056" s="138">
        <f>'Cap Outlay Deprec 26'!L5</f>
        <v>56122</v>
      </c>
      <c r="C2056" s="2" t="s">
        <v>573</v>
      </c>
      <c r="D2056" s="2" t="str">
        <f t="shared" si="31"/>
        <v>Error?</v>
      </c>
    </row>
    <row r="2057" spans="1:4" x14ac:dyDescent="0.2">
      <c r="A2057" s="5">
        <v>1996</v>
      </c>
      <c r="B2057" s="138">
        <f>'Cap Outlay Deprec 26'!L8</f>
        <v>1442678</v>
      </c>
      <c r="C2057" s="2" t="s">
        <v>573</v>
      </c>
      <c r="D2057" s="2" t="str">
        <f t="shared" si="31"/>
        <v>Error?</v>
      </c>
    </row>
    <row r="2058" spans="1:4" x14ac:dyDescent="0.2">
      <c r="A2058" s="5">
        <v>1997</v>
      </c>
      <c r="B2058" s="138">
        <f>'Cap Outlay Deprec 26'!L10</f>
        <v>81134</v>
      </c>
      <c r="C2058" s="2" t="s">
        <v>573</v>
      </c>
      <c r="D2058" s="2" t="str">
        <f t="shared" si="31"/>
        <v>Error?</v>
      </c>
    </row>
    <row r="2059" spans="1:4" x14ac:dyDescent="0.2">
      <c r="A2059" s="5">
        <v>1998</v>
      </c>
      <c r="B2059" s="138">
        <f>'Cap Outlay Deprec 26'!L12</f>
        <v>56643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1636577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232196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106762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227237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1948448</v>
      </c>
      <c r="C2551" s="2" t="s">
        <v>573</v>
      </c>
      <c r="D2551" s="2" t="str">
        <f t="shared" si="38"/>
        <v>Error?</v>
      </c>
    </row>
    <row r="2552" spans="1:4" x14ac:dyDescent="0.2">
      <c r="A2552" s="10">
        <v>2491</v>
      </c>
      <c r="D2552" s="2" t="str">
        <f t="shared" si="38"/>
        <v>OK</v>
      </c>
    </row>
    <row r="2553" spans="1:4" x14ac:dyDescent="0.2">
      <c r="A2553" s="5">
        <v>2492</v>
      </c>
      <c r="B2553" s="138">
        <f>'Acct Summary 7-8'!C6</f>
        <v>196519</v>
      </c>
      <c r="C2553" s="2" t="s">
        <v>573</v>
      </c>
      <c r="D2553" s="2" t="str">
        <f t="shared" si="38"/>
        <v>Error?</v>
      </c>
    </row>
    <row r="2554" spans="1:4" x14ac:dyDescent="0.2">
      <c r="A2554" s="5">
        <v>2493</v>
      </c>
      <c r="B2554" s="138">
        <f>'Acct Summary 7-8'!C7</f>
        <v>115541</v>
      </c>
      <c r="C2554" s="2" t="s">
        <v>573</v>
      </c>
      <c r="D2554" s="2" t="str">
        <f t="shared" si="38"/>
        <v>Error?</v>
      </c>
    </row>
    <row r="2555" spans="1:4" x14ac:dyDescent="0.2">
      <c r="A2555" s="5">
        <v>2494</v>
      </c>
      <c r="B2555" s="138">
        <f>'Acct Summary 7-8'!C8</f>
        <v>2278675</v>
      </c>
      <c r="C2555" s="2" t="s">
        <v>573</v>
      </c>
      <c r="D2555" s="2" t="str">
        <f t="shared" si="38"/>
        <v>Error?</v>
      </c>
    </row>
    <row r="2556" spans="1:4" x14ac:dyDescent="0.2">
      <c r="A2556" s="5">
        <v>2495</v>
      </c>
      <c r="B2556" s="138">
        <f>'Acct Summary 7-8'!C12</f>
        <v>1057060</v>
      </c>
      <c r="C2556" s="2" t="s">
        <v>573</v>
      </c>
      <c r="D2556" s="2" t="str">
        <f t="shared" si="38"/>
        <v>Error?</v>
      </c>
    </row>
    <row r="2557" spans="1:4" x14ac:dyDescent="0.2">
      <c r="A2557" s="5">
        <v>2496</v>
      </c>
      <c r="B2557" s="138">
        <f>'Acct Summary 7-8'!C13</f>
        <v>678778</v>
      </c>
      <c r="C2557" s="2" t="s">
        <v>573</v>
      </c>
      <c r="D2557" s="2" t="str">
        <f t="shared" si="38"/>
        <v>Error?</v>
      </c>
    </row>
    <row r="2558" spans="1:4" x14ac:dyDescent="0.2">
      <c r="A2558" s="5">
        <v>2497</v>
      </c>
      <c r="B2558" s="138">
        <f>'Acct Summary 7-8'!C14</f>
        <v>42</v>
      </c>
      <c r="C2558" s="2" t="s">
        <v>573</v>
      </c>
      <c r="D2558" s="2" t="str">
        <f t="shared" si="38"/>
        <v>Error?</v>
      </c>
    </row>
    <row r="2559" spans="1:4" x14ac:dyDescent="0.2">
      <c r="A2559" s="5">
        <v>2498</v>
      </c>
      <c r="B2559" s="138">
        <f>'Acct Summary 7-8'!C15</f>
        <v>232196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1968076</v>
      </c>
      <c r="C2561" s="2" t="s">
        <v>573</v>
      </c>
      <c r="D2561" s="2" t="str">
        <f t="shared" si="39"/>
        <v>Error?</v>
      </c>
    </row>
    <row r="2562" spans="1:4" x14ac:dyDescent="0.2">
      <c r="A2562" s="5">
        <v>2501</v>
      </c>
      <c r="B2562" s="138">
        <f>'Acct Summary 7-8'!C20</f>
        <v>310599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251483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5460</v>
      </c>
      <c r="C2567" s="2" t="s">
        <v>573</v>
      </c>
      <c r="D2567" s="2" t="str">
        <f t="shared" si="39"/>
        <v>Error?</v>
      </c>
    </row>
    <row r="2568" spans="1:4" x14ac:dyDescent="0.2">
      <c r="A2568" s="5">
        <v>2507</v>
      </c>
      <c r="B2568" s="138">
        <f>'Acct Summary 7-8'!D8</f>
        <v>256943</v>
      </c>
      <c r="C2568" s="2" t="s">
        <v>573</v>
      </c>
      <c r="D2568" s="2" t="str">
        <f t="shared" si="39"/>
        <v>Error?</v>
      </c>
    </row>
    <row r="2569" spans="1:4" x14ac:dyDescent="0.2">
      <c r="A2569" s="5">
        <v>2508</v>
      </c>
      <c r="B2569" s="138">
        <f>'Acct Summary 7-8'!D13</f>
        <v>168934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168934</v>
      </c>
      <c r="C2573" s="2" t="s">
        <v>573</v>
      </c>
      <c r="D2573" s="2" t="str">
        <f t="shared" si="39"/>
        <v>Error?</v>
      </c>
    </row>
    <row r="2574" spans="1:4" x14ac:dyDescent="0.2">
      <c r="A2574" s="5">
        <v>2513</v>
      </c>
      <c r="B2574" s="138">
        <f>'Acct Summary 7-8'!D20</f>
        <v>88009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84466</v>
      </c>
      <c r="C2591" s="2" t="s">
        <v>573</v>
      </c>
      <c r="D2591" s="2" t="str">
        <f t="shared" si="39"/>
        <v>Error?</v>
      </c>
    </row>
    <row r="2592" spans="1:4" x14ac:dyDescent="0.2">
      <c r="A2592" s="10">
        <v>2531</v>
      </c>
      <c r="D2592" s="2" t="str">
        <f t="shared" si="39"/>
        <v>OK</v>
      </c>
    </row>
    <row r="2593" spans="1:4" x14ac:dyDescent="0.2">
      <c r="A2593" s="5">
        <v>2532</v>
      </c>
      <c r="B2593" s="138">
        <f>'Acct Summary 7-8'!F6</f>
        <v>61420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145886</v>
      </c>
      <c r="C2595" s="2" t="s">
        <v>573</v>
      </c>
      <c r="D2595" s="2" t="str">
        <f t="shared" si="39"/>
        <v>Error?</v>
      </c>
    </row>
    <row r="2596" spans="1:4" x14ac:dyDescent="0.2">
      <c r="A2596" s="5">
        <v>2535</v>
      </c>
      <c r="B2596" s="138">
        <f>'Acct Summary 7-8'!F13</f>
        <v>8350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127045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135395</v>
      </c>
      <c r="C2600" s="2" t="s">
        <v>573</v>
      </c>
      <c r="D2600" s="2" t="str">
        <f t="shared" si="39"/>
        <v>Error?</v>
      </c>
    </row>
    <row r="2601" spans="1:4" x14ac:dyDescent="0.2">
      <c r="A2601" s="5">
        <v>2540</v>
      </c>
      <c r="B2601" s="138">
        <f>'Acct Summary 7-8'!F20</f>
        <v>10491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67274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67274</v>
      </c>
      <c r="C2606" s="2" t="s">
        <v>573</v>
      </c>
      <c r="D2606" s="2" t="str">
        <f t="shared" si="39"/>
        <v>Error?</v>
      </c>
    </row>
    <row r="2607" spans="1:4" x14ac:dyDescent="0.2">
      <c r="A2607" s="5">
        <v>2546</v>
      </c>
      <c r="B2607" s="138">
        <f>'Acct Summary 7-8'!G12</f>
        <v>23754</v>
      </c>
      <c r="C2607" s="2" t="s">
        <v>573</v>
      </c>
      <c r="D2607" s="2" t="str">
        <f t="shared" si="39"/>
        <v>Error?</v>
      </c>
    </row>
    <row r="2608" spans="1:4" x14ac:dyDescent="0.2">
      <c r="A2608" s="5">
        <v>2547</v>
      </c>
      <c r="B2608" s="138">
        <f>'Acct Summary 7-8'!G13</f>
        <v>47306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71060</v>
      </c>
      <c r="C2612" s="2" t="s">
        <v>573</v>
      </c>
      <c r="D2612" s="2" t="str">
        <f t="shared" si="39"/>
        <v>Error?</v>
      </c>
    </row>
    <row r="2613" spans="1:4" x14ac:dyDescent="0.2">
      <c r="A2613" s="5">
        <v>2552</v>
      </c>
      <c r="B2613" s="138">
        <f>'Acct Summary 7-8'!G20</f>
        <v>-3786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148621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148621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152249</v>
      </c>
      <c r="C2634" s="2" t="s">
        <v>573</v>
      </c>
      <c r="D2634" s="2" t="str">
        <f t="shared" si="40"/>
        <v>Error?</v>
      </c>
    </row>
    <row r="2635" spans="1:4" x14ac:dyDescent="0.2">
      <c r="A2635" s="5">
        <v>2574</v>
      </c>
      <c r="B2635" s="138">
        <f>'Acct Summary 7-8'!E17</f>
        <v>152249</v>
      </c>
      <c r="C2635" s="2" t="s">
        <v>573</v>
      </c>
      <c r="D2635" s="2" t="str">
        <f t="shared" si="40"/>
        <v>Error?</v>
      </c>
    </row>
    <row r="2636" spans="1:4" x14ac:dyDescent="0.2">
      <c r="A2636" s="5">
        <v>2575</v>
      </c>
      <c r="B2636" s="138">
        <f>'Acct Summary 7-8'!E20</f>
        <v>-3628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3775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3775</v>
      </c>
      <c r="C2658" s="2" t="s">
        <v>573</v>
      </c>
      <c r="D2658" s="2" t="str">
        <f t="shared" si="40"/>
        <v>Error?</v>
      </c>
    </row>
    <row r="2659" spans="1:4" x14ac:dyDescent="0.2">
      <c r="A2659" s="5">
        <v>2598</v>
      </c>
      <c r="B2659" s="138">
        <f>'Acct Summary 7-8'!H13</f>
        <v>1091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1091</v>
      </c>
      <c r="C2661" s="2" t="s">
        <v>573</v>
      </c>
      <c r="D2661" s="2" t="str">
        <f t="shared" si="40"/>
        <v>Error?</v>
      </c>
    </row>
    <row r="2662" spans="1:4" x14ac:dyDescent="0.2">
      <c r="A2662" s="5">
        <v>2601</v>
      </c>
      <c r="B2662" s="138">
        <f>'Acct Summary 7-8'!H20</f>
        <v>2684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232196</v>
      </c>
      <c r="C2789" s="2" t="s">
        <v>573</v>
      </c>
      <c r="D2789" s="2" t="str">
        <f t="shared" si="42"/>
        <v>Error?</v>
      </c>
    </row>
    <row r="2790" spans="1:4" x14ac:dyDescent="0.2">
      <c r="A2790" s="5">
        <v>2729</v>
      </c>
      <c r="B2790" s="138">
        <f>'Expenditures 15-22'!E102</f>
        <v>232196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127045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127045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104733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104733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1118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104733</v>
      </c>
      <c r="D2912" s="2" t="str">
        <f t="shared" si="44"/>
        <v>Error?</v>
      </c>
    </row>
    <row r="2913" spans="1:4" x14ac:dyDescent="0.2">
      <c r="A2913" s="5">
        <v>2852</v>
      </c>
      <c r="B2913" s="138">
        <f>'Assets-Liab 5-6'!I41</f>
        <v>104733</v>
      </c>
      <c r="C2913" s="2" t="s">
        <v>573</v>
      </c>
      <c r="D2913" s="2" t="str">
        <f t="shared" si="44"/>
        <v>Error?</v>
      </c>
    </row>
    <row r="2914" spans="1:4" x14ac:dyDescent="0.2">
      <c r="A2914" s="5">
        <v>2853</v>
      </c>
      <c r="B2914" s="138">
        <f>'Assets-Liab 5-6'!L33</f>
        <v>1118</v>
      </c>
      <c r="D2914" s="2" t="str">
        <f t="shared" si="44"/>
        <v>Error?</v>
      </c>
    </row>
    <row r="2915" spans="1:4" x14ac:dyDescent="0.2">
      <c r="A2915" s="10">
        <v>2854</v>
      </c>
      <c r="D2915" s="2" t="str">
        <f t="shared" si="44"/>
        <v>OK</v>
      </c>
    </row>
    <row r="2916" spans="1:4" x14ac:dyDescent="0.2">
      <c r="A2916" s="5">
        <v>2855</v>
      </c>
      <c r="B2916" s="138">
        <f>'Assets-Liab 5-6'!L34</f>
        <v>1118</v>
      </c>
      <c r="C2916" s="2" t="s">
        <v>573</v>
      </c>
      <c r="D2916" s="2" t="str">
        <f t="shared" si="44"/>
        <v>Error?</v>
      </c>
    </row>
    <row r="2917" spans="1:4" x14ac:dyDescent="0.2">
      <c r="A2917" s="5">
        <v>2856</v>
      </c>
      <c r="B2917" s="138">
        <f>'Assets-Liab 5-6'!L41</f>
        <v>1118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36119</v>
      </c>
      <c r="D2949" s="2" t="str">
        <f t="shared" si="45"/>
        <v>Error?</v>
      </c>
    </row>
    <row r="2950" spans="1:4" x14ac:dyDescent="0.2">
      <c r="A2950" s="5">
        <v>2889</v>
      </c>
      <c r="B2950" s="138">
        <f>'Expenditures 15-22'!E79</f>
        <v>196077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36119</v>
      </c>
      <c r="C2973" s="2" t="s">
        <v>573</v>
      </c>
      <c r="D2973" s="2" t="str">
        <f t="shared" si="45"/>
        <v>Error?</v>
      </c>
    </row>
    <row r="2974" spans="1:4" x14ac:dyDescent="0.2">
      <c r="A2974" s="5">
        <v>2913</v>
      </c>
      <c r="B2974" s="138">
        <f>'Expenditures 15-22'!K79</f>
        <v>196077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127045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127045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16804</v>
      </c>
      <c r="D3055" s="2" t="str">
        <f t="shared" si="46"/>
        <v>Error?</v>
      </c>
    </row>
    <row r="3056" spans="1:4" x14ac:dyDescent="0.2">
      <c r="A3056" s="5">
        <v>2995</v>
      </c>
      <c r="B3056" s="138">
        <f>'Expenditures 15-22'!D10</f>
        <v>3791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20595</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34846</v>
      </c>
      <c r="C3225" s="2" t="s">
        <v>573</v>
      </c>
      <c r="D3225" s="2" t="str">
        <f t="shared" si="49"/>
        <v>Error?</v>
      </c>
    </row>
    <row r="3226" spans="1:4" x14ac:dyDescent="0.2">
      <c r="A3226" s="5">
        <v>3165</v>
      </c>
      <c r="B3226" s="138">
        <f>'Acct Summary 7-8'!I8</f>
        <v>34846</v>
      </c>
      <c r="C3226" s="2" t="s">
        <v>573</v>
      </c>
      <c r="D3226" s="2" t="str">
        <f t="shared" si="49"/>
        <v>Error?</v>
      </c>
    </row>
    <row r="3227" spans="1:4" x14ac:dyDescent="0.2">
      <c r="A3227" s="5">
        <v>3166</v>
      </c>
      <c r="B3227" s="138">
        <f>'Acct Summary 7-8'!I20</f>
        <v>34846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50000</v>
      </c>
      <c r="C3231" s="2" t="s">
        <v>573</v>
      </c>
      <c r="D3231" s="2" t="str">
        <f t="shared" si="49"/>
        <v>Error?</v>
      </c>
    </row>
    <row r="3232" spans="1:4" x14ac:dyDescent="0.2">
      <c r="A3232" s="5">
        <v>3171</v>
      </c>
      <c r="B3232" s="138">
        <f>'Acct Summary 7-8'!C77</f>
        <v>-50000</v>
      </c>
      <c r="C3232" s="2" t="s">
        <v>573</v>
      </c>
      <c r="D3232" s="2" t="str">
        <f t="shared" si="49"/>
        <v>Error?</v>
      </c>
    </row>
    <row r="3233" spans="1:4" x14ac:dyDescent="0.2">
      <c r="A3233" s="5">
        <v>3172</v>
      </c>
      <c r="B3233" s="138">
        <f>'Acct Summary 7-8'!C78</f>
        <v>260599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843</v>
      </c>
      <c r="C3237" s="2" t="s">
        <v>573</v>
      </c>
      <c r="D3237" s="2" t="str">
        <f t="shared" si="49"/>
        <v>Error?</v>
      </c>
    </row>
    <row r="3238" spans="1:4" x14ac:dyDescent="0.2">
      <c r="A3238" s="5">
        <v>3177</v>
      </c>
      <c r="B3238" s="138">
        <f>'Acct Summary 7-8'!D77</f>
        <v>49157</v>
      </c>
      <c r="C3238" s="2" t="s">
        <v>573</v>
      </c>
      <c r="D3238" s="2" t="str">
        <f t="shared" si="49"/>
        <v>Error?</v>
      </c>
    </row>
    <row r="3239" spans="1:4" x14ac:dyDescent="0.2">
      <c r="A3239" s="5">
        <v>3178</v>
      </c>
      <c r="B3239" s="138">
        <f>'Acct Summary 7-8'!D78</f>
        <v>137166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10491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843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843</v>
      </c>
      <c r="C3277" s="2" t="s">
        <v>573</v>
      </c>
      <c r="D3277" s="2" t="str">
        <f t="shared" si="50"/>
        <v>Error?</v>
      </c>
    </row>
    <row r="3278" spans="1:4" x14ac:dyDescent="0.2">
      <c r="A3278" s="5">
        <v>3217</v>
      </c>
      <c r="B3278" s="138">
        <f>'Acct Summary 7-8'!E78</f>
        <v>-2785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2684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34846</v>
      </c>
      <c r="C3320" s="2" t="s">
        <v>573</v>
      </c>
      <c r="D3320" s="2" t="str">
        <f t="shared" si="50"/>
        <v>Error?</v>
      </c>
    </row>
    <row r="3321" spans="1:4" x14ac:dyDescent="0.2">
      <c r="A3321" s="5">
        <v>3260</v>
      </c>
      <c r="B3321" s="138">
        <f>'Acct Summary 7-8'!I79</f>
        <v>69887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104733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94128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16863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8862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121906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13061</v>
      </c>
      <c r="D3387" s="2" t="str">
        <f t="shared" si="51"/>
        <v>Error?</v>
      </c>
    </row>
    <row r="3388" spans="1:4" x14ac:dyDescent="0.2">
      <c r="A3388" s="5">
        <v>3327</v>
      </c>
      <c r="B3388" s="138">
        <f>'Expenditures 15-22'!D217</f>
        <v>9539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13061</v>
      </c>
      <c r="C3390" s="2" t="s">
        <v>573</v>
      </c>
      <c r="D3390" s="2" t="str">
        <f t="shared" si="51"/>
        <v>Error?</v>
      </c>
    </row>
    <row r="3391" spans="1:4" x14ac:dyDescent="0.2">
      <c r="A3391" s="5">
        <v>3330</v>
      </c>
      <c r="B3391" s="138">
        <f>'Expenditures 15-22'!K217</f>
        <v>9539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18167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17895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7024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45517</v>
      </c>
      <c r="C3446" s="2" t="s">
        <v>573</v>
      </c>
      <c r="D3446" s="2" t="str">
        <f t="shared" si="52"/>
        <v>Error?</v>
      </c>
    </row>
    <row r="3447" spans="1:4" x14ac:dyDescent="0.2">
      <c r="A3447" s="5">
        <v>3386</v>
      </c>
      <c r="B3447" s="138">
        <f>'Tax Sched 23'!D16</f>
        <v>12748</v>
      </c>
      <c r="C3447" s="2" t="s">
        <v>573</v>
      </c>
      <c r="D3447" s="2" t="str">
        <f t="shared" si="52"/>
        <v>Error?</v>
      </c>
    </row>
    <row r="3448" spans="1:4" x14ac:dyDescent="0.2">
      <c r="A3448" s="5">
        <v>3387</v>
      </c>
      <c r="B3448" s="138">
        <f>'Tax Sched 23'!C16</f>
        <v>32769</v>
      </c>
      <c r="D3448" s="2" t="str">
        <f t="shared" si="52"/>
        <v>Error?</v>
      </c>
    </row>
    <row r="3449" spans="1:4" x14ac:dyDescent="0.2">
      <c r="A3449" s="5">
        <v>3388</v>
      </c>
      <c r="B3449" s="138">
        <f>'Tax Sched 23'!F16</f>
        <v>30089</v>
      </c>
      <c r="C3449" s="2" t="s">
        <v>573</v>
      </c>
      <c r="D3449" s="2" t="str">
        <f t="shared" si="52"/>
        <v>Error?</v>
      </c>
    </row>
    <row r="3450" spans="1:4" x14ac:dyDescent="0.2">
      <c r="A3450" s="5">
        <v>3389</v>
      </c>
      <c r="B3450" s="138">
        <f>'Tax Sched 23'!E16</f>
        <v>62858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51411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51411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51411</v>
      </c>
      <c r="D3567" s="2" t="str">
        <f t="shared" si="54"/>
        <v>Error?</v>
      </c>
    </row>
    <row r="3568" spans="1:4" x14ac:dyDescent="0.2">
      <c r="A3568" s="5">
        <v>3507</v>
      </c>
      <c r="B3568" s="138">
        <f>'Assets-Liab 5-6'!K41</f>
        <v>51411</v>
      </c>
      <c r="C3568" s="2" t="s">
        <v>573</v>
      </c>
      <c r="D3568" s="2" t="str">
        <f t="shared" si="54"/>
        <v>Error?</v>
      </c>
    </row>
    <row r="3569" spans="1:4" x14ac:dyDescent="0.2">
      <c r="A3569" s="5">
        <v>3508</v>
      </c>
      <c r="B3569" s="138">
        <f>'Acct Summary 7-8'!K4</f>
        <v>45713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45713</v>
      </c>
      <c r="C3571" s="2" t="s">
        <v>573</v>
      </c>
      <c r="D3571" s="2" t="str">
        <f t="shared" si="54"/>
        <v>Error?</v>
      </c>
    </row>
    <row r="3572" spans="1:4" x14ac:dyDescent="0.2">
      <c r="A3572" s="5">
        <v>3511</v>
      </c>
      <c r="B3572" s="138">
        <f>'Acct Summary 7-8'!K13</f>
        <v>33997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33997</v>
      </c>
      <c r="C3575" s="2" t="s">
        <v>573</v>
      </c>
      <c r="D3575" s="2" t="str">
        <f t="shared" si="54"/>
        <v>Error?</v>
      </c>
    </row>
    <row r="3576" spans="1:4" x14ac:dyDescent="0.2">
      <c r="A3576" s="5">
        <v>3515</v>
      </c>
      <c r="B3576" s="138">
        <f>'Acct Summary 7-8'!K20</f>
        <v>11716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11716</v>
      </c>
      <c r="C3588" s="2" t="s">
        <v>573</v>
      </c>
      <c r="D3588" s="2" t="str">
        <f t="shared" si="55"/>
        <v>Error?</v>
      </c>
    </row>
    <row r="3589" spans="1:4" x14ac:dyDescent="0.2">
      <c r="A3589" s="5">
        <v>3528</v>
      </c>
      <c r="B3589" s="138">
        <f>'Acct Summary 7-8'!K79</f>
        <v>39695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51411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7622</v>
      </c>
      <c r="D3631" s="2" t="str">
        <f t="shared" si="55"/>
        <v>Error?</v>
      </c>
    </row>
    <row r="3632" spans="1:4" x14ac:dyDescent="0.2">
      <c r="A3632" s="5">
        <v>3571</v>
      </c>
      <c r="B3632" s="138">
        <f>'Expenditures 15-22'!E349</f>
        <v>12500</v>
      </c>
      <c r="D3632" s="2" t="str">
        <f t="shared" si="55"/>
        <v>Error?</v>
      </c>
    </row>
    <row r="3633" spans="1:4" x14ac:dyDescent="0.2">
      <c r="A3633" s="5">
        <v>3572</v>
      </c>
      <c r="B3633" s="138">
        <f>'Expenditures 15-22'!E350</f>
        <v>20122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20122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13875</v>
      </c>
      <c r="D3646" s="2" t="str">
        <f t="shared" si="55"/>
        <v>Error?</v>
      </c>
    </row>
    <row r="3647" spans="1:4" x14ac:dyDescent="0.2">
      <c r="A3647" s="5">
        <v>3586</v>
      </c>
      <c r="B3647" s="138">
        <f>'Expenditures 15-22'!G350</f>
        <v>13875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13875</v>
      </c>
      <c r="C3649" s="2" t="s">
        <v>573</v>
      </c>
      <c r="D3649" s="2" t="str">
        <f t="shared" si="56"/>
        <v>Error?</v>
      </c>
    </row>
    <row r="3650" spans="1:4" x14ac:dyDescent="0.2">
      <c r="A3650" s="5">
        <v>3589</v>
      </c>
      <c r="B3650" s="138">
        <f>'Expenditures 15-22'!G367</f>
        <v>13875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7622</v>
      </c>
      <c r="C3668" s="2" t="s">
        <v>573</v>
      </c>
      <c r="D3668" s="2" t="str">
        <f t="shared" si="56"/>
        <v>Error?</v>
      </c>
    </row>
    <row r="3669" spans="1:4" x14ac:dyDescent="0.2">
      <c r="A3669" s="5">
        <v>3608</v>
      </c>
      <c r="B3669" s="138">
        <f>'Expenditures 15-22'!K349</f>
        <v>26375</v>
      </c>
      <c r="C3669" s="2" t="s">
        <v>573</v>
      </c>
      <c r="D3669" s="2" t="str">
        <f t="shared" si="56"/>
        <v>Error?</v>
      </c>
    </row>
    <row r="3670" spans="1:4" x14ac:dyDescent="0.2">
      <c r="A3670" s="5">
        <v>3609</v>
      </c>
      <c r="B3670" s="138">
        <f>'Expenditures 15-22'!K350</f>
        <v>33997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33997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33997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11716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31833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108968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2387643</v>
      </c>
      <c r="C4122" s="2" t="s">
        <v>573</v>
      </c>
      <c r="D4122" s="2" t="str">
        <f t="shared" si="63"/>
        <v>Error?</v>
      </c>
    </row>
    <row r="4123" spans="1:4" x14ac:dyDescent="0.2">
      <c r="A4123" s="5">
        <v>4062</v>
      </c>
      <c r="B4123" s="138">
        <f>'Acct Summary 7-8'!D10</f>
        <v>256943</v>
      </c>
      <c r="C4123" s="2" t="s">
        <v>573</v>
      </c>
      <c r="D4123" s="2" t="str">
        <f t="shared" si="63"/>
        <v>Error?</v>
      </c>
    </row>
    <row r="4124" spans="1:4" x14ac:dyDescent="0.2">
      <c r="A4124" s="5">
        <v>4063</v>
      </c>
      <c r="B4124" s="138">
        <f>'Acct Summary 7-8'!E10</f>
        <v>148621</v>
      </c>
      <c r="C4124" s="2" t="s">
        <v>573</v>
      </c>
      <c r="D4124" s="2" t="str">
        <f t="shared" si="63"/>
        <v>Error?</v>
      </c>
    </row>
    <row r="4125" spans="1:4" x14ac:dyDescent="0.2">
      <c r="A4125" s="5">
        <v>4064</v>
      </c>
      <c r="B4125" s="138">
        <f>'Acct Summary 7-8'!F10</f>
        <v>145886</v>
      </c>
      <c r="C4125" s="2" t="s">
        <v>573</v>
      </c>
      <c r="D4125" s="2" t="str">
        <f t="shared" si="63"/>
        <v>Error?</v>
      </c>
    </row>
    <row r="4126" spans="1:4" x14ac:dyDescent="0.2">
      <c r="A4126" s="5">
        <v>4065</v>
      </c>
      <c r="B4126" s="138">
        <f>'Acct Summary 7-8'!G10</f>
        <v>67274</v>
      </c>
      <c r="C4126" s="2" t="s">
        <v>573</v>
      </c>
      <c r="D4126" s="2" t="str">
        <f t="shared" si="63"/>
        <v>Error?</v>
      </c>
    </row>
    <row r="4127" spans="1:4" x14ac:dyDescent="0.2">
      <c r="A4127" s="5">
        <v>4066</v>
      </c>
      <c r="B4127" s="138">
        <f>'Acct Summary 7-8'!H10</f>
        <v>3775</v>
      </c>
      <c r="C4127" s="2" t="s">
        <v>573</v>
      </c>
      <c r="D4127" s="2" t="str">
        <f t="shared" si="63"/>
        <v>Error?</v>
      </c>
    </row>
    <row r="4128" spans="1:4" x14ac:dyDescent="0.2">
      <c r="A4128" s="5">
        <v>4067</v>
      </c>
      <c r="B4128" s="138">
        <f>'Acct Summary 7-8'!I10</f>
        <v>34846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45713</v>
      </c>
      <c r="C4130" s="2" t="s">
        <v>573</v>
      </c>
      <c r="D4130" s="2" t="str">
        <f t="shared" si="63"/>
        <v>Error?</v>
      </c>
    </row>
    <row r="4131" spans="1:4" x14ac:dyDescent="0.2">
      <c r="A4131" s="5">
        <v>4070</v>
      </c>
      <c r="B4131" s="138">
        <f>'Acct Summary 7-8'!C18</f>
        <v>108968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2077044</v>
      </c>
      <c r="C4136" s="2" t="s">
        <v>573</v>
      </c>
      <c r="D4136" s="2" t="str">
        <f t="shared" si="63"/>
        <v>Error?</v>
      </c>
    </row>
    <row r="4137" spans="1:4" x14ac:dyDescent="0.2">
      <c r="A4137" s="5">
        <v>4076</v>
      </c>
      <c r="B4137" s="138">
        <f>'Acct Summary 7-8'!D19</f>
        <v>168934</v>
      </c>
      <c r="C4137" s="2" t="s">
        <v>573</v>
      </c>
      <c r="D4137" s="2" t="str">
        <f t="shared" si="63"/>
        <v>Error?</v>
      </c>
    </row>
    <row r="4138" spans="1:4" x14ac:dyDescent="0.2">
      <c r="A4138" s="5">
        <v>4077</v>
      </c>
      <c r="B4138" s="138">
        <f>'Acct Summary 7-8'!E19</f>
        <v>152249</v>
      </c>
      <c r="C4138" s="2" t="s">
        <v>573</v>
      </c>
      <c r="D4138" s="2" t="str">
        <f t="shared" si="63"/>
        <v>Error?</v>
      </c>
    </row>
    <row r="4139" spans="1:4" x14ac:dyDescent="0.2">
      <c r="A4139" s="5">
        <v>4078</v>
      </c>
      <c r="B4139" s="138">
        <f>'Acct Summary 7-8'!F19</f>
        <v>135395</v>
      </c>
      <c r="C4139" s="2" t="s">
        <v>573</v>
      </c>
      <c r="D4139" s="2" t="str">
        <f t="shared" si="63"/>
        <v>Error?</v>
      </c>
    </row>
    <row r="4140" spans="1:4" x14ac:dyDescent="0.2">
      <c r="A4140" s="5">
        <v>4079</v>
      </c>
      <c r="B4140" s="138">
        <f>'Acct Summary 7-8'!G19</f>
        <v>71060</v>
      </c>
      <c r="C4140" s="2" t="s">
        <v>573</v>
      </c>
      <c r="D4140" s="2" t="str">
        <f t="shared" si="63"/>
        <v>Error?</v>
      </c>
    </row>
    <row r="4141" spans="1:4" x14ac:dyDescent="0.2">
      <c r="A4141" s="5">
        <v>4080</v>
      </c>
      <c r="B4141" s="138">
        <f>'Acct Summary 7-8'!H19</f>
        <v>1091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33997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1033743</v>
      </c>
      <c r="C4171" s="2" t="s">
        <v>573</v>
      </c>
      <c r="D4171" s="2" t="str">
        <f t="shared" si="64"/>
        <v>Error?</v>
      </c>
    </row>
    <row r="4172" spans="1:4" x14ac:dyDescent="0.2">
      <c r="A4172" s="5">
        <v>4111</v>
      </c>
      <c r="B4172" s="138">
        <f>'Short-Term Long-Term Debt 24'!J49</f>
        <v>948318</v>
      </c>
      <c r="C4172" s="2" t="s">
        <v>573</v>
      </c>
      <c r="D4172" s="2" t="str">
        <f t="shared" si="64"/>
        <v>Error?</v>
      </c>
    </row>
    <row r="4173" spans="1:4" x14ac:dyDescent="0.2">
      <c r="A4173" s="5">
        <v>4112</v>
      </c>
      <c r="B4173" s="138">
        <f>'Short-Term Long-Term Debt 24'!H49</f>
        <v>120042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2252.84</v>
      </c>
      <c r="C4265" s="2" t="s">
        <v>573</v>
      </c>
      <c r="D4265" s="2" t="str">
        <f t="shared" si="65"/>
        <v>Error?</v>
      </c>
      <c r="E4265" s="128"/>
    </row>
    <row r="4266" spans="1:5" x14ac:dyDescent="0.2">
      <c r="A4266" s="12">
        <v>4205</v>
      </c>
      <c r="B4266" s="138">
        <f>('FP Info 3'!F10)*100000</f>
        <v>340.1</v>
      </c>
      <c r="C4266" s="2" t="s">
        <v>573</v>
      </c>
      <c r="D4266" s="2" t="str">
        <f t="shared" si="65"/>
        <v>Error?</v>
      </c>
      <c r="E4266" s="128"/>
    </row>
    <row r="4267" spans="1:5" x14ac:dyDescent="0.2">
      <c r="A4267" s="12">
        <v>4206</v>
      </c>
      <c r="B4267" s="138">
        <f>('FP Info 3'!H10)*100000</f>
        <v>105.94000000000001</v>
      </c>
      <c r="C4267" s="2" t="s">
        <v>573</v>
      </c>
      <c r="D4267" s="2" t="str">
        <f t="shared" si="65"/>
        <v>Error?</v>
      </c>
      <c r="E4267" s="128"/>
    </row>
    <row r="4268" spans="1:5" x14ac:dyDescent="0.2">
      <c r="A4268" s="12">
        <v>4207</v>
      </c>
      <c r="B4268" s="138">
        <f>('FP Info 3'!J10)*100000</f>
        <v>2699</v>
      </c>
      <c r="C4268" s="2" t="s">
        <v>573</v>
      </c>
      <c r="D4268" s="2" t="str">
        <f t="shared" si="65"/>
        <v>Error?</v>
      </c>
    </row>
    <row r="4269" spans="1:5" x14ac:dyDescent="0.2">
      <c r="A4269" s="12">
        <v>4208</v>
      </c>
      <c r="B4269" s="138">
        <f>'FP Info 3'!J16</f>
        <v>3097758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17230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8326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43.64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16564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32574</v>
      </c>
      <c r="D4805" s="2" t="str">
        <f t="shared" si="74"/>
        <v>Error?</v>
      </c>
    </row>
    <row r="4806" spans="1:4" x14ac:dyDescent="0.2">
      <c r="A4806" s="5">
        <v>4745</v>
      </c>
      <c r="B4806" s="138">
        <f>'Revenues 9-14'!D180</f>
        <v>5460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78665924</v>
      </c>
      <c r="D4995" s="2" t="str">
        <f t="shared" si="77"/>
        <v>Error?</v>
      </c>
    </row>
    <row r="4996" spans="1:4" x14ac:dyDescent="0.2">
      <c r="A4996" s="12">
        <v>4935</v>
      </c>
      <c r="B4996" s="138">
        <f>'FP Info 3'!H31</f>
        <v>5427948.7560000001</v>
      </c>
      <c r="D4996" s="2" t="str">
        <f t="shared" si="77"/>
        <v>Error?</v>
      </c>
    </row>
    <row r="4997" spans="1:4" x14ac:dyDescent="0.2">
      <c r="A4997" s="12">
        <v>4936</v>
      </c>
      <c r="B4997" s="138">
        <f>'FP Info 3'!H37</f>
        <v>1033743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927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1728602</v>
      </c>
      <c r="D5061" s="2" t="str">
        <f t="shared" si="78"/>
        <v>Error?</v>
      </c>
    </row>
    <row r="5062" spans="1:4" x14ac:dyDescent="0.2">
      <c r="A5062" s="10">
        <v>5001</v>
      </c>
      <c r="D5062" s="2" t="str">
        <f t="shared" si="78"/>
        <v>OK</v>
      </c>
    </row>
    <row r="5063" spans="1:4" x14ac:dyDescent="0.2">
      <c r="A5063" s="5">
        <v>5002</v>
      </c>
      <c r="B5063" s="138">
        <f>'Revenues 9-14'!C7</f>
        <v>12657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1741259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62707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62707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33697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33697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47207</v>
      </c>
      <c r="C5096" s="2" t="s">
        <v>573</v>
      </c>
      <c r="D5096" s="2" t="str">
        <f t="shared" si="78"/>
        <v>Error?</v>
      </c>
    </row>
    <row r="5097" spans="1:4" x14ac:dyDescent="0.2">
      <c r="A5097" s="5">
        <v>5036</v>
      </c>
      <c r="B5097" s="138">
        <f>'Revenues 9-14'!C77</f>
        <v>3545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9439</v>
      </c>
      <c r="D5099" s="2" t="str">
        <f t="shared" si="78"/>
        <v>Error?</v>
      </c>
    </row>
    <row r="5100" spans="1:4" x14ac:dyDescent="0.2">
      <c r="A5100" s="5">
        <v>5039</v>
      </c>
      <c r="B5100" s="138">
        <f>'Revenues 9-14'!C80</f>
        <v>4138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17122</v>
      </c>
      <c r="C5102" s="2" t="s">
        <v>573</v>
      </c>
      <c r="D5102" s="2" t="str">
        <f t="shared" si="78"/>
        <v>Error?</v>
      </c>
    </row>
    <row r="5103" spans="1:4" x14ac:dyDescent="0.2">
      <c r="A5103" s="5">
        <v>5042</v>
      </c>
      <c r="B5103" s="138">
        <f>'Revenues 9-14'!C84</f>
        <v>22597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22597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5173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1974</v>
      </c>
      <c r="D5119" s="2" t="str">
        <f t="shared" ref="D5119:D5182" si="79">IF(ISBLANK(B5119),"OK",IF(A5119-B5119=0,"OK","Error?"))</f>
        <v>Error?</v>
      </c>
    </row>
    <row r="5120" spans="1:4" x14ac:dyDescent="0.2">
      <c r="A5120" s="5">
        <v>5059</v>
      </c>
      <c r="B5120" s="138">
        <f>'Revenues 9-14'!C108</f>
        <v>23859</v>
      </c>
      <c r="C5120" s="2" t="s">
        <v>573</v>
      </c>
      <c r="D5120" s="2" t="str">
        <f t="shared" si="79"/>
        <v>Error?</v>
      </c>
    </row>
    <row r="5121" spans="1:4" x14ac:dyDescent="0.2">
      <c r="A5121" s="5">
        <v>5060</v>
      </c>
      <c r="B5121" s="138">
        <f>'Revenues 9-14'!C109</f>
        <v>1948448</v>
      </c>
      <c r="C5121" s="2" t="s">
        <v>573</v>
      </c>
      <c r="D5121" s="2" t="str">
        <f t="shared" si="79"/>
        <v>Error?</v>
      </c>
    </row>
    <row r="5122" spans="1:4" x14ac:dyDescent="0.2">
      <c r="A5122" s="5">
        <v>5061</v>
      </c>
      <c r="B5122" s="138">
        <f>'Revenues 9-14'!C111</f>
        <v>158</v>
      </c>
      <c r="D5122" s="2" t="str">
        <f t="shared" si="79"/>
        <v>Error?</v>
      </c>
    </row>
    <row r="5123" spans="1:4" x14ac:dyDescent="0.2">
      <c r="A5123" s="5">
        <v>5062</v>
      </c>
      <c r="B5123" s="138">
        <f>'Revenues 9-14'!C112</f>
        <v>18009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18167</v>
      </c>
      <c r="C5125" s="2" t="s">
        <v>573</v>
      </c>
      <c r="D5125" s="2" t="str">
        <f t="shared" si="79"/>
        <v>Error?</v>
      </c>
    </row>
    <row r="5126" spans="1:4" x14ac:dyDescent="0.2">
      <c r="A5126" s="5">
        <v>5065</v>
      </c>
      <c r="B5126" s="138">
        <f>'Revenues 9-14'!C117</f>
        <v>196063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196063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456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196519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32574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31833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31833</v>
      </c>
      <c r="C5246" s="2" t="s">
        <v>573</v>
      </c>
      <c r="D5246" s="2" t="str">
        <f t="shared" si="80"/>
        <v>Error?</v>
      </c>
    </row>
    <row r="5247" spans="1:4" x14ac:dyDescent="0.2">
      <c r="A5247" s="5">
        <v>5186</v>
      </c>
      <c r="B5247" s="138">
        <f>'Revenues 9-14'!C200</f>
        <v>25578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17230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25578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82967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115541</v>
      </c>
      <c r="C5326" s="2" t="s">
        <v>573</v>
      </c>
      <c r="D5326" s="2" t="str">
        <f t="shared" si="82"/>
        <v>Error?</v>
      </c>
    </row>
    <row r="5327" spans="1:5" x14ac:dyDescent="0.2">
      <c r="A5327" s="5">
        <v>5266</v>
      </c>
      <c r="B5327" s="138">
        <f>'Revenues 9-14'!C268</f>
        <v>2278675</v>
      </c>
      <c r="C5327" s="2" t="s">
        <v>573</v>
      </c>
      <c r="D5327" s="2" t="str">
        <f t="shared" si="82"/>
        <v>Error?</v>
      </c>
    </row>
    <row r="5328" spans="1:5" x14ac:dyDescent="0.2">
      <c r="A5328" s="5">
        <v>5267</v>
      </c>
      <c r="B5328" s="138">
        <f>'Revenues 9-14'!D5</f>
        <v>242579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242579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2689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5900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115</v>
      </c>
      <c r="D5354" s="2" t="str">
        <f t="shared" si="82"/>
        <v>Error?</v>
      </c>
    </row>
    <row r="5355" spans="1:4" x14ac:dyDescent="0.2">
      <c r="A5355" s="5">
        <v>5294</v>
      </c>
      <c r="B5355" s="138">
        <f>'Revenues 9-14'!D108</f>
        <v>6215</v>
      </c>
      <c r="C5355" s="2" t="s">
        <v>573</v>
      </c>
      <c r="D5355" s="2" t="str">
        <f t="shared" si="82"/>
        <v>Error?</v>
      </c>
    </row>
    <row r="5356" spans="1:4" x14ac:dyDescent="0.2">
      <c r="A5356" s="5">
        <v>5295</v>
      </c>
      <c r="B5356" s="138">
        <f>'Revenues 9-14'!D109</f>
        <v>251483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5460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5460</v>
      </c>
      <c r="C5507" s="2" t="s">
        <v>573</v>
      </c>
      <c r="D5507" s="2" t="str">
        <f t="shared" si="85"/>
        <v>Error?</v>
      </c>
    </row>
    <row r="5508" spans="1:4" x14ac:dyDescent="0.2">
      <c r="A5508" s="5">
        <v>5447</v>
      </c>
      <c r="B5508" s="138">
        <f>'Revenues 9-14'!D268</f>
        <v>256943</v>
      </c>
      <c r="C5508" s="2" t="s">
        <v>573</v>
      </c>
      <c r="D5508" s="2" t="str">
        <f t="shared" si="85"/>
        <v>Error?</v>
      </c>
    </row>
    <row r="5509" spans="1:4" x14ac:dyDescent="0.2">
      <c r="A5509" s="5">
        <v>5448</v>
      </c>
      <c r="B5509" s="138">
        <f>'Revenues 9-14'!E5</f>
        <v>147856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147856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148621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148621</v>
      </c>
      <c r="C5552" s="2" t="s">
        <v>573</v>
      </c>
      <c r="D5552" s="2" t="str">
        <f t="shared" si="85"/>
        <v>Error?</v>
      </c>
    </row>
    <row r="5553" spans="1:4" x14ac:dyDescent="0.2">
      <c r="A5553" s="5">
        <v>5492</v>
      </c>
      <c r="B5553" s="138">
        <f>'Revenues 9-14'!F5</f>
        <v>81282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81282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v>
      </c>
      <c r="D5586" s="2" t="str">
        <f t="shared" si="86"/>
        <v>Error?</v>
      </c>
    </row>
    <row r="5587" spans="1:4" x14ac:dyDescent="0.2">
      <c r="A5587" s="5">
        <v>5526</v>
      </c>
      <c r="B5587" s="138">
        <f>'Revenues 9-14'!F108</f>
        <v>929</v>
      </c>
      <c r="C5587" s="2" t="s">
        <v>573</v>
      </c>
      <c r="D5587" s="2" t="str">
        <f t="shared" si="86"/>
        <v>Error?</v>
      </c>
    </row>
    <row r="5588" spans="1:4" x14ac:dyDescent="0.2">
      <c r="A5588" s="5">
        <v>5527</v>
      </c>
      <c r="B5588" s="138">
        <f>'Revenues 9-14'!F109</f>
        <v>84466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46330</v>
      </c>
      <c r="D5615" s="2" t="str">
        <f t="shared" si="86"/>
        <v>Error?</v>
      </c>
    </row>
    <row r="5616" spans="1:4" x14ac:dyDescent="0.2">
      <c r="A5616" s="10">
        <v>5555</v>
      </c>
      <c r="D5616" s="2" t="str">
        <f t="shared" si="86"/>
        <v>OK</v>
      </c>
    </row>
    <row r="5617" spans="1:5" x14ac:dyDescent="0.2">
      <c r="A5617" s="5">
        <v>5556</v>
      </c>
      <c r="B5617" s="138">
        <f>'Revenues 9-14'!F153</f>
        <v>15090</v>
      </c>
      <c r="D5617" s="2" t="str">
        <f t="shared" si="86"/>
        <v>Error?</v>
      </c>
    </row>
    <row r="5618" spans="1:5" x14ac:dyDescent="0.2">
      <c r="A5618" s="5">
        <v>5557</v>
      </c>
      <c r="B5618" s="138">
        <f>'Revenues 9-14'!F155</f>
        <v>61420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61420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61420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145886</v>
      </c>
      <c r="C5720" s="2" t="s">
        <v>573</v>
      </c>
      <c r="D5720" s="2" t="str">
        <f t="shared" si="88"/>
        <v>Error?</v>
      </c>
    </row>
    <row r="5721" spans="1:4" x14ac:dyDescent="0.2">
      <c r="A5721" s="5">
        <v>5660</v>
      </c>
      <c r="B5721" s="138">
        <f>'Revenues 9-14'!G5</f>
        <v>14740</v>
      </c>
      <c r="D5721" s="2" t="str">
        <f t="shared" si="88"/>
        <v>Error?</v>
      </c>
    </row>
    <row r="5722" spans="1:4" x14ac:dyDescent="0.2">
      <c r="A5722" s="5">
        <v>5661</v>
      </c>
      <c r="B5722" s="138">
        <f>'Revenues 9-14'!G7</f>
        <v>0</v>
      </c>
      <c r="D5722" s="2" t="str">
        <f t="shared" si="88"/>
        <v>Error?</v>
      </c>
    </row>
    <row r="5723" spans="1:4" x14ac:dyDescent="0.2">
      <c r="A5723" s="5">
        <v>5662</v>
      </c>
      <c r="B5723" s="138">
        <f>'Revenues 9-14'!G8</f>
        <v>45517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60257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5367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5367</v>
      </c>
      <c r="C5730" s="2" t="s">
        <v>573</v>
      </c>
      <c r="D5730" s="2" t="str">
        <f t="shared" si="88"/>
        <v>Error?</v>
      </c>
    </row>
    <row r="5731" spans="1:4" x14ac:dyDescent="0.2">
      <c r="A5731" s="5">
        <v>5670</v>
      </c>
      <c r="B5731" s="138">
        <f>'Revenues 9-14'!G65</f>
        <v>1650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67274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3772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3775</v>
      </c>
      <c r="C5915" s="2" t="s">
        <v>573</v>
      </c>
      <c r="D5915" s="2" t="str">
        <f t="shared" si="91"/>
        <v>Error?</v>
      </c>
    </row>
    <row r="5916" spans="1:4" x14ac:dyDescent="0.2">
      <c r="A5916" s="5">
        <v>5855</v>
      </c>
      <c r="B5916" s="138">
        <f>'Revenues 9-14'!I5</f>
        <v>33484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33484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34846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45161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45161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552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45713</v>
      </c>
      <c r="C6023" s="2" t="s">
        <v>573</v>
      </c>
      <c r="D6023" s="2" t="str">
        <f t="shared" si="93"/>
        <v>Error?</v>
      </c>
    </row>
    <row r="6024" spans="1:5" x14ac:dyDescent="0.2">
      <c r="A6024" s="5">
        <v>5963</v>
      </c>
      <c r="B6024" s="138">
        <f>'Revenues 9-14'!G109</f>
        <v>67274</v>
      </c>
      <c r="C6024" s="2" t="s">
        <v>573</v>
      </c>
      <c r="D6024" s="2" t="str">
        <f t="shared" si="93"/>
        <v>Error?</v>
      </c>
    </row>
    <row r="6025" spans="1:5" x14ac:dyDescent="0.2">
      <c r="A6025" s="5">
        <v>5964</v>
      </c>
      <c r="B6025" s="138">
        <f>'Revenues 9-14'!H109</f>
        <v>3775</v>
      </c>
      <c r="C6025" s="2" t="s">
        <v>573</v>
      </c>
      <c r="D6025" s="2" t="str">
        <f t="shared" si="93"/>
        <v>Error?</v>
      </c>
    </row>
    <row r="6026" spans="1:5" x14ac:dyDescent="0.2">
      <c r="A6026" s="5">
        <v>5965</v>
      </c>
      <c r="B6026" s="138">
        <f>'Revenues 9-14'!I109</f>
        <v>34846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45713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44853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7465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157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42635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42635</v>
      </c>
      <c r="D6215" s="2" t="str">
        <f t="shared" si="96"/>
        <v>Error?</v>
      </c>
      <c r="E6215" s="2" t="s">
        <v>190</v>
      </c>
    </row>
    <row r="6216" spans="1:5" x14ac:dyDescent="0.2">
      <c r="A6216">
        <v>6155</v>
      </c>
      <c r="B6216" s="138">
        <f>'Assets-Liab 5-6'!J41</f>
        <v>42635</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42635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29000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29000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29000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40283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40283</v>
      </c>
      <c r="D6229" s="2" t="str">
        <f t="shared" si="96"/>
        <v>Error?</v>
      </c>
      <c r="E6229" s="2" t="s">
        <v>190</v>
      </c>
    </row>
    <row r="6230" spans="1:5" x14ac:dyDescent="0.2">
      <c r="A6230">
        <v>6169</v>
      </c>
      <c r="B6230" s="138">
        <f>'Acct Summary 7-8'!J20</f>
        <v>-11283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-11283</v>
      </c>
      <c r="D6263" s="2" t="str">
        <f t="shared" si="96"/>
        <v>Error?</v>
      </c>
      <c r="E6263" s="2" t="s">
        <v>190</v>
      </c>
    </row>
    <row r="6264" spans="1:5" x14ac:dyDescent="0.2">
      <c r="A6264">
        <v>6203</v>
      </c>
      <c r="B6264" s="138">
        <f>'Acct Summary 7-8'!J79</f>
        <v>53918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42635</v>
      </c>
      <c r="D6266" s="2" t="str">
        <f t="shared" si="96"/>
        <v>Error?</v>
      </c>
      <c r="E6266" s="2" t="s">
        <v>190</v>
      </c>
    </row>
    <row r="6267" spans="1:5" x14ac:dyDescent="0.2">
      <c r="A6267">
        <v>6206</v>
      </c>
      <c r="B6267" s="138">
        <f>'Acct Summary 7-8'!C82</f>
        <v>260599</v>
      </c>
      <c r="D6267" s="2" t="str">
        <f t="shared" si="96"/>
        <v>Error?</v>
      </c>
      <c r="E6267" s="2" t="s">
        <v>190</v>
      </c>
    </row>
    <row r="6268" spans="1:5" x14ac:dyDescent="0.2">
      <c r="A6268">
        <v>6207</v>
      </c>
      <c r="B6268" s="138">
        <f>'Acct Summary 7-8'!D82</f>
        <v>137166</v>
      </c>
      <c r="D6268" s="2" t="str">
        <f t="shared" si="96"/>
        <v>Error?</v>
      </c>
      <c r="E6268" s="2" t="s">
        <v>190</v>
      </c>
    </row>
    <row r="6269" spans="1:5" x14ac:dyDescent="0.2">
      <c r="A6269">
        <v>6208</v>
      </c>
      <c r="B6269" s="138">
        <f>'Acct Summary 7-8'!E82</f>
        <v>-2785</v>
      </c>
      <c r="D6269" s="2" t="str">
        <f t="shared" si="96"/>
        <v>Error?</v>
      </c>
      <c r="E6269" s="2" t="s">
        <v>190</v>
      </c>
    </row>
    <row r="6270" spans="1:5" x14ac:dyDescent="0.2">
      <c r="A6270">
        <v>6209</v>
      </c>
      <c r="B6270" s="138">
        <f>'Acct Summary 7-8'!F82</f>
        <v>10491</v>
      </c>
      <c r="D6270" s="2" t="str">
        <f t="shared" si="96"/>
        <v>Error?</v>
      </c>
      <c r="E6270" s="2" t="s">
        <v>190</v>
      </c>
    </row>
    <row r="6271" spans="1:5" x14ac:dyDescent="0.2">
      <c r="A6271">
        <v>6210</v>
      </c>
      <c r="B6271" s="138">
        <f>'Acct Summary 7-8'!G82</f>
        <v>-3786</v>
      </c>
      <c r="D6271" s="2" t="str">
        <f t="shared" ref="D6271:D6334" si="97">IF(ISBLANK(B6271),"OK",IF(A6271-B6271=0,"OK","Error?"))</f>
        <v>Error?</v>
      </c>
      <c r="E6271" s="2" t="s">
        <v>190</v>
      </c>
    </row>
    <row r="6272" spans="1:5" x14ac:dyDescent="0.2">
      <c r="A6272">
        <v>6211</v>
      </c>
      <c r="B6272" s="138">
        <f>'Acct Summary 7-8'!H82</f>
        <v>2684</v>
      </c>
      <c r="D6272" s="2" t="str">
        <f t="shared" si="97"/>
        <v>Error?</v>
      </c>
      <c r="E6272" s="2" t="s">
        <v>190</v>
      </c>
    </row>
    <row r="6273" spans="1:5" x14ac:dyDescent="0.2">
      <c r="A6273">
        <v>6212</v>
      </c>
      <c r="B6273" s="138">
        <f>'Acct Summary 7-8'!I82</f>
        <v>34846</v>
      </c>
      <c r="D6273" s="2" t="str">
        <f t="shared" si="97"/>
        <v>Error?</v>
      </c>
      <c r="E6273" s="2" t="s">
        <v>190</v>
      </c>
    </row>
    <row r="6274" spans="1:5" x14ac:dyDescent="0.2">
      <c r="A6274">
        <v>6213</v>
      </c>
      <c r="B6274" s="138">
        <f>'Acct Summary 7-8'!J82</f>
        <v>-11283</v>
      </c>
      <c r="D6274" s="2" t="str">
        <f t="shared" si="97"/>
        <v>Error?</v>
      </c>
      <c r="E6274" s="2" t="s">
        <v>190</v>
      </c>
    </row>
    <row r="6275" spans="1:5" x14ac:dyDescent="0.2">
      <c r="A6275">
        <v>6214</v>
      </c>
      <c r="B6275" s="138">
        <f>'Acct Summary 7-8'!K82</f>
        <v>11716</v>
      </c>
      <c r="D6275" s="2" t="str">
        <f t="shared" si="97"/>
        <v>Error?</v>
      </c>
      <c r="E6275" s="2" t="s">
        <v>190</v>
      </c>
    </row>
    <row r="6276" spans="1:5" x14ac:dyDescent="0.2">
      <c r="A6276">
        <v>6215</v>
      </c>
      <c r="B6276" s="138">
        <f>'Acct Summary 7-8'!C83</f>
        <v>0.10488020831237196</v>
      </c>
      <c r="D6276" s="2" t="str">
        <f t="shared" si="97"/>
        <v>Error?</v>
      </c>
      <c r="E6276" s="2" t="s">
        <v>190</v>
      </c>
    </row>
    <row r="6277" spans="1:5" x14ac:dyDescent="0.2">
      <c r="A6277">
        <v>6216</v>
      </c>
      <c r="B6277" s="138">
        <f>'Acct Summary 7-8'!D83</f>
        <v>0.43308968631103673</v>
      </c>
      <c r="D6277" s="2" t="str">
        <f t="shared" si="97"/>
        <v>Error?</v>
      </c>
      <c r="E6277" s="2" t="s">
        <v>190</v>
      </c>
    </row>
    <row r="6278" spans="1:5" x14ac:dyDescent="0.2">
      <c r="A6278">
        <v>6217</v>
      </c>
      <c r="B6278" s="138">
        <f>'Acct Summary 7-8'!E83</f>
        <v>-3.2601697395376064E-2</v>
      </c>
      <c r="D6278" s="2" t="str">
        <f t="shared" si="97"/>
        <v>Error?</v>
      </c>
      <c r="E6278" s="2" t="s">
        <v>190</v>
      </c>
    </row>
    <row r="6279" spans="1:5" x14ac:dyDescent="0.2">
      <c r="A6279">
        <v>6218</v>
      </c>
      <c r="B6279" s="138">
        <f>'Acct Summary 7-8'!F83</f>
        <v>5.4760413404321952E-2</v>
      </c>
      <c r="D6279" s="2" t="str">
        <f t="shared" si="97"/>
        <v>Error?</v>
      </c>
      <c r="E6279" s="2" t="s">
        <v>190</v>
      </c>
    </row>
    <row r="6280" spans="1:5" x14ac:dyDescent="0.2">
      <c r="A6280">
        <v>6219</v>
      </c>
      <c r="B6280" s="138">
        <f>'Acct Summary 7-8'!G83</f>
        <v>-2.8456537261828705E-2</v>
      </c>
      <c r="D6280" s="2" t="str">
        <f t="shared" si="97"/>
        <v>Error?</v>
      </c>
      <c r="E6280" s="2" t="s">
        <v>190</v>
      </c>
    </row>
    <row r="6281" spans="1:5" x14ac:dyDescent="0.2">
      <c r="A6281">
        <v>6220</v>
      </c>
      <c r="B6281" s="138">
        <f>'Acct Summary 7-8'!H83</f>
        <v>0.77639571883135672</v>
      </c>
      <c r="D6281" s="2" t="str">
        <f t="shared" si="97"/>
        <v>Error?</v>
      </c>
      <c r="E6281" s="2" t="s">
        <v>190</v>
      </c>
    </row>
    <row r="6282" spans="1:5" x14ac:dyDescent="0.2">
      <c r="A6282">
        <v>6221</v>
      </c>
      <c r="B6282" s="138">
        <f>'Acct Summary 7-8'!I83</f>
        <v>0.33271270755158355</v>
      </c>
      <c r="D6282" s="2" t="str">
        <f t="shared" si="97"/>
        <v>Error?</v>
      </c>
      <c r="E6282" s="2" t="s">
        <v>190</v>
      </c>
    </row>
    <row r="6283" spans="1:5" x14ac:dyDescent="0.2">
      <c r="A6283">
        <v>6222</v>
      </c>
      <c r="B6283" s="138">
        <f>'Acct Summary 7-8'!J83</f>
        <v>-0.26464172628122434</v>
      </c>
      <c r="D6283" s="2" t="str">
        <f t="shared" si="97"/>
        <v>Error?</v>
      </c>
      <c r="E6283" s="2" t="s">
        <v>190</v>
      </c>
    </row>
    <row r="6284" spans="1:5" x14ac:dyDescent="0.2">
      <c r="A6284">
        <v>6223</v>
      </c>
      <c r="B6284" s="138">
        <f>'Acct Summary 7-8'!K83</f>
        <v>0.22788897317694656</v>
      </c>
      <c r="D6284" s="2" t="str">
        <f t="shared" si="97"/>
        <v>Error?</v>
      </c>
      <c r="E6284" s="2" t="s">
        <v>190</v>
      </c>
    </row>
    <row r="6285" spans="1:5" x14ac:dyDescent="0.2">
      <c r="A6285">
        <v>6224</v>
      </c>
      <c r="B6285" s="138">
        <f>'Acct Summary 7-8'!E37</f>
        <v>843</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28444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28444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551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551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3772</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v>
      </c>
      <c r="D6350" s="2" t="str">
        <f t="shared" si="98"/>
        <v>Error?</v>
      </c>
      <c r="E6350" s="2" t="s">
        <v>190</v>
      </c>
    </row>
    <row r="6351" spans="1:5" x14ac:dyDescent="0.2">
      <c r="A6351">
        <v>6290</v>
      </c>
      <c r="B6351" s="138">
        <f>'Revenues 9-14'!J108</f>
        <v>5</v>
      </c>
      <c r="D6351" s="2" t="str">
        <f t="shared" si="98"/>
        <v>Error?</v>
      </c>
      <c r="E6351" s="2" t="s">
        <v>190</v>
      </c>
    </row>
    <row r="6352" spans="1:5" x14ac:dyDescent="0.2">
      <c r="A6352">
        <v>6291</v>
      </c>
      <c r="B6352" s="138">
        <f>'Revenues 9-14'!J109</f>
        <v>29000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40283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29000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11871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11871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28412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28412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40283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40283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40283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40283</v>
      </c>
      <c r="D7224" s="2" t="str">
        <f t="shared" si="111"/>
        <v>Error?</v>
      </c>
    </row>
    <row r="7225" spans="1:4" x14ac:dyDescent="0.2">
      <c r="A7225">
        <v>7164</v>
      </c>
      <c r="B7225" s="138">
        <f>'Expenditures 15-22'!K343</f>
        <v>-11283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119833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843</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12657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24664</v>
      </c>
      <c r="D7797" s="2" t="str">
        <f t="shared" si="127"/>
        <v>Error?</v>
      </c>
      <c r="E7797" s="4" t="s">
        <v>1903</v>
      </c>
    </row>
    <row r="7798" spans="1:5" x14ac:dyDescent="0.2">
      <c r="A7798">
        <v>7737</v>
      </c>
      <c r="B7798" s="138">
        <f>'Contracts Paid in CY 29'!F141</f>
        <v>24664</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15" sqref="H1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Newark CCSD 66</v>
      </c>
      <c r="B7" s="2389"/>
      <c r="C7" s="2389"/>
      <c r="D7" s="2426"/>
      <c r="E7" s="2427">
        <f>COVER!A13</f>
        <v>24047066004</v>
      </c>
      <c r="F7" s="2428"/>
      <c r="G7" s="2395" t="str">
        <f>COVER!T23</f>
        <v>066-005100</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Mack &amp; Associates, P.C.</v>
      </c>
      <c r="H9" s="2402"/>
      <c r="I9" s="2402"/>
      <c r="J9" s="2402"/>
      <c r="K9" s="2402"/>
      <c r="L9" s="2403"/>
    </row>
    <row r="10" spans="1:29" ht="13.5" customHeight="1" x14ac:dyDescent="0.2">
      <c r="A10" s="2385" t="str">
        <f>COVER!A38</f>
        <v>Demetra Turman</v>
      </c>
      <c r="B10" s="2386"/>
      <c r="C10" s="2386"/>
      <c r="D10" s="2386"/>
      <c r="E10" s="2386"/>
      <c r="F10" s="2387"/>
      <c r="G10" s="2401" t="str">
        <f>COVER!T17</f>
        <v>116 E. Washington St., Suite One</v>
      </c>
      <c r="H10" s="2414"/>
      <c r="I10" s="2414"/>
      <c r="J10" s="2414"/>
      <c r="K10" s="2414"/>
      <c r="L10" s="2415"/>
    </row>
    <row r="11" spans="1:29" ht="13.5" customHeight="1" x14ac:dyDescent="0.2">
      <c r="A11" s="1184" t="s">
        <v>1519</v>
      </c>
      <c r="B11" s="1185"/>
      <c r="C11" s="1186"/>
      <c r="D11" s="1191"/>
      <c r="E11" s="1186"/>
      <c r="F11" s="1190"/>
      <c r="G11" s="2401" t="str">
        <f>COVER!T19</f>
        <v>Morris</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tmack@mackcpas.com</v>
      </c>
      <c r="J13" s="2423"/>
      <c r="K13" s="2423"/>
      <c r="L13" s="2424"/>
    </row>
    <row r="14" spans="1:29" ht="13.5" customHeight="1" x14ac:dyDescent="0.2">
      <c r="A14" s="2401" t="str">
        <f>COVER!A19</f>
        <v>503 Chicago Road</v>
      </c>
      <c r="B14" s="2414"/>
      <c r="C14" s="2414"/>
      <c r="D14" s="2414"/>
      <c r="E14" s="2414"/>
      <c r="F14" s="2415"/>
      <c r="G14" s="1195" t="s">
        <v>1185</v>
      </c>
      <c r="H14" s="1193"/>
      <c r="I14" s="1193"/>
      <c r="J14" s="1193"/>
      <c r="K14" s="1193"/>
      <c r="L14" s="1194"/>
    </row>
    <row r="15" spans="1:29" ht="13.5" customHeight="1" x14ac:dyDescent="0.2">
      <c r="A15" s="2401" t="str">
        <f>COVER!A21</f>
        <v>Newark</v>
      </c>
      <c r="B15" s="2414"/>
      <c r="C15" s="2414"/>
      <c r="D15" s="2414"/>
      <c r="E15" s="2414"/>
      <c r="F15" s="2415"/>
      <c r="G15" s="2411" t="str">
        <f>COVER!T15</f>
        <v>Tawnya Mack, CPA</v>
      </c>
      <c r="H15" s="2412"/>
      <c r="I15" s="2412"/>
      <c r="J15" s="2412"/>
      <c r="K15" s="2412"/>
      <c r="L15" s="2413"/>
    </row>
    <row r="16" spans="1:29" ht="12.2" customHeight="1" x14ac:dyDescent="0.2">
      <c r="A16" s="2391">
        <f>COVER!A25</f>
        <v>60541</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815-942-3306</v>
      </c>
      <c r="H18" s="2389"/>
      <c r="I18" s="2389"/>
      <c r="J18" s="2389"/>
      <c r="K18" s="2388" t="str">
        <f>COVER!X21</f>
        <v>815-942-9430</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15" sqref="H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Newark CCSD 66</v>
      </c>
      <c r="B1" s="2425"/>
      <c r="C1" s="2425"/>
      <c r="D1" s="2425"/>
    </row>
    <row r="2" spans="1:11" s="1212" customFormat="1" ht="12.75" x14ac:dyDescent="0.2">
      <c r="A2" s="2430">
        <f>'Single Audit Cover'!E7</f>
        <v>24047066004</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15" sqref="H1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Newark CCSD 66</v>
      </c>
      <c r="B1" s="2433"/>
      <c r="C1" s="2433"/>
      <c r="D1" s="2433"/>
      <c r="E1" s="2433"/>
    </row>
    <row r="2" spans="1:5" x14ac:dyDescent="0.2">
      <c r="A2" s="2434">
        <f>'Single Audit Cover'!E7</f>
        <v>24047066004</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121001</v>
      </c>
    </row>
    <row r="11" spans="1:5" ht="18" customHeight="1" x14ac:dyDescent="0.2">
      <c r="A11" s="1258" t="s">
        <v>1240</v>
      </c>
      <c r="B11" s="1259"/>
      <c r="C11" s="1259"/>
    </row>
    <row r="12" spans="1:5" x14ac:dyDescent="0.2">
      <c r="A12" s="1258" t="s">
        <v>1239</v>
      </c>
      <c r="B12" s="1259" t="s">
        <v>1238</v>
      </c>
      <c r="C12" s="1259"/>
      <c r="D12" s="1261">
        <f>SUM('Revenues 9-14'!C112:D112,'Revenues 9-14'!F112:G112)</f>
        <v>18009</v>
      </c>
    </row>
    <row r="13" spans="1:5" x14ac:dyDescent="0.2">
      <c r="A13" s="1258" t="s">
        <v>1237</v>
      </c>
      <c r="B13" s="1259"/>
      <c r="C13" s="1259"/>
    </row>
    <row r="14" spans="1:5" x14ac:dyDescent="0.2">
      <c r="A14" s="1258" t="s">
        <v>1727</v>
      </c>
      <c r="B14" s="1259"/>
      <c r="C14" s="1259"/>
      <c r="D14" s="1261">
        <f>'ICR Computation 30'!E11</f>
        <v>7465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146475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146475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146475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H15" sqref="H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Newark CCSD 66</v>
      </c>
      <c r="C1" s="2437"/>
      <c r="D1" s="2437"/>
      <c r="E1" s="2437"/>
      <c r="F1" s="2437"/>
      <c r="G1" s="2437"/>
      <c r="H1" s="2437"/>
      <c r="I1" s="2437"/>
      <c r="J1" s="2437"/>
      <c r="K1" s="2437"/>
      <c r="L1" s="2437"/>
      <c r="M1" s="2437"/>
    </row>
    <row r="2" spans="2:14" ht="15" x14ac:dyDescent="0.2">
      <c r="B2" s="2438">
        <f>'Single Audit Cover'!E7</f>
        <v>24047066004</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H15" sqref="H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Newark CCSD 66</v>
      </c>
      <c r="B1" s="2442"/>
      <c r="C1" s="2442"/>
      <c r="D1" s="2442"/>
      <c r="E1" s="2442"/>
      <c r="F1" s="2442"/>
    </row>
    <row r="2" spans="1:7" ht="13.5" customHeight="1" x14ac:dyDescent="0.2">
      <c r="A2" s="2438">
        <f>'Single Audit Cover'!E7</f>
        <v>24047066004</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8" colorId="8" zoomScale="110" zoomScaleNormal="110" workbookViewId="0">
      <selection activeCell="H15" sqref="H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36100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2069</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t="s">
        <v>2082</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H15" sqref="H1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Newark CCSD 66</v>
      </c>
      <c r="C1" s="2458"/>
      <c r="D1" s="2458"/>
      <c r="E1" s="2458"/>
      <c r="F1" s="2458"/>
      <c r="G1" s="2458"/>
      <c r="H1" s="2458"/>
      <c r="I1" s="2458"/>
      <c r="J1" s="1406"/>
    </row>
    <row r="2" spans="2:10" s="317" customFormat="1" ht="12.75" customHeight="1" x14ac:dyDescent="0.2">
      <c r="B2" s="2459">
        <f>'Single Audit Cover'!E7</f>
        <v>24047066004</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2062</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H15" sqref="H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Newark CCSD 66</v>
      </c>
      <c r="C1" s="2457"/>
      <c r="D1" s="2457"/>
      <c r="E1" s="2457"/>
      <c r="F1" s="2457"/>
      <c r="G1" s="2457"/>
      <c r="H1" s="2457"/>
      <c r="I1" s="2457"/>
      <c r="J1" s="2457"/>
      <c r="K1" s="2457"/>
      <c r="L1" s="1371"/>
      <c r="M1" s="1371"/>
    </row>
    <row r="2" spans="1:13" ht="12" customHeight="1" x14ac:dyDescent="0.2">
      <c r="B2" s="2459">
        <f>'Single Audit Cover'!E7</f>
        <v>24047066004</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15" sqref="H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Newark CCSD 66</v>
      </c>
      <c r="C1" s="2484"/>
      <c r="D1" s="2484"/>
      <c r="E1" s="2484"/>
      <c r="F1" s="2484"/>
      <c r="G1" s="2484"/>
      <c r="H1" s="2484"/>
      <c r="I1" s="2484"/>
      <c r="J1" s="2484"/>
      <c r="K1" s="2484"/>
      <c r="L1" s="1449"/>
    </row>
    <row r="2" spans="1:12" ht="12.75" customHeight="1" x14ac:dyDescent="0.2">
      <c r="B2" s="2485">
        <f>'Single Audit Cover'!E7</f>
        <v>24047066004</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15" sqref="H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Newark CCSD 66</v>
      </c>
      <c r="C1" s="2457"/>
      <c r="D1" s="2457"/>
      <c r="E1" s="1469"/>
    </row>
    <row r="2" spans="2:5" s="1279" customFormat="1" ht="12.75" customHeight="1" x14ac:dyDescent="0.2">
      <c r="B2" s="2459">
        <f>'Single Audit Cover'!E7</f>
        <v>24047066004</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0" colorId="8" zoomScale="110" zoomScaleNormal="110" workbookViewId="0">
      <selection activeCell="H15" sqref="H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78665924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2.2528400000000001E-2</v>
      </c>
      <c r="E10" s="356" t="s">
        <v>1005</v>
      </c>
      <c r="F10" s="355">
        <v>3.4009999999999999E-3</v>
      </c>
      <c r="G10" s="356" t="s">
        <v>1005</v>
      </c>
      <c r="H10" s="355">
        <v>1.0594000000000001E-3</v>
      </c>
      <c r="I10" s="356" t="s">
        <v>1006</v>
      </c>
      <c r="J10" s="1732">
        <f>ROUND(D10+F10+H10,5)</f>
        <v>2.699E-2</v>
      </c>
      <c r="K10" s="222"/>
      <c r="L10" s="355">
        <v>4.3639999999999998E-4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2716350</v>
      </c>
      <c r="E16" s="356"/>
      <c r="F16" s="1733">
        <f>SUM('Acct Summary 7-8'!C17,'Acct Summary 7-8'!D17,'Acct Summary 7-8'!F17)</f>
        <v>2272405</v>
      </c>
      <c r="G16" s="356"/>
      <c r="H16" s="1733">
        <f>SUM(D16-F16)</f>
        <v>443945</v>
      </c>
      <c r="I16" s="222"/>
      <c r="J16" s="1733">
        <f>SUM('Acct Summary 7-8'!C81,'Acct Summary 7-8'!D81,'Acct Summary 7-8'!F81,'Acct Summary 7-8'!I81)</f>
        <v>3097758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5427948.7560000001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1033743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15" sqref="H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Newark CCSD 66</v>
      </c>
      <c r="E7" s="391"/>
      <c r="G7" s="252"/>
      <c r="H7" s="387"/>
      <c r="I7" s="387"/>
      <c r="J7" s="387"/>
      <c r="K7" s="387"/>
      <c r="L7" s="329"/>
      <c r="M7" s="329"/>
      <c r="N7" s="329"/>
      <c r="O7" s="329"/>
      <c r="P7" s="329"/>
    </row>
    <row r="8" spans="1:18" ht="12.75" x14ac:dyDescent="0.2">
      <c r="A8" s="329"/>
      <c r="B8" s="329"/>
      <c r="C8" s="389" t="s">
        <v>1125</v>
      </c>
      <c r="D8" s="392">
        <f>COVER!A13</f>
        <v>24047066004</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3097758</v>
      </c>
      <c r="I12" s="404"/>
      <c r="J12" s="404"/>
      <c r="K12" s="405">
        <f>TRUNC((H12/H13*100000),5)/100000</f>
        <v>1.1404119498</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2716350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2272405</v>
      </c>
      <c r="I17" s="404"/>
      <c r="J17" s="416"/>
      <c r="K17" s="405">
        <f>TRUNC((H17/H18*100000),5)/100000</f>
        <v>0.83656561189999989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2716350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3097601</v>
      </c>
      <c r="I24" s="422"/>
      <c r="J24" s="422"/>
      <c r="K24" s="423">
        <f>TRUNC(((H24/H25*100000)/100000),2)</f>
        <v>490.72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6312.2361099999998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1804714.2954500001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1033743</v>
      </c>
      <c r="I32" s="420"/>
      <c r="J32" s="420"/>
      <c r="K32" s="423">
        <f>TRUNC(100-((((H32/H33*100))*100)/100),2)</f>
        <v>80.95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5427948.7560000001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activeCell="H15" sqref="H15"/>
      <selection pane="bottomLeft" activeCell="H15" sqref="H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17895</v>
      </c>
      <c r="D4" s="466">
        <v>5809</v>
      </c>
      <c r="E4" s="466"/>
      <c r="F4" s="466">
        <v>7024</v>
      </c>
      <c r="G4" s="466">
        <v>5961</v>
      </c>
      <c r="H4" s="466"/>
      <c r="I4" s="466"/>
      <c r="J4" s="467"/>
      <c r="K4" s="466"/>
      <c r="L4" s="466">
        <v>1118</v>
      </c>
      <c r="M4" s="468"/>
      <c r="N4" s="469"/>
    </row>
    <row r="5" spans="1:14" x14ac:dyDescent="0.2">
      <c r="A5" s="463" t="s">
        <v>992</v>
      </c>
      <c r="B5" s="470">
        <v>120</v>
      </c>
      <c r="C5" s="465">
        <v>2466678</v>
      </c>
      <c r="D5" s="466">
        <v>310906</v>
      </c>
      <c r="E5" s="466">
        <v>85425</v>
      </c>
      <c r="F5" s="466">
        <v>184556</v>
      </c>
      <c r="G5" s="466">
        <v>127084</v>
      </c>
      <c r="H5" s="466">
        <v>3457</v>
      </c>
      <c r="I5" s="466">
        <v>104733</v>
      </c>
      <c r="J5" s="467">
        <v>42635</v>
      </c>
      <c r="K5" s="471">
        <v>51411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157</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2484730</v>
      </c>
      <c r="D13" s="1737">
        <f t="shared" ref="D13:L13" si="0">SUM(D4:D12)</f>
        <v>316715</v>
      </c>
      <c r="E13" s="1737">
        <f t="shared" si="0"/>
        <v>85425</v>
      </c>
      <c r="F13" s="1737">
        <f t="shared" si="0"/>
        <v>191580</v>
      </c>
      <c r="G13" s="1737">
        <f t="shared" si="0"/>
        <v>133045</v>
      </c>
      <c r="H13" s="1737">
        <f t="shared" si="0"/>
        <v>3457</v>
      </c>
      <c r="I13" s="1737">
        <f t="shared" si="0"/>
        <v>104733</v>
      </c>
      <c r="J13" s="1737">
        <f t="shared" si="0"/>
        <v>42635</v>
      </c>
      <c r="K13" s="1737">
        <f t="shared" si="0"/>
        <v>51411</v>
      </c>
      <c r="L13" s="1737">
        <f t="shared" si="0"/>
        <v>1118</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56122</v>
      </c>
      <c r="N16" s="484"/>
    </row>
    <row r="17" spans="1:14" s="485" customFormat="1" ht="12.75" customHeight="1" x14ac:dyDescent="0.2">
      <c r="A17" s="482" t="s">
        <v>1403</v>
      </c>
      <c r="B17" s="483">
        <v>230</v>
      </c>
      <c r="C17" s="477"/>
      <c r="D17" s="477"/>
      <c r="E17" s="477"/>
      <c r="F17" s="477"/>
      <c r="G17" s="477"/>
      <c r="H17" s="477"/>
      <c r="I17" s="477"/>
      <c r="J17" s="477"/>
      <c r="K17" s="477"/>
      <c r="L17" s="477"/>
      <c r="M17" s="467">
        <v>2852985</v>
      </c>
      <c r="N17" s="484"/>
    </row>
    <row r="18" spans="1:14" s="485" customFormat="1" ht="12.75" customHeight="1" x14ac:dyDescent="0.2">
      <c r="A18" s="482" t="s">
        <v>1404</v>
      </c>
      <c r="B18" s="483">
        <v>240</v>
      </c>
      <c r="C18" s="477"/>
      <c r="D18" s="477"/>
      <c r="E18" s="477"/>
      <c r="F18" s="477"/>
      <c r="G18" s="477"/>
      <c r="H18" s="477"/>
      <c r="I18" s="477"/>
      <c r="J18" s="477"/>
      <c r="K18" s="477"/>
      <c r="L18" s="477"/>
      <c r="M18" s="467">
        <v>231567</v>
      </c>
      <c r="N18" s="484"/>
    </row>
    <row r="19" spans="1:14" s="485" customFormat="1" ht="12.75" customHeight="1" x14ac:dyDescent="0.2">
      <c r="A19" s="482" t="s">
        <v>1405</v>
      </c>
      <c r="B19" s="483">
        <v>250</v>
      </c>
      <c r="C19" s="477"/>
      <c r="D19" s="477"/>
      <c r="E19" s="477"/>
      <c r="F19" s="477"/>
      <c r="G19" s="477"/>
      <c r="H19" s="477"/>
      <c r="I19" s="477"/>
      <c r="J19" s="477"/>
      <c r="K19" s="477"/>
      <c r="L19" s="477"/>
      <c r="M19" s="467">
        <f>276815+38797</f>
        <v>315612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85425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948318</v>
      </c>
    </row>
    <row r="23" spans="1:14" ht="13.5" customHeight="1" thickBot="1" x14ac:dyDescent="0.25">
      <c r="A23" s="1736" t="s">
        <v>643</v>
      </c>
      <c r="B23" s="1741"/>
      <c r="C23" s="468"/>
      <c r="D23" s="468"/>
      <c r="E23" s="468"/>
      <c r="F23" s="468"/>
      <c r="G23" s="468"/>
      <c r="H23" s="468"/>
      <c r="I23" s="468"/>
      <c r="J23" s="468"/>
      <c r="K23" s="468"/>
      <c r="L23" s="468"/>
      <c r="M23" s="1688">
        <f>SUM(M15:M22)</f>
        <v>3456286</v>
      </c>
      <c r="N23" s="1688">
        <f>SUM(N21:N22)</f>
        <v>1033743</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1118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1118</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1033743</v>
      </c>
    </row>
    <row r="37" spans="1:14" ht="13.5" thickBot="1" x14ac:dyDescent="0.25">
      <c r="A37" s="1736" t="s">
        <v>653</v>
      </c>
      <c r="B37" s="1741"/>
      <c r="C37" s="477"/>
      <c r="D37" s="477"/>
      <c r="E37" s="477"/>
      <c r="F37" s="477"/>
      <c r="G37" s="477"/>
      <c r="H37" s="477"/>
      <c r="I37" s="477"/>
      <c r="J37" s="477"/>
      <c r="K37" s="477"/>
      <c r="L37" s="480"/>
      <c r="M37" s="468"/>
      <c r="N37" s="1688">
        <f>SUM(N36:N36)</f>
        <v>1033743</v>
      </c>
    </row>
    <row r="38" spans="1:14" s="329" customFormat="1" ht="13.5" customHeight="1" thickTop="1" x14ac:dyDescent="0.2">
      <c r="A38" s="496" t="s">
        <v>420</v>
      </c>
      <c r="B38" s="483">
        <v>714</v>
      </c>
      <c r="C38" s="466">
        <v>106762</v>
      </c>
      <c r="D38" s="466"/>
      <c r="E38" s="466"/>
      <c r="F38" s="466"/>
      <c r="G38" s="466">
        <v>227237</v>
      </c>
      <c r="H38" s="466"/>
      <c r="I38" s="466"/>
      <c r="J38" s="467"/>
      <c r="K38" s="466"/>
      <c r="L38" s="481"/>
      <c r="M38" s="497"/>
      <c r="N38" s="497"/>
    </row>
    <row r="39" spans="1:14" s="329" customFormat="1" ht="13.5" customHeight="1" x14ac:dyDescent="0.2">
      <c r="A39" s="496" t="s">
        <v>342</v>
      </c>
      <c r="B39" s="483">
        <v>730</v>
      </c>
      <c r="C39" s="466">
        <v>2377968</v>
      </c>
      <c r="D39" s="466">
        <v>316715</v>
      </c>
      <c r="E39" s="466">
        <v>85425</v>
      </c>
      <c r="F39" s="466">
        <v>191580</v>
      </c>
      <c r="G39" s="466">
        <v>-94192</v>
      </c>
      <c r="H39" s="466">
        <v>3457</v>
      </c>
      <c r="I39" s="466">
        <v>104733</v>
      </c>
      <c r="J39" s="467">
        <v>42635</v>
      </c>
      <c r="K39" s="466">
        <v>51411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3456286</v>
      </c>
      <c r="N40" s="497"/>
    </row>
    <row r="41" spans="1:14" ht="13.5" customHeight="1" thickBot="1" x14ac:dyDescent="0.25">
      <c r="A41" s="1736" t="s">
        <v>655</v>
      </c>
      <c r="B41" s="1706"/>
      <c r="C41" s="1688">
        <f>(SUM(C34,C37,C38,C39))</f>
        <v>2484730</v>
      </c>
      <c r="D41" s="1688">
        <f t="shared" ref="D41:L41" si="2">SUM(D34,D37,D38:D39)</f>
        <v>316715</v>
      </c>
      <c r="E41" s="1688">
        <f t="shared" si="2"/>
        <v>85425</v>
      </c>
      <c r="F41" s="1688">
        <f t="shared" si="2"/>
        <v>191580</v>
      </c>
      <c r="G41" s="1688">
        <f t="shared" si="2"/>
        <v>133045</v>
      </c>
      <c r="H41" s="1688">
        <f t="shared" si="2"/>
        <v>3457</v>
      </c>
      <c r="I41" s="1688">
        <f t="shared" si="2"/>
        <v>104733</v>
      </c>
      <c r="J41" s="1688">
        <f t="shared" si="2"/>
        <v>42635</v>
      </c>
      <c r="K41" s="1688">
        <f t="shared" si="2"/>
        <v>51411</v>
      </c>
      <c r="L41" s="1688">
        <f t="shared" si="2"/>
        <v>1118</v>
      </c>
      <c r="M41" s="1688">
        <f>SUM(M40)</f>
        <v>3456286</v>
      </c>
      <c r="N41" s="1688">
        <f>SUM(N37)</f>
        <v>1033743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 activePane="bottomLeft" state="frozen"/>
      <selection activeCell="H15" sqref="H15"/>
      <selection pane="bottomLeft" activeCell="H15" sqref="H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1948448</v>
      </c>
      <c r="D4" s="1742">
        <f>'Revenues 9-14'!D109</f>
        <v>251483</v>
      </c>
      <c r="E4" s="1742">
        <f>'Revenues 9-14'!E109</f>
        <v>148621</v>
      </c>
      <c r="F4" s="1742">
        <f>'Revenues 9-14'!F109</f>
        <v>84466</v>
      </c>
      <c r="G4" s="1742">
        <f>'Revenues 9-14'!G109</f>
        <v>67274</v>
      </c>
      <c r="H4" s="1742">
        <f>'Revenues 9-14'!H109</f>
        <v>3775</v>
      </c>
      <c r="I4" s="1742">
        <f>'Revenues 9-14'!I109</f>
        <v>34846</v>
      </c>
      <c r="J4" s="1742">
        <f>'Revenues 9-14'!J109</f>
        <v>29000</v>
      </c>
      <c r="K4" s="1742">
        <f>'Revenues 9-14'!K109</f>
        <v>45713</v>
      </c>
      <c r="L4" s="347"/>
    </row>
    <row r="5" spans="1:13" ht="15.75" customHeight="1" x14ac:dyDescent="0.2">
      <c r="A5" s="1576" t="s">
        <v>1500</v>
      </c>
      <c r="B5" s="1577">
        <v>2000</v>
      </c>
      <c r="C5" s="1743">
        <f>'Revenues 9-14'!C114</f>
        <v>18167</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196519</v>
      </c>
      <c r="D6" s="1743">
        <f>'Revenues 9-14'!D170</f>
        <v>0</v>
      </c>
      <c r="E6" s="1743">
        <f>'Revenues 9-14'!E170</f>
        <v>0</v>
      </c>
      <c r="F6" s="1743">
        <f>'Revenues 9-14'!F170</f>
        <v>61420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115541</v>
      </c>
      <c r="D7" s="1743">
        <f>'Revenues 9-14'!D267</f>
        <v>5460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2278675</v>
      </c>
      <c r="D8" s="1688">
        <f t="shared" ref="D8:K8" si="0">SUM(D4:D7)</f>
        <v>256943</v>
      </c>
      <c r="E8" s="1688">
        <f t="shared" si="0"/>
        <v>148621</v>
      </c>
      <c r="F8" s="1688">
        <f t="shared" si="0"/>
        <v>145886</v>
      </c>
      <c r="G8" s="1688">
        <f t="shared" si="0"/>
        <v>67274</v>
      </c>
      <c r="H8" s="1688">
        <f t="shared" si="0"/>
        <v>3775</v>
      </c>
      <c r="I8" s="1688">
        <f t="shared" si="0"/>
        <v>34846</v>
      </c>
      <c r="J8" s="1688">
        <f t="shared" si="0"/>
        <v>29000</v>
      </c>
      <c r="K8" s="1688">
        <f t="shared" si="0"/>
        <v>45713</v>
      </c>
      <c r="L8" s="347"/>
    </row>
    <row r="9" spans="1:13" ht="15.75" thickTop="1" x14ac:dyDescent="0.2">
      <c r="A9" s="514" t="s">
        <v>1653</v>
      </c>
      <c r="B9" s="515">
        <v>3998</v>
      </c>
      <c r="C9" s="481">
        <v>108968</v>
      </c>
      <c r="D9" s="516"/>
      <c r="E9" s="481"/>
      <c r="F9" s="481"/>
      <c r="G9" s="517"/>
      <c r="H9" s="481"/>
      <c r="I9" s="509" t="s">
        <v>1169</v>
      </c>
      <c r="J9" s="478"/>
      <c r="K9" s="481"/>
      <c r="L9" s="347"/>
    </row>
    <row r="10" spans="1:13" s="519" customFormat="1" ht="13.5" thickBot="1" x14ac:dyDescent="0.25">
      <c r="A10" s="1736" t="s">
        <v>1173</v>
      </c>
      <c r="B10" s="1709"/>
      <c r="C10" s="1688">
        <f>SUM(C8:C9)</f>
        <v>2387643</v>
      </c>
      <c r="D10" s="1688">
        <f t="shared" ref="D10:K10" si="1">SUM(D8:D9)</f>
        <v>256943</v>
      </c>
      <c r="E10" s="1688">
        <f t="shared" si="1"/>
        <v>148621</v>
      </c>
      <c r="F10" s="1688">
        <f t="shared" si="1"/>
        <v>145886</v>
      </c>
      <c r="G10" s="1688">
        <f t="shared" si="1"/>
        <v>67274</v>
      </c>
      <c r="H10" s="1688">
        <f t="shared" si="1"/>
        <v>3775</v>
      </c>
      <c r="I10" s="1688">
        <f t="shared" si="1"/>
        <v>34846</v>
      </c>
      <c r="J10" s="1688">
        <f t="shared" si="1"/>
        <v>29000</v>
      </c>
      <c r="K10" s="1688">
        <f t="shared" si="1"/>
        <v>45713</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1057060</v>
      </c>
      <c r="D12" s="520" t="s">
        <v>1169</v>
      </c>
      <c r="E12" s="468" t="s">
        <v>1169</v>
      </c>
      <c r="F12" s="468" t="s">
        <v>1169</v>
      </c>
      <c r="G12" s="1742">
        <f>'Expenditures 15-22'!K229</f>
        <v>23754</v>
      </c>
      <c r="H12" s="521"/>
      <c r="I12" s="468" t="s">
        <v>1169</v>
      </c>
      <c r="J12" s="468" t="s">
        <v>1169</v>
      </c>
      <c r="K12" s="521" t="s">
        <v>1169</v>
      </c>
      <c r="L12" s="347"/>
    </row>
    <row r="13" spans="1:13" ht="15.75" customHeight="1" x14ac:dyDescent="0.2">
      <c r="A13" s="1576" t="s">
        <v>457</v>
      </c>
      <c r="B13" s="1578">
        <v>2000</v>
      </c>
      <c r="C13" s="1743">
        <f>'Expenditures 15-22'!K74</f>
        <v>678778</v>
      </c>
      <c r="D13" s="1743">
        <f>'Expenditures 15-22'!K129</f>
        <v>168934</v>
      </c>
      <c r="E13" s="469" t="s">
        <v>1169</v>
      </c>
      <c r="F13" s="1743">
        <f>'Expenditures 15-22'!K184</f>
        <v>8350</v>
      </c>
      <c r="G13" s="1743">
        <f>'Expenditures 15-22'!K279</f>
        <v>47306</v>
      </c>
      <c r="H13" s="1743">
        <f>'Expenditures 15-22'!K303</f>
        <v>1091</v>
      </c>
      <c r="I13" s="468" t="s">
        <v>1169</v>
      </c>
      <c r="J13" s="1743">
        <f>'Expenditures 15-22'!K330</f>
        <v>40283</v>
      </c>
      <c r="K13" s="1747">
        <f>'Expenditures 15-22'!K352</f>
        <v>33997</v>
      </c>
      <c r="L13" s="347"/>
    </row>
    <row r="14" spans="1:13" ht="15.75" customHeight="1" x14ac:dyDescent="0.2">
      <c r="A14" s="1576" t="s">
        <v>449</v>
      </c>
      <c r="B14" s="1578">
        <v>3000</v>
      </c>
      <c r="C14" s="1743">
        <f>'Expenditures 15-22'!K75</f>
        <v>42</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232196</v>
      </c>
      <c r="D15" s="1743">
        <f>'Expenditures 15-22'!K139</f>
        <v>0</v>
      </c>
      <c r="E15" s="1743">
        <f>'Expenditures 15-22'!K160</f>
        <v>0</v>
      </c>
      <c r="F15" s="1743">
        <f>'Expenditures 15-22'!K196</f>
        <v>127045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152249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1968076</v>
      </c>
      <c r="D17" s="1688">
        <f t="shared" si="2"/>
        <v>168934</v>
      </c>
      <c r="E17" s="1688">
        <f t="shared" si="2"/>
        <v>152249</v>
      </c>
      <c r="F17" s="1688">
        <f t="shared" si="2"/>
        <v>135395</v>
      </c>
      <c r="G17" s="1688">
        <f t="shared" si="2"/>
        <v>71060</v>
      </c>
      <c r="H17" s="1688">
        <f t="shared" si="2"/>
        <v>1091</v>
      </c>
      <c r="I17" s="468"/>
      <c r="J17" s="1688">
        <f>SUM(J12:J16)</f>
        <v>40283</v>
      </c>
      <c r="K17" s="1688">
        <f>SUM(K12:K16)</f>
        <v>33997</v>
      </c>
      <c r="L17" s="347"/>
    </row>
    <row r="18" spans="1:12" ht="15" customHeight="1" thickTop="1" x14ac:dyDescent="0.2">
      <c r="A18" s="1744" t="s">
        <v>1654</v>
      </c>
      <c r="B18" s="1745">
        <v>4180</v>
      </c>
      <c r="C18" s="1742">
        <f t="shared" ref="C18:H18" si="3">C9</f>
        <v>108968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2077044</v>
      </c>
      <c r="D19" s="1688">
        <f t="shared" si="4"/>
        <v>168934</v>
      </c>
      <c r="E19" s="1688">
        <f t="shared" si="4"/>
        <v>152249</v>
      </c>
      <c r="F19" s="1688">
        <f t="shared" si="4"/>
        <v>135395</v>
      </c>
      <c r="G19" s="1688">
        <f t="shared" si="4"/>
        <v>71060</v>
      </c>
      <c r="H19" s="1688">
        <f t="shared" si="4"/>
        <v>1091</v>
      </c>
      <c r="I19" s="468"/>
      <c r="J19" s="1688">
        <f>SUM(J17:J18)</f>
        <v>40283</v>
      </c>
      <c r="K19" s="1688">
        <f>SUM(K17:K18)</f>
        <v>33997</v>
      </c>
      <c r="L19" s="347"/>
    </row>
    <row r="20" spans="1:12" ht="16.5" thickTop="1" thickBot="1" x14ac:dyDescent="0.25">
      <c r="A20" s="2130" t="s">
        <v>1655</v>
      </c>
      <c r="B20" s="2131"/>
      <c r="C20" s="1746">
        <f>C8-C17</f>
        <v>310599</v>
      </c>
      <c r="D20" s="1746">
        <f t="shared" ref="D20:K20" si="5">D8-D17</f>
        <v>88009</v>
      </c>
      <c r="E20" s="1746">
        <f t="shared" si="5"/>
        <v>-3628</v>
      </c>
      <c r="F20" s="1746">
        <f t="shared" si="5"/>
        <v>10491</v>
      </c>
      <c r="G20" s="1746">
        <f t="shared" si="5"/>
        <v>-3786</v>
      </c>
      <c r="H20" s="1746">
        <f t="shared" si="5"/>
        <v>2684</v>
      </c>
      <c r="I20" s="1746">
        <f t="shared" si="5"/>
        <v>34846</v>
      </c>
      <c r="J20" s="1746">
        <f t="shared" si="5"/>
        <v>-11283</v>
      </c>
      <c r="K20" s="1746">
        <f t="shared" si="5"/>
        <v>11716</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50000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843</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50000</v>
      </c>
      <c r="E44" s="1703">
        <f t="shared" si="6"/>
        <v>843</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50000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v>843</v>
      </c>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50000</v>
      </c>
      <c r="D76" s="1703">
        <f t="shared" si="7"/>
        <v>843</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-50000</v>
      </c>
      <c r="D77" s="1703">
        <f t="shared" si="8"/>
        <v>49157</v>
      </c>
      <c r="E77" s="1703">
        <f t="shared" si="8"/>
        <v>843</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260599</v>
      </c>
      <c r="D78" s="1702">
        <f t="shared" si="9"/>
        <v>137166</v>
      </c>
      <c r="E78" s="1702">
        <f t="shared" si="9"/>
        <v>-2785</v>
      </c>
      <c r="F78" s="1702">
        <f t="shared" si="9"/>
        <v>10491</v>
      </c>
      <c r="G78" s="1702">
        <f t="shared" si="9"/>
        <v>-3786</v>
      </c>
      <c r="H78" s="1702">
        <f t="shared" si="9"/>
        <v>2684</v>
      </c>
      <c r="I78" s="1702">
        <f t="shared" si="9"/>
        <v>34846</v>
      </c>
      <c r="J78" s="1702">
        <f t="shared" si="9"/>
        <v>-11283</v>
      </c>
      <c r="K78" s="1702">
        <f t="shared" si="9"/>
        <v>11716</v>
      </c>
      <c r="L78" s="533"/>
    </row>
    <row r="79" spans="1:12" ht="13.5" thickTop="1" x14ac:dyDescent="0.2">
      <c r="A79" s="1494" t="s">
        <v>1947</v>
      </c>
      <c r="B79" s="534"/>
      <c r="C79" s="478">
        <v>2224131</v>
      </c>
      <c r="D79" s="535">
        <v>179549</v>
      </c>
      <c r="E79" s="535">
        <v>88210</v>
      </c>
      <c r="F79" s="535">
        <v>181089</v>
      </c>
      <c r="G79" s="535">
        <v>136831</v>
      </c>
      <c r="H79" s="535">
        <v>773</v>
      </c>
      <c r="I79" s="535">
        <v>69887</v>
      </c>
      <c r="J79" s="535">
        <v>53918</v>
      </c>
      <c r="K79" s="535">
        <v>39695</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2484730</v>
      </c>
      <c r="D81" s="1688">
        <f>SUM(D78:D80)</f>
        <v>316715</v>
      </c>
      <c r="E81" s="1688">
        <f t="shared" ref="E81:K81" si="10">SUM(E78:E80)</f>
        <v>85425</v>
      </c>
      <c r="F81" s="1688">
        <f t="shared" si="10"/>
        <v>191580</v>
      </c>
      <c r="G81" s="1688">
        <f t="shared" si="10"/>
        <v>133045</v>
      </c>
      <c r="H81" s="1688">
        <f t="shared" si="10"/>
        <v>3457</v>
      </c>
      <c r="I81" s="1688">
        <f t="shared" si="10"/>
        <v>104733</v>
      </c>
      <c r="J81" s="1688">
        <f t="shared" si="10"/>
        <v>42635</v>
      </c>
      <c r="K81" s="1688">
        <f t="shared" si="10"/>
        <v>51411</v>
      </c>
      <c r="L81" s="347"/>
    </row>
    <row r="82" spans="1:12" ht="0.75" customHeight="1" thickTop="1" thickBot="1" x14ac:dyDescent="0.25">
      <c r="A82" s="536" t="s">
        <v>343</v>
      </c>
      <c r="B82" s="537"/>
      <c r="C82" s="538">
        <f>(C81-C79)</f>
        <v>260599</v>
      </c>
      <c r="D82" s="538">
        <f t="shared" ref="D82:K82" si="11">(D81-D79)</f>
        <v>137166</v>
      </c>
      <c r="E82" s="538">
        <f t="shared" si="11"/>
        <v>-2785</v>
      </c>
      <c r="F82" s="538">
        <f t="shared" si="11"/>
        <v>10491</v>
      </c>
      <c r="G82" s="538">
        <f t="shared" si="11"/>
        <v>-3786</v>
      </c>
      <c r="H82" s="538">
        <f t="shared" si="11"/>
        <v>2684</v>
      </c>
      <c r="I82" s="538">
        <f t="shared" si="11"/>
        <v>34846</v>
      </c>
      <c r="J82" s="538">
        <f t="shared" si="11"/>
        <v>-11283</v>
      </c>
      <c r="K82" s="538">
        <f t="shared" si="11"/>
        <v>11716</v>
      </c>
    </row>
    <row r="83" spans="1:12" ht="14.25" hidden="1" thickTop="1" thickBot="1" x14ac:dyDescent="0.25">
      <c r="A83" s="539" t="s">
        <v>344</v>
      </c>
      <c r="B83" s="464"/>
      <c r="C83" s="540">
        <f>C82/C81</f>
        <v>0.10488020831237196</v>
      </c>
      <c r="D83" s="540">
        <f t="shared" ref="D83:K83" si="12">D82/D81</f>
        <v>0.43308968631103673</v>
      </c>
      <c r="E83" s="540">
        <f t="shared" si="12"/>
        <v>-3.2601697395376064E-2</v>
      </c>
      <c r="F83" s="540">
        <f t="shared" si="12"/>
        <v>5.4760413404321952E-2</v>
      </c>
      <c r="G83" s="540">
        <f t="shared" si="12"/>
        <v>-2.8456537261828705E-2</v>
      </c>
      <c r="H83" s="540">
        <f t="shared" si="12"/>
        <v>0.77639571883135672</v>
      </c>
      <c r="I83" s="540">
        <f t="shared" si="12"/>
        <v>0.33271270755158355</v>
      </c>
      <c r="J83" s="540">
        <f t="shared" si="12"/>
        <v>-0.26464172628122434</v>
      </c>
      <c r="K83" s="540">
        <f t="shared" si="12"/>
        <v>0.22788897317694656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Normal="100" zoomScaleSheetLayoutView="75" workbookViewId="0">
      <pane ySplit="2" topLeftCell="A150" activePane="bottomLeft" state="frozen"/>
      <selection activeCell="H15" sqref="H15"/>
      <selection pane="bottomLeft" activeCell="C180" sqref="C18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1728602</v>
      </c>
      <c r="D5" s="481">
        <v>242579</v>
      </c>
      <c r="E5" s="466">
        <v>147856</v>
      </c>
      <c r="F5" s="548">
        <v>81282</v>
      </c>
      <c r="G5" s="466">
        <v>14740</v>
      </c>
      <c r="H5" s="466"/>
      <c r="I5" s="466">
        <v>33484</v>
      </c>
      <c r="J5" s="467">
        <v>28444</v>
      </c>
      <c r="K5" s="466">
        <v>45161</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12657</v>
      </c>
      <c r="D7" s="466"/>
      <c r="E7" s="468"/>
      <c r="F7" s="467"/>
      <c r="G7" s="467"/>
      <c r="H7" s="467"/>
      <c r="I7" s="468"/>
      <c r="J7" s="468"/>
      <c r="K7" s="468"/>
    </row>
    <row r="8" spans="1:12" x14ac:dyDescent="0.2">
      <c r="A8" s="463" t="s">
        <v>413</v>
      </c>
      <c r="B8" s="470">
        <v>1150</v>
      </c>
      <c r="C8" s="475"/>
      <c r="D8" s="475"/>
      <c r="E8" s="477"/>
      <c r="F8" s="477"/>
      <c r="G8" s="481">
        <v>45517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1741259</v>
      </c>
      <c r="D12" s="1707">
        <f t="shared" si="0"/>
        <v>242579</v>
      </c>
      <c r="E12" s="1707">
        <f t="shared" si="0"/>
        <v>147856</v>
      </c>
      <c r="F12" s="1707">
        <f t="shared" si="0"/>
        <v>81282</v>
      </c>
      <c r="G12" s="1707">
        <f t="shared" si="0"/>
        <v>60257</v>
      </c>
      <c r="H12" s="1707">
        <f t="shared" si="0"/>
        <v>0</v>
      </c>
      <c r="I12" s="1707">
        <f t="shared" si="0"/>
        <v>33484</v>
      </c>
      <c r="J12" s="1707">
        <f t="shared" si="0"/>
        <v>28444</v>
      </c>
      <c r="K12" s="1688">
        <f t="shared" si="0"/>
        <v>45161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62707</v>
      </c>
      <c r="D16" s="466"/>
      <c r="E16" s="466"/>
      <c r="F16" s="466"/>
      <c r="G16" s="466">
        <v>5367</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62707</v>
      </c>
      <c r="D18" s="1710">
        <f t="shared" ref="D18:K18" si="1">SUM(D14:D17)</f>
        <v>0</v>
      </c>
      <c r="E18" s="1710">
        <f t="shared" si="1"/>
        <v>0</v>
      </c>
      <c r="F18" s="1710">
        <f t="shared" si="1"/>
        <v>0</v>
      </c>
      <c r="G18" s="1710">
        <f t="shared" si="1"/>
        <v>5367</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33697</v>
      </c>
      <c r="D65" s="466">
        <v>2689</v>
      </c>
      <c r="E65" s="466">
        <v>765</v>
      </c>
      <c r="F65" s="467">
        <v>2255</v>
      </c>
      <c r="G65" s="466">
        <v>1650</v>
      </c>
      <c r="H65" s="466">
        <v>3</v>
      </c>
      <c r="I65" s="466">
        <v>1362</v>
      </c>
      <c r="J65" s="467">
        <v>551</v>
      </c>
      <c r="K65" s="466">
        <v>552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33697</v>
      </c>
      <c r="D67" s="1688">
        <f t="shared" ref="D67:K67" si="2">SUM(D65:D66)</f>
        <v>2689</v>
      </c>
      <c r="E67" s="1688">
        <f t="shared" si="2"/>
        <v>765</v>
      </c>
      <c r="F67" s="1688">
        <f t="shared" si="2"/>
        <v>2255</v>
      </c>
      <c r="G67" s="1688">
        <f t="shared" si="2"/>
        <v>1650</v>
      </c>
      <c r="H67" s="1688">
        <f t="shared" si="2"/>
        <v>3</v>
      </c>
      <c r="I67" s="1688">
        <f t="shared" si="2"/>
        <v>1362</v>
      </c>
      <c r="J67" s="1688">
        <f t="shared" si="2"/>
        <v>551</v>
      </c>
      <c r="K67" s="1688">
        <f t="shared" si="2"/>
        <v>552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44853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47207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3545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9439</v>
      </c>
      <c r="D79" s="466"/>
      <c r="E79" s="468"/>
      <c r="F79" s="468"/>
      <c r="G79" s="468"/>
      <c r="H79" s="468"/>
      <c r="I79" s="468"/>
      <c r="J79" s="468"/>
      <c r="K79" s="468"/>
    </row>
    <row r="80" spans="1:11" ht="12.75" customHeight="1" x14ac:dyDescent="0.2">
      <c r="A80" s="463" t="s">
        <v>551</v>
      </c>
      <c r="B80" s="470">
        <v>1730</v>
      </c>
      <c r="C80" s="551">
        <v>4138</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17122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22597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22597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200</v>
      </c>
      <c r="E95" s="521"/>
      <c r="F95" s="521"/>
      <c r="G95" s="521"/>
      <c r="H95" s="521"/>
      <c r="I95" s="521"/>
      <c r="J95" s="521"/>
      <c r="K95" s="521"/>
    </row>
    <row r="96" spans="1:11" ht="12.75" customHeight="1" x14ac:dyDescent="0.2">
      <c r="A96" s="463" t="s">
        <v>391</v>
      </c>
      <c r="B96" s="470">
        <v>1920</v>
      </c>
      <c r="C96" s="551">
        <v>5173</v>
      </c>
      <c r="D96" s="551">
        <v>5900</v>
      </c>
      <c r="E96" s="479"/>
      <c r="F96" s="478"/>
      <c r="G96" s="478"/>
      <c r="H96" s="478"/>
      <c r="I96" s="478"/>
      <c r="J96" s="478"/>
      <c r="K96" s="478"/>
    </row>
    <row r="97" spans="1:12" ht="12.75" customHeight="1" x14ac:dyDescent="0.2">
      <c r="A97" s="1495" t="s">
        <v>244</v>
      </c>
      <c r="B97" s="559">
        <v>1930</v>
      </c>
      <c r="C97" s="489"/>
      <c r="D97" s="467"/>
      <c r="E97" s="474"/>
      <c r="F97" s="467"/>
      <c r="G97" s="467"/>
      <c r="H97" s="467">
        <v>3772</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148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16564</v>
      </c>
      <c r="D104" s="466"/>
      <c r="E104" s="481"/>
      <c r="F104" s="467">
        <v>927</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1974</v>
      </c>
      <c r="D107" s="466">
        <v>115</v>
      </c>
      <c r="E107" s="466"/>
      <c r="F107" s="466">
        <v>2</v>
      </c>
      <c r="G107" s="466"/>
      <c r="H107" s="466"/>
      <c r="I107" s="466"/>
      <c r="J107" s="467">
        <v>5</v>
      </c>
      <c r="K107" s="466"/>
    </row>
    <row r="108" spans="1:12" ht="12.75" customHeight="1" thickBot="1" x14ac:dyDescent="0.25">
      <c r="A108" s="1708" t="s">
        <v>487</v>
      </c>
      <c r="B108" s="1712"/>
      <c r="C108" s="1707">
        <f>SUM(C95:C107)</f>
        <v>23859</v>
      </c>
      <c r="D108" s="1707">
        <f t="shared" ref="D108:K108" si="3">SUM(D95:D107)</f>
        <v>6215</v>
      </c>
      <c r="E108" s="1707">
        <f t="shared" si="3"/>
        <v>0</v>
      </c>
      <c r="F108" s="1707">
        <f t="shared" si="3"/>
        <v>929</v>
      </c>
      <c r="G108" s="1707">
        <f t="shared" si="3"/>
        <v>0</v>
      </c>
      <c r="H108" s="1707">
        <f t="shared" si="3"/>
        <v>3772</v>
      </c>
      <c r="I108" s="1707">
        <f t="shared" si="3"/>
        <v>0</v>
      </c>
      <c r="J108" s="1707">
        <f t="shared" si="3"/>
        <v>5</v>
      </c>
      <c r="K108" s="1688">
        <f t="shared" si="3"/>
        <v>0</v>
      </c>
    </row>
    <row r="109" spans="1:12" ht="14.25" thickTop="1" thickBot="1" x14ac:dyDescent="0.25">
      <c r="A109" s="1713" t="s">
        <v>248</v>
      </c>
      <c r="B109" s="1714" t="s">
        <v>570</v>
      </c>
      <c r="C109" s="1715">
        <f t="shared" ref="C109:K109" si="4">SUM(C12,C18,C40,C63,C67,C75,C82,C93,C108,)</f>
        <v>1948448</v>
      </c>
      <c r="D109" s="1715">
        <f t="shared" si="4"/>
        <v>251483</v>
      </c>
      <c r="E109" s="1715">
        <f t="shared" si="4"/>
        <v>148621</v>
      </c>
      <c r="F109" s="1715">
        <f t="shared" si="4"/>
        <v>84466</v>
      </c>
      <c r="G109" s="1715">
        <f t="shared" si="4"/>
        <v>67274</v>
      </c>
      <c r="H109" s="1715">
        <f t="shared" si="4"/>
        <v>3775</v>
      </c>
      <c r="I109" s="1715">
        <f t="shared" si="4"/>
        <v>34846</v>
      </c>
      <c r="J109" s="1715">
        <f t="shared" si="4"/>
        <v>29000</v>
      </c>
      <c r="K109" s="1702">
        <f t="shared" si="4"/>
        <v>45713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158</v>
      </c>
      <c r="D111" s="481"/>
      <c r="E111" s="561"/>
      <c r="F111" s="481"/>
      <c r="G111" s="481"/>
      <c r="H111" s="561"/>
      <c r="I111" s="468"/>
      <c r="J111" s="468"/>
      <c r="K111" s="468"/>
    </row>
    <row r="112" spans="1:12" ht="12.75" customHeight="1" x14ac:dyDescent="0.2">
      <c r="A112" s="463" t="s">
        <v>824</v>
      </c>
      <c r="B112" s="470">
        <v>2200</v>
      </c>
      <c r="C112" s="551">
        <v>18009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18167</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196063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196063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46330</v>
      </c>
      <c r="G152" s="467"/>
      <c r="H152" s="468"/>
      <c r="I152" s="468"/>
      <c r="J152" s="468"/>
      <c r="K152" s="468"/>
    </row>
    <row r="153" spans="1:11" ht="12.75" customHeight="1" x14ac:dyDescent="0.2">
      <c r="A153" s="463" t="s">
        <v>1057</v>
      </c>
      <c r="B153" s="562">
        <v>3510</v>
      </c>
      <c r="C153" s="551"/>
      <c r="D153" s="466"/>
      <c r="E153" s="561"/>
      <c r="F153" s="466">
        <v>15090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61420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456</v>
      </c>
      <c r="D169" s="1722">
        <f t="shared" si="6"/>
        <v>0</v>
      </c>
      <c r="E169" s="1722">
        <f t="shared" si="6"/>
        <v>0</v>
      </c>
      <c r="F169" s="1722">
        <f t="shared" si="6"/>
        <v>61420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196519</v>
      </c>
      <c r="D170" s="1715">
        <f t="shared" si="7"/>
        <v>0</v>
      </c>
      <c r="E170" s="1715">
        <f t="shared" si="7"/>
        <v>0</v>
      </c>
      <c r="F170" s="1715">
        <f t="shared" si="7"/>
        <v>61420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32574</v>
      </c>
      <c r="D180" s="466">
        <v>5460</v>
      </c>
      <c r="E180" s="468"/>
      <c r="F180" s="466"/>
      <c r="G180" s="466"/>
      <c r="H180" s="466"/>
      <c r="I180" s="468"/>
      <c r="J180" s="468"/>
      <c r="K180" s="466"/>
    </row>
    <row r="181" spans="1:11" ht="13.5" thickBot="1" x14ac:dyDescent="0.25">
      <c r="A181" s="2156" t="s">
        <v>785</v>
      </c>
      <c r="B181" s="2157"/>
      <c r="C181" s="1707">
        <f>SUM(C177:C180)</f>
        <v>32574</v>
      </c>
      <c r="D181" s="1707">
        <f>SUM(D177:D180)</f>
        <v>5460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31833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31833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25578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25578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17230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17230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8326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82967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115541</v>
      </c>
      <c r="D267" s="1715">
        <f>SUM(D175,D181,D266)</f>
        <v>5460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2278675</v>
      </c>
      <c r="D268" s="1715">
        <f t="shared" si="12"/>
        <v>256943</v>
      </c>
      <c r="E268" s="1715">
        <f t="shared" si="12"/>
        <v>148621</v>
      </c>
      <c r="F268" s="1715">
        <f t="shared" si="12"/>
        <v>145886</v>
      </c>
      <c r="G268" s="1715">
        <f t="shared" si="12"/>
        <v>67274</v>
      </c>
      <c r="H268" s="1715">
        <f t="shared" si="12"/>
        <v>3775</v>
      </c>
      <c r="I268" s="1715">
        <f t="shared" si="12"/>
        <v>34846</v>
      </c>
      <c r="J268" s="1715">
        <f t="shared" si="12"/>
        <v>29000</v>
      </c>
      <c r="K268" s="1702">
        <f t="shared" si="12"/>
        <v>45713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38" activePane="bottomLeft" state="frozen"/>
      <selection activeCell="H15" sqref="H15"/>
      <selection pane="bottomLeft" activeCell="H15" sqref="H1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703386</v>
      </c>
      <c r="D5" s="466">
        <v>112212</v>
      </c>
      <c r="E5" s="466">
        <v>597</v>
      </c>
      <c r="F5" s="466">
        <v>41502</v>
      </c>
      <c r="G5" s="466">
        <v>11536</v>
      </c>
      <c r="H5" s="466">
        <v>12093</v>
      </c>
      <c r="I5" s="467"/>
      <c r="J5" s="467"/>
      <c r="K5" s="1671">
        <f>SUM(C5:J5)</f>
        <v>881326</v>
      </c>
      <c r="L5" s="466">
        <v>953168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94128</v>
      </c>
      <c r="D8" s="466">
        <v>16863</v>
      </c>
      <c r="E8" s="466">
        <v>318</v>
      </c>
      <c r="F8" s="466">
        <v>1363</v>
      </c>
      <c r="G8" s="466">
        <v>8862</v>
      </c>
      <c r="H8" s="466">
        <v>372</v>
      </c>
      <c r="I8" s="467"/>
      <c r="J8" s="467"/>
      <c r="K8" s="1671">
        <f t="shared" si="0"/>
        <v>121906</v>
      </c>
      <c r="L8" s="466">
        <v>121008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16804</v>
      </c>
      <c r="D10" s="466">
        <v>3791</v>
      </c>
      <c r="E10" s="466"/>
      <c r="F10" s="466"/>
      <c r="G10" s="466"/>
      <c r="H10" s="466"/>
      <c r="I10" s="467"/>
      <c r="J10" s="467"/>
      <c r="K10" s="1671">
        <f t="shared" si="0"/>
        <v>20595</v>
      </c>
      <c r="L10" s="466">
        <v>21229</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24830</v>
      </c>
      <c r="D14" s="466">
        <v>285</v>
      </c>
      <c r="E14" s="466">
        <v>6020</v>
      </c>
      <c r="F14" s="466">
        <v>736</v>
      </c>
      <c r="G14" s="466"/>
      <c r="H14" s="466">
        <v>1362</v>
      </c>
      <c r="I14" s="467"/>
      <c r="J14" s="467"/>
      <c r="K14" s="1671">
        <f t="shared" si="0"/>
        <v>33233</v>
      </c>
      <c r="L14" s="466">
        <v>33798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839148</v>
      </c>
      <c r="D33" s="1670">
        <f t="shared" ref="D33:L33" si="1">SUM(D5:D32)</f>
        <v>133151</v>
      </c>
      <c r="E33" s="1670">
        <f t="shared" si="1"/>
        <v>6935</v>
      </c>
      <c r="F33" s="1670">
        <f t="shared" si="1"/>
        <v>43601</v>
      </c>
      <c r="G33" s="1670">
        <f t="shared" si="1"/>
        <v>20398</v>
      </c>
      <c r="H33" s="1670">
        <f t="shared" si="1"/>
        <v>13827</v>
      </c>
      <c r="I33" s="1670">
        <f t="shared" si="1"/>
        <v>0</v>
      </c>
      <c r="J33" s="1670">
        <f t="shared" si="1"/>
        <v>0</v>
      </c>
      <c r="K33" s="1670">
        <f t="shared" si="1"/>
        <v>1057060</v>
      </c>
      <c r="L33" s="1670">
        <f t="shared" si="1"/>
        <v>1129203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3750</v>
      </c>
      <c r="D36" s="481"/>
      <c r="E36" s="481"/>
      <c r="F36" s="481"/>
      <c r="G36" s="481"/>
      <c r="H36" s="481"/>
      <c r="I36" s="467"/>
      <c r="J36" s="467"/>
      <c r="K36" s="1671">
        <f t="shared" ref="K36:K41" si="2">SUM(C36:J36)</f>
        <v>3750</v>
      </c>
      <c r="L36" s="466">
        <v>3751</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10559</v>
      </c>
      <c r="D38" s="466"/>
      <c r="E38" s="466">
        <v>79</v>
      </c>
      <c r="F38" s="466">
        <v>619</v>
      </c>
      <c r="G38" s="466"/>
      <c r="H38" s="466"/>
      <c r="I38" s="467"/>
      <c r="J38" s="467"/>
      <c r="K38" s="1671">
        <f t="shared" si="2"/>
        <v>11257</v>
      </c>
      <c r="L38" s="466">
        <v>11450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48499</v>
      </c>
      <c r="D40" s="466">
        <v>822</v>
      </c>
      <c r="E40" s="466">
        <v>269</v>
      </c>
      <c r="F40" s="466"/>
      <c r="G40" s="466"/>
      <c r="H40" s="466"/>
      <c r="I40" s="467"/>
      <c r="J40" s="467"/>
      <c r="K40" s="1671">
        <f t="shared" si="2"/>
        <v>49590</v>
      </c>
      <c r="L40" s="466">
        <v>71060</v>
      </c>
    </row>
    <row r="41" spans="1:14" x14ac:dyDescent="0.2">
      <c r="A41" s="1504" t="s">
        <v>1669</v>
      </c>
      <c r="B41" s="614">
        <v>2190</v>
      </c>
      <c r="C41" s="466">
        <v>3693</v>
      </c>
      <c r="D41" s="466"/>
      <c r="E41" s="466">
        <v>1135</v>
      </c>
      <c r="F41" s="466"/>
      <c r="G41" s="466"/>
      <c r="H41" s="466"/>
      <c r="I41" s="467"/>
      <c r="J41" s="467"/>
      <c r="K41" s="1671">
        <f t="shared" si="2"/>
        <v>4828</v>
      </c>
      <c r="L41" s="466">
        <v>4885</v>
      </c>
    </row>
    <row r="42" spans="1:14" ht="12.75" customHeight="1" thickBot="1" x14ac:dyDescent="0.25">
      <c r="A42" s="1668" t="s">
        <v>560</v>
      </c>
      <c r="B42" s="1669" t="s">
        <v>716</v>
      </c>
      <c r="C42" s="1670">
        <f>SUM(C36:C41)</f>
        <v>66501</v>
      </c>
      <c r="D42" s="1670">
        <f t="shared" ref="D42:L42" si="3">SUM(D36:D41)</f>
        <v>822</v>
      </c>
      <c r="E42" s="1670">
        <f t="shared" si="3"/>
        <v>1483</v>
      </c>
      <c r="F42" s="1670">
        <f t="shared" si="3"/>
        <v>619</v>
      </c>
      <c r="G42" s="1670">
        <f t="shared" si="3"/>
        <v>0</v>
      </c>
      <c r="H42" s="1670">
        <f t="shared" si="3"/>
        <v>0</v>
      </c>
      <c r="I42" s="1670">
        <f t="shared" si="3"/>
        <v>0</v>
      </c>
      <c r="J42" s="1670">
        <f t="shared" si="3"/>
        <v>0</v>
      </c>
      <c r="K42" s="1670">
        <f t="shared" si="3"/>
        <v>69425</v>
      </c>
      <c r="L42" s="1670">
        <f t="shared" si="3"/>
        <v>91146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8491</v>
      </c>
      <c r="F44" s="481">
        <v>829</v>
      </c>
      <c r="G44" s="481"/>
      <c r="H44" s="481"/>
      <c r="I44" s="467"/>
      <c r="J44" s="467"/>
      <c r="K44" s="1672">
        <f>SUM(C44:J44)</f>
        <v>9320</v>
      </c>
      <c r="L44" s="481">
        <v>10047</v>
      </c>
    </row>
    <row r="45" spans="1:14" x14ac:dyDescent="0.2">
      <c r="A45" s="1504" t="s">
        <v>815</v>
      </c>
      <c r="B45" s="614">
        <v>2220</v>
      </c>
      <c r="C45" s="466"/>
      <c r="D45" s="466"/>
      <c r="E45" s="466">
        <v>6354</v>
      </c>
      <c r="F45" s="466"/>
      <c r="G45" s="466"/>
      <c r="H45" s="466">
        <v>856</v>
      </c>
      <c r="I45" s="467"/>
      <c r="J45" s="467"/>
      <c r="K45" s="1672">
        <f>SUM(C45:J45)</f>
        <v>7210</v>
      </c>
      <c r="L45" s="466">
        <v>15100</v>
      </c>
    </row>
    <row r="46" spans="1:14" x14ac:dyDescent="0.2">
      <c r="A46" s="1504" t="s">
        <v>816</v>
      </c>
      <c r="B46" s="614">
        <v>2230</v>
      </c>
      <c r="C46" s="466"/>
      <c r="D46" s="466"/>
      <c r="E46" s="466">
        <v>3313</v>
      </c>
      <c r="F46" s="466"/>
      <c r="G46" s="466"/>
      <c r="H46" s="466"/>
      <c r="I46" s="467"/>
      <c r="J46" s="467"/>
      <c r="K46" s="1672">
        <f>SUM(C46:J46)</f>
        <v>3313</v>
      </c>
      <c r="L46" s="466">
        <v>3375</v>
      </c>
    </row>
    <row r="47" spans="1:14" ht="12.75" customHeight="1" thickBot="1" x14ac:dyDescent="0.25">
      <c r="A47" s="1668" t="s">
        <v>561</v>
      </c>
      <c r="B47" s="1669" t="s">
        <v>32</v>
      </c>
      <c r="C47" s="1670">
        <f>SUM(C44:C46)</f>
        <v>0</v>
      </c>
      <c r="D47" s="1670">
        <f t="shared" ref="D47:K47" si="4">SUM(D44:D46)</f>
        <v>0</v>
      </c>
      <c r="E47" s="1670">
        <f t="shared" si="4"/>
        <v>18158</v>
      </c>
      <c r="F47" s="1670">
        <f t="shared" si="4"/>
        <v>829</v>
      </c>
      <c r="G47" s="1670">
        <f t="shared" si="4"/>
        <v>0</v>
      </c>
      <c r="H47" s="1670">
        <f t="shared" si="4"/>
        <v>856</v>
      </c>
      <c r="I47" s="1670">
        <f t="shared" si="4"/>
        <v>0</v>
      </c>
      <c r="J47" s="1670">
        <f t="shared" si="4"/>
        <v>0</v>
      </c>
      <c r="K47" s="1670">
        <f t="shared" si="4"/>
        <v>19843</v>
      </c>
      <c r="L47" s="1670">
        <f>SUM(L44:L46)</f>
        <v>28522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1600</v>
      </c>
      <c r="D49" s="481"/>
      <c r="E49" s="481">
        <v>24077</v>
      </c>
      <c r="F49" s="481">
        <v>294</v>
      </c>
      <c r="G49" s="481"/>
      <c r="H49" s="481">
        <v>1862</v>
      </c>
      <c r="I49" s="467"/>
      <c r="J49" s="467"/>
      <c r="K49" s="1672">
        <f>SUM(C49:J49)</f>
        <v>27833</v>
      </c>
      <c r="L49" s="481">
        <v>30350</v>
      </c>
    </row>
    <row r="50" spans="1:14" x14ac:dyDescent="0.2">
      <c r="A50" s="1504" t="s">
        <v>818</v>
      </c>
      <c r="B50" s="614">
        <v>2320</v>
      </c>
      <c r="C50" s="466">
        <v>119813</v>
      </c>
      <c r="D50" s="466">
        <v>33918</v>
      </c>
      <c r="E50" s="466">
        <v>3369</v>
      </c>
      <c r="F50" s="466">
        <v>1036</v>
      </c>
      <c r="G50" s="466"/>
      <c r="H50" s="466">
        <v>1271</v>
      </c>
      <c r="I50" s="467"/>
      <c r="J50" s="467"/>
      <c r="K50" s="1672">
        <f>SUM(C50:J50)</f>
        <v>159407</v>
      </c>
      <c r="L50" s="466">
        <v>161273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121413</v>
      </c>
      <c r="D53" s="1670">
        <f t="shared" ref="D53:L53" si="5">SUM(D49:D52)</f>
        <v>33918</v>
      </c>
      <c r="E53" s="1670">
        <f t="shared" si="5"/>
        <v>27446</v>
      </c>
      <c r="F53" s="1670">
        <f t="shared" si="5"/>
        <v>1330</v>
      </c>
      <c r="G53" s="1670">
        <f t="shared" si="5"/>
        <v>0</v>
      </c>
      <c r="H53" s="1670">
        <f t="shared" si="5"/>
        <v>3133</v>
      </c>
      <c r="I53" s="1670">
        <f t="shared" si="5"/>
        <v>0</v>
      </c>
      <c r="J53" s="1670">
        <f t="shared" si="5"/>
        <v>0</v>
      </c>
      <c r="K53" s="1670">
        <f t="shared" si="5"/>
        <v>187240</v>
      </c>
      <c r="L53" s="1670">
        <f t="shared" si="5"/>
        <v>191623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106525</v>
      </c>
      <c r="D55" s="481">
        <v>9773</v>
      </c>
      <c r="E55" s="481">
        <v>1104</v>
      </c>
      <c r="F55" s="481">
        <v>1882</v>
      </c>
      <c r="G55" s="481">
        <v>2472</v>
      </c>
      <c r="H55" s="481"/>
      <c r="I55" s="467"/>
      <c r="J55" s="467"/>
      <c r="K55" s="1672">
        <f>SUM(C55:J55)</f>
        <v>121756</v>
      </c>
      <c r="L55" s="481">
        <v>126550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106525</v>
      </c>
      <c r="D57" s="1674">
        <f t="shared" ref="D57:K57" si="6">SUM(D55:D56)</f>
        <v>9773</v>
      </c>
      <c r="E57" s="1674">
        <f t="shared" si="6"/>
        <v>1104</v>
      </c>
      <c r="F57" s="1674">
        <f t="shared" si="6"/>
        <v>1882</v>
      </c>
      <c r="G57" s="1674">
        <f t="shared" si="6"/>
        <v>2472</v>
      </c>
      <c r="H57" s="1674">
        <f t="shared" si="6"/>
        <v>0</v>
      </c>
      <c r="I57" s="1674">
        <f t="shared" si="6"/>
        <v>0</v>
      </c>
      <c r="J57" s="1674">
        <f t="shared" si="6"/>
        <v>0</v>
      </c>
      <c r="K57" s="1674">
        <f t="shared" si="6"/>
        <v>121756</v>
      </c>
      <c r="L57" s="1670">
        <f>SUM(L55:L56)</f>
        <v>126550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62340</v>
      </c>
      <c r="D60" s="466">
        <v>10997</v>
      </c>
      <c r="E60" s="466">
        <v>542</v>
      </c>
      <c r="F60" s="466">
        <v>1063</v>
      </c>
      <c r="G60" s="466">
        <v>4750</v>
      </c>
      <c r="H60" s="466">
        <v>3384</v>
      </c>
      <c r="I60" s="467"/>
      <c r="J60" s="467"/>
      <c r="K60" s="1672">
        <f t="shared" si="7"/>
        <v>83076</v>
      </c>
      <c r="L60" s="466">
        <v>84001</v>
      </c>
      <c r="M60" s="609"/>
      <c r="N60" s="609"/>
    </row>
    <row r="61" spans="1:14" s="343" customFormat="1" x14ac:dyDescent="0.2">
      <c r="A61" s="1504" t="s">
        <v>197</v>
      </c>
      <c r="B61" s="614">
        <v>2540</v>
      </c>
      <c r="C61" s="466">
        <v>67754</v>
      </c>
      <c r="D61" s="466">
        <v>16116</v>
      </c>
      <c r="E61" s="466">
        <v>1920</v>
      </c>
      <c r="F61" s="466">
        <v>477</v>
      </c>
      <c r="G61" s="466">
        <v>5770</v>
      </c>
      <c r="H61" s="466"/>
      <c r="I61" s="467"/>
      <c r="J61" s="467"/>
      <c r="K61" s="1672">
        <f t="shared" si="7"/>
        <v>92037</v>
      </c>
      <c r="L61" s="466">
        <v>95932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41738</v>
      </c>
      <c r="D63" s="466">
        <v>49</v>
      </c>
      <c r="E63" s="466">
        <v>2387</v>
      </c>
      <c r="F63" s="466">
        <v>42815</v>
      </c>
      <c r="G63" s="466"/>
      <c r="H63" s="466">
        <v>983</v>
      </c>
      <c r="I63" s="467"/>
      <c r="J63" s="467"/>
      <c r="K63" s="1672">
        <f t="shared" si="7"/>
        <v>87972</v>
      </c>
      <c r="L63" s="466">
        <v>95761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171832</v>
      </c>
      <c r="D65" s="1670">
        <f t="shared" ref="D65:L65" si="8">SUM(D59:D64)</f>
        <v>27162</v>
      </c>
      <c r="E65" s="1670">
        <f t="shared" si="8"/>
        <v>4849</v>
      </c>
      <c r="F65" s="1670">
        <f t="shared" si="8"/>
        <v>44355</v>
      </c>
      <c r="G65" s="1670">
        <f t="shared" si="8"/>
        <v>10520</v>
      </c>
      <c r="H65" s="1670">
        <f t="shared" si="8"/>
        <v>4367</v>
      </c>
      <c r="I65" s="1670">
        <f t="shared" si="8"/>
        <v>0</v>
      </c>
      <c r="J65" s="1670">
        <f t="shared" si="8"/>
        <v>0</v>
      </c>
      <c r="K65" s="1670">
        <f t="shared" si="8"/>
        <v>263085</v>
      </c>
      <c r="L65" s="1670">
        <f t="shared" si="8"/>
        <v>275694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14161</v>
      </c>
      <c r="F69" s="466">
        <v>3268</v>
      </c>
      <c r="G69" s="466"/>
      <c r="H69" s="466"/>
      <c r="I69" s="467"/>
      <c r="J69" s="467"/>
      <c r="K69" s="1672">
        <f>SUM(C69:J69)</f>
        <v>17429</v>
      </c>
      <c r="L69" s="466">
        <v>17782</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14161</v>
      </c>
      <c r="F72" s="1670">
        <f t="shared" si="9"/>
        <v>3268</v>
      </c>
      <c r="G72" s="1670">
        <f t="shared" si="9"/>
        <v>0</v>
      </c>
      <c r="H72" s="1670">
        <f t="shared" si="9"/>
        <v>0</v>
      </c>
      <c r="I72" s="1670">
        <f t="shared" si="9"/>
        <v>0</v>
      </c>
      <c r="J72" s="1670">
        <f t="shared" si="9"/>
        <v>0</v>
      </c>
      <c r="K72" s="1670">
        <f t="shared" si="9"/>
        <v>17429</v>
      </c>
      <c r="L72" s="1670">
        <f>SUM(L67:L71)</f>
        <v>17782</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466271</v>
      </c>
      <c r="D74" s="1677">
        <f t="shared" ref="D74:K74" si="10">SUM(D42,D47,D53,D57,D65,D72,D73)</f>
        <v>71675</v>
      </c>
      <c r="E74" s="1677">
        <f t="shared" si="10"/>
        <v>67201</v>
      </c>
      <c r="F74" s="1677">
        <f t="shared" si="10"/>
        <v>52283</v>
      </c>
      <c r="G74" s="1677">
        <f t="shared" si="10"/>
        <v>12992</v>
      </c>
      <c r="H74" s="1677">
        <f t="shared" si="10"/>
        <v>8356</v>
      </c>
      <c r="I74" s="1677">
        <f t="shared" si="10"/>
        <v>0</v>
      </c>
      <c r="J74" s="1677">
        <f t="shared" si="10"/>
        <v>0</v>
      </c>
      <c r="K74" s="1677">
        <f t="shared" si="10"/>
        <v>678778</v>
      </c>
      <c r="L74" s="1677">
        <f>SUM(L42,L47,L53,L57,L65,L72,L73)</f>
        <v>731317</v>
      </c>
    </row>
    <row r="75" spans="1:14" s="259" customFormat="1" ht="15.75" customHeight="1" thickTop="1" thickBot="1" x14ac:dyDescent="0.25">
      <c r="A75" s="1610" t="s">
        <v>47</v>
      </c>
      <c r="B75" s="1611" t="s">
        <v>575</v>
      </c>
      <c r="C75" s="573"/>
      <c r="D75" s="573"/>
      <c r="E75" s="573"/>
      <c r="F75" s="573">
        <v>42</v>
      </c>
      <c r="G75" s="573"/>
      <c r="H75" s="573"/>
      <c r="I75" s="531"/>
      <c r="J75" s="531"/>
      <c r="K75" s="1670">
        <f>SUM(C75:J75)</f>
        <v>42</v>
      </c>
      <c r="L75" s="576">
        <v>30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36119</v>
      </c>
      <c r="F78" s="616"/>
      <c r="G78" s="616"/>
      <c r="H78" s="634"/>
      <c r="I78" s="477"/>
      <c r="J78" s="477"/>
      <c r="K78" s="1671">
        <f t="shared" ref="K78:K83" si="11">SUM(C78:J78)</f>
        <v>36119</v>
      </c>
      <c r="L78" s="481">
        <v>37900</v>
      </c>
    </row>
    <row r="79" spans="1:14" x14ac:dyDescent="0.2">
      <c r="A79" s="1504" t="s">
        <v>304</v>
      </c>
      <c r="B79" s="614">
        <v>4120</v>
      </c>
      <c r="C79" s="616"/>
      <c r="D79" s="616"/>
      <c r="E79" s="466">
        <v>196077</v>
      </c>
      <c r="F79" s="616"/>
      <c r="G79" s="616"/>
      <c r="H79" s="466"/>
      <c r="I79" s="477"/>
      <c r="J79" s="477"/>
      <c r="K79" s="1671">
        <f t="shared" si="11"/>
        <v>196077</v>
      </c>
      <c r="L79" s="466">
        <v>200000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232196</v>
      </c>
      <c r="F84" s="616"/>
      <c r="G84" s="616"/>
      <c r="H84" s="1670">
        <f>SUM(H78:H83)</f>
        <v>0</v>
      </c>
      <c r="I84" s="477"/>
      <c r="J84" s="477"/>
      <c r="K84" s="1670">
        <f>SUM(K78:K83)</f>
        <v>232196</v>
      </c>
      <c r="L84" s="1670">
        <f>SUM(L78:L83)</f>
        <v>237900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232196</v>
      </c>
      <c r="F102" s="616"/>
      <c r="G102" s="616"/>
      <c r="H102" s="1677">
        <f>SUM(H84,H92,H100,H101)</f>
        <v>0</v>
      </c>
      <c r="I102" s="477"/>
      <c r="J102" s="477"/>
      <c r="K102" s="1677">
        <f>SUM(K84,K92,K100,K101)</f>
        <v>232196</v>
      </c>
      <c r="L102" s="1677">
        <f>SUM(L84,L92,L100,L101)</f>
        <v>237900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1305419</v>
      </c>
      <c r="D114" s="1670">
        <f t="shared" ref="D114:K114" si="13">SUM(D33,D74,D75,D102,D112,D113)</f>
        <v>204826</v>
      </c>
      <c r="E114" s="1670">
        <f t="shared" si="13"/>
        <v>306332</v>
      </c>
      <c r="F114" s="1670">
        <f t="shared" si="13"/>
        <v>95926</v>
      </c>
      <c r="G114" s="1670">
        <f t="shared" si="13"/>
        <v>33390</v>
      </c>
      <c r="H114" s="1670">
        <f>SUM(H33,H74,H75,H102,H112,H113)</f>
        <v>22183</v>
      </c>
      <c r="I114" s="1670">
        <f t="shared" si="13"/>
        <v>0</v>
      </c>
      <c r="J114" s="1670">
        <f t="shared" si="13"/>
        <v>0</v>
      </c>
      <c r="K114" s="1670">
        <f t="shared" si="13"/>
        <v>1968076</v>
      </c>
      <c r="L114" s="1670">
        <f>SUM(L33,L74,L75,L102,L112,L113)</f>
        <v>2098450</v>
      </c>
    </row>
    <row r="115" spans="1:14" ht="13.5" thickTop="1" x14ac:dyDescent="0.2">
      <c r="A115" s="2160" t="s">
        <v>996</v>
      </c>
      <c r="B115" s="2161"/>
      <c r="C115" s="618"/>
      <c r="D115" s="618"/>
      <c r="E115" s="618"/>
      <c r="F115" s="618"/>
      <c r="G115" s="618"/>
      <c r="H115" s="618"/>
      <c r="I115" s="618"/>
      <c r="J115" s="618"/>
      <c r="K115" s="1684">
        <f>'Revenues 9-14'!C268-'Expenditures 15-22'!K114</f>
        <v>310599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8553</v>
      </c>
      <c r="D124" s="466"/>
      <c r="E124" s="466">
        <v>91580</v>
      </c>
      <c r="F124" s="466">
        <v>51634</v>
      </c>
      <c r="G124" s="466">
        <v>16163</v>
      </c>
      <c r="H124" s="466">
        <v>1004</v>
      </c>
      <c r="I124" s="467"/>
      <c r="J124" s="467"/>
      <c r="K124" s="1670">
        <f>SUM(C124:J124)</f>
        <v>168934</v>
      </c>
      <c r="L124" s="466">
        <v>207615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v>935</v>
      </c>
    </row>
    <row r="127" spans="1:14" ht="12.75" customHeight="1" thickTop="1" thickBot="1" x14ac:dyDescent="0.25">
      <c r="A127" s="1668" t="s">
        <v>719</v>
      </c>
      <c r="B127" s="1669" t="s">
        <v>35</v>
      </c>
      <c r="C127" s="1670">
        <f>SUM(C122:C126)</f>
        <v>8553</v>
      </c>
      <c r="D127" s="1670">
        <f t="shared" ref="D127:L127" si="14">SUM(D122:D126)</f>
        <v>0</v>
      </c>
      <c r="E127" s="1670">
        <f t="shared" si="14"/>
        <v>91580</v>
      </c>
      <c r="F127" s="1670">
        <f t="shared" si="14"/>
        <v>51634</v>
      </c>
      <c r="G127" s="1670">
        <f t="shared" si="14"/>
        <v>16163</v>
      </c>
      <c r="H127" s="1670">
        <f t="shared" si="14"/>
        <v>1004</v>
      </c>
      <c r="I127" s="1670">
        <f t="shared" si="14"/>
        <v>0</v>
      </c>
      <c r="J127" s="1670">
        <f t="shared" si="14"/>
        <v>0</v>
      </c>
      <c r="K127" s="1670">
        <f t="shared" si="14"/>
        <v>168934</v>
      </c>
      <c r="L127" s="1670">
        <f t="shared" si="14"/>
        <v>208550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8553</v>
      </c>
      <c r="D129" s="1677">
        <f t="shared" ref="D129:L129" si="15">SUM(D120,D127,D128)</f>
        <v>0</v>
      </c>
      <c r="E129" s="1677">
        <f t="shared" si="15"/>
        <v>91580</v>
      </c>
      <c r="F129" s="1677">
        <f t="shared" si="15"/>
        <v>51634</v>
      </c>
      <c r="G129" s="1677">
        <f t="shared" si="15"/>
        <v>16163</v>
      </c>
      <c r="H129" s="1677">
        <f t="shared" si="15"/>
        <v>1004</v>
      </c>
      <c r="I129" s="1677">
        <f t="shared" si="15"/>
        <v>0</v>
      </c>
      <c r="J129" s="1677">
        <f t="shared" si="15"/>
        <v>0</v>
      </c>
      <c r="K129" s="1677">
        <f t="shared" si="15"/>
        <v>168934</v>
      </c>
      <c r="L129" s="1677">
        <f t="shared" si="15"/>
        <v>208550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8553</v>
      </c>
      <c r="D151" s="1670">
        <f t="shared" ref="D151:K151" si="16">SUM(D129,D130,D139,D149,D150)</f>
        <v>0</v>
      </c>
      <c r="E151" s="1670">
        <f t="shared" si="16"/>
        <v>91580</v>
      </c>
      <c r="F151" s="1670">
        <f t="shared" si="16"/>
        <v>51634</v>
      </c>
      <c r="G151" s="1670">
        <f t="shared" si="16"/>
        <v>16163</v>
      </c>
      <c r="H151" s="1670">
        <f t="shared" si="16"/>
        <v>1004</v>
      </c>
      <c r="I151" s="1670">
        <f t="shared" si="16"/>
        <v>0</v>
      </c>
      <c r="J151" s="1670">
        <f t="shared" si="16"/>
        <v>0</v>
      </c>
      <c r="K151" s="1670">
        <f t="shared" si="16"/>
        <v>168934</v>
      </c>
      <c r="L151" s="1670">
        <f>SUM(L129,L130,L139,L149,L150)</f>
        <v>208550</v>
      </c>
    </row>
    <row r="152" spans="1:14" ht="12.75" customHeight="1" thickTop="1" x14ac:dyDescent="0.2">
      <c r="A152" s="2180" t="s">
        <v>1178</v>
      </c>
      <c r="B152" s="2181"/>
      <c r="C152" s="618"/>
      <c r="D152" s="618"/>
      <c r="E152" s="618"/>
      <c r="F152" s="618"/>
      <c r="G152" s="618"/>
      <c r="H152" s="618"/>
      <c r="I152" s="618"/>
      <c r="J152" s="616"/>
      <c r="K152" s="1684">
        <f>'Revenues 9-14'!D268-'Expenditures 15-22'!K151</f>
        <v>88009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30757</v>
      </c>
      <c r="I169" s="616"/>
      <c r="J169" s="616"/>
      <c r="K169" s="1671">
        <f>SUM(C169:H169)</f>
        <v>30757</v>
      </c>
      <c r="L169" s="656">
        <v>30760</v>
      </c>
    </row>
    <row r="170" spans="1:14" ht="33.75" customHeight="1" x14ac:dyDescent="0.2">
      <c r="A170" s="669" t="s">
        <v>1670</v>
      </c>
      <c r="B170" s="671" t="s">
        <v>31</v>
      </c>
      <c r="C170" s="616"/>
      <c r="D170" s="616"/>
      <c r="E170" s="616"/>
      <c r="F170" s="616"/>
      <c r="G170" s="616"/>
      <c r="H170" s="569">
        <v>120042</v>
      </c>
      <c r="I170" s="616"/>
      <c r="J170" s="616"/>
      <c r="K170" s="1671">
        <f>SUM(C170:J170)</f>
        <v>120042</v>
      </c>
      <c r="L170" s="569">
        <v>120043</v>
      </c>
    </row>
    <row r="171" spans="1:14" ht="15.75" customHeight="1" x14ac:dyDescent="0.2">
      <c r="A171" s="621" t="s">
        <v>766</v>
      </c>
      <c r="B171" s="672" t="s">
        <v>84</v>
      </c>
      <c r="C171" s="616"/>
      <c r="D171" s="616"/>
      <c r="E171" s="466"/>
      <c r="F171" s="616"/>
      <c r="G171" s="616"/>
      <c r="H171" s="569">
        <v>1450</v>
      </c>
      <c r="I171" s="477"/>
      <c r="J171" s="616"/>
      <c r="K171" s="1671">
        <f>SUM(C171:J171)</f>
        <v>1450</v>
      </c>
      <c r="L171" s="569">
        <v>1450</v>
      </c>
    </row>
    <row r="172" spans="1:14" ht="12.75" customHeight="1" thickBot="1" x14ac:dyDescent="0.25">
      <c r="A172" s="1668" t="s">
        <v>638</v>
      </c>
      <c r="B172" s="1669" t="s">
        <v>492</v>
      </c>
      <c r="C172" s="616"/>
      <c r="D172" s="616"/>
      <c r="E172" s="1677">
        <f>SUM(E168,E169,E170,E171)</f>
        <v>0</v>
      </c>
      <c r="F172" s="616"/>
      <c r="G172" s="616"/>
      <c r="H172" s="1677">
        <f>SUM(H168,H169,H170,H171)</f>
        <v>152249</v>
      </c>
      <c r="I172" s="638"/>
      <c r="J172" s="616"/>
      <c r="K172" s="1677">
        <f>SUM(K168,K169,K170,K171)</f>
        <v>152249</v>
      </c>
      <c r="L172" s="1677">
        <f>SUM(L168,L169,L170,L171)</f>
        <v>152253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152249</v>
      </c>
      <c r="I174" s="638"/>
      <c r="J174" s="616"/>
      <c r="K174" s="1677">
        <f>SUM(K160,K172,K173)</f>
        <v>152249</v>
      </c>
      <c r="L174" s="1677">
        <f>SUM(L160,L172,L173)</f>
        <v>152253</v>
      </c>
    </row>
    <row r="175" spans="1:14" ht="13.5" thickTop="1" x14ac:dyDescent="0.2">
      <c r="A175" s="2160" t="s">
        <v>996</v>
      </c>
      <c r="B175" s="2161"/>
      <c r="C175" s="616"/>
      <c r="D175" s="616"/>
      <c r="E175" s="616"/>
      <c r="F175" s="616"/>
      <c r="G175" s="616"/>
      <c r="H175" s="618"/>
      <c r="I175" s="616"/>
      <c r="J175" s="616"/>
      <c r="K175" s="1684">
        <f>'Revenues 9-14'!E268-'Expenditures 15-22'!K174</f>
        <v>-3628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5120</v>
      </c>
      <c r="D182" s="466">
        <v>1958</v>
      </c>
      <c r="E182" s="466">
        <v>1252</v>
      </c>
      <c r="F182" s="466">
        <v>20</v>
      </c>
      <c r="G182" s="466"/>
      <c r="H182" s="466"/>
      <c r="I182" s="467"/>
      <c r="J182" s="467"/>
      <c r="K182" s="1671">
        <f>SUM(C182:J182)</f>
        <v>8350</v>
      </c>
      <c r="L182" s="466">
        <v>8339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5120</v>
      </c>
      <c r="D184" s="1677">
        <f t="shared" ref="D184:J184" si="17">SUM(D180,D182,D183)</f>
        <v>1958</v>
      </c>
      <c r="E184" s="1677">
        <f t="shared" si="17"/>
        <v>1252</v>
      </c>
      <c r="F184" s="1677">
        <f t="shared" si="17"/>
        <v>20</v>
      </c>
      <c r="G184" s="1677">
        <f t="shared" si="17"/>
        <v>0</v>
      </c>
      <c r="H184" s="1677">
        <f t="shared" si="17"/>
        <v>0</v>
      </c>
      <c r="I184" s="1677">
        <f t="shared" si="17"/>
        <v>0</v>
      </c>
      <c r="J184" s="1677">
        <f t="shared" si="17"/>
        <v>0</v>
      </c>
      <c r="K184" s="1677">
        <f>SUM(K180,K182,K183)</f>
        <v>8350</v>
      </c>
      <c r="L184" s="1677">
        <f>SUM(L180, L182:L183)</f>
        <v>8339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127045</v>
      </c>
      <c r="F188" s="616"/>
      <c r="G188" s="616"/>
      <c r="H188" s="466"/>
      <c r="I188" s="477"/>
      <c r="J188" s="616"/>
      <c r="K188" s="1671">
        <f t="shared" ref="K188:K193" si="18">SUM(E188,H188)</f>
        <v>127045</v>
      </c>
      <c r="L188" s="466">
        <v>148748</v>
      </c>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127045</v>
      </c>
      <c r="F194" s="616"/>
      <c r="G194" s="616"/>
      <c r="H194" s="1670">
        <f>SUM(H188:H193)</f>
        <v>0</v>
      </c>
      <c r="I194" s="477"/>
      <c r="J194" s="616"/>
      <c r="K194" s="1670">
        <f>SUM(K188:K193)</f>
        <v>127045</v>
      </c>
      <c r="L194" s="1670">
        <f>SUM(L188:L193)</f>
        <v>148748</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127045</v>
      </c>
      <c r="F196" s="616"/>
      <c r="G196" s="616"/>
      <c r="H196" s="1677">
        <f>SUM(H194,H195)</f>
        <v>0</v>
      </c>
      <c r="I196" s="477"/>
      <c r="J196" s="616"/>
      <c r="K196" s="1677">
        <f>SUM(K194,K195)</f>
        <v>127045</v>
      </c>
      <c r="L196" s="1677">
        <f>SUM(L194,L195)</f>
        <v>148748</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5120</v>
      </c>
      <c r="D210" s="1670">
        <f>SUM(D184,D185)</f>
        <v>1958</v>
      </c>
      <c r="E210" s="1670">
        <f>SUM(E184,E185,E196)</f>
        <v>128297</v>
      </c>
      <c r="F210" s="1670">
        <f>SUM(F184,F185)</f>
        <v>20</v>
      </c>
      <c r="G210" s="1670">
        <f>SUM(G184,G185)</f>
        <v>0</v>
      </c>
      <c r="H210" s="1670">
        <f>SUM(H184,H185,H196,H208,H209)</f>
        <v>0</v>
      </c>
      <c r="I210" s="1670">
        <f>SUM(I184,I185)</f>
        <v>0</v>
      </c>
      <c r="J210" s="1670">
        <f>SUM(J184,J185)</f>
        <v>0</v>
      </c>
      <c r="K210" s="1671">
        <f>SUM(K184,K185,K196,K208,K209)</f>
        <v>135395</v>
      </c>
      <c r="L210" s="1670">
        <f>SUM(L184,L185,L196,L208,L209)</f>
        <v>157087</v>
      </c>
    </row>
    <row r="211" spans="1:14" ht="13.5" thickTop="1" x14ac:dyDescent="0.2">
      <c r="A211" s="2160" t="s">
        <v>996</v>
      </c>
      <c r="B211" s="2161"/>
      <c r="C211" s="618"/>
      <c r="D211" s="618"/>
      <c r="E211" s="618"/>
      <c r="F211" s="618"/>
      <c r="G211" s="618"/>
      <c r="H211" s="618"/>
      <c r="I211" s="616"/>
      <c r="J211" s="616"/>
      <c r="K211" s="1684">
        <f>'Revenues 9-14'!F268-'Expenditures 15-22'!K210</f>
        <v>10491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13061</v>
      </c>
      <c r="E215" s="616"/>
      <c r="F215" s="616"/>
      <c r="G215" s="616"/>
      <c r="H215" s="616"/>
      <c r="I215" s="616"/>
      <c r="J215" s="616"/>
      <c r="K215" s="1671">
        <f>D215</f>
        <v>13061</v>
      </c>
      <c r="L215" s="466">
        <v>13633</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9539</v>
      </c>
      <c r="E217" s="616"/>
      <c r="F217" s="616"/>
      <c r="G217" s="616"/>
      <c r="H217" s="616"/>
      <c r="I217" s="616"/>
      <c r="J217" s="616"/>
      <c r="K217" s="1671">
        <f t="shared" si="19"/>
        <v>9539</v>
      </c>
      <c r="L217" s="466">
        <v>6820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1154</v>
      </c>
      <c r="E223" s="616"/>
      <c r="F223" s="616"/>
      <c r="G223" s="616"/>
      <c r="H223" s="616"/>
      <c r="I223" s="616"/>
      <c r="J223" s="616"/>
      <c r="K223" s="1671">
        <f t="shared" si="19"/>
        <v>1154</v>
      </c>
      <c r="L223" s="466">
        <v>1160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23754</v>
      </c>
      <c r="E229" s="616"/>
      <c r="F229" s="616"/>
      <c r="G229" s="616"/>
      <c r="H229" s="616"/>
      <c r="I229" s="616"/>
      <c r="J229" s="616"/>
      <c r="K229" s="1670">
        <f>SUM(K215:K228)</f>
        <v>23754</v>
      </c>
      <c r="L229" s="1670">
        <f>SUM(L215:L228)</f>
        <v>21613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54</v>
      </c>
      <c r="E232" s="616"/>
      <c r="F232" s="616"/>
      <c r="G232" s="616"/>
      <c r="H232" s="616"/>
      <c r="I232" s="616"/>
      <c r="J232" s="616"/>
      <c r="K232" s="1671">
        <f t="shared" ref="K232:K237" si="20">D232</f>
        <v>54</v>
      </c>
      <c r="L232" s="466">
        <v>55</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808</v>
      </c>
      <c r="E234" s="616"/>
      <c r="F234" s="616"/>
      <c r="G234" s="616"/>
      <c r="H234" s="616"/>
      <c r="I234" s="616"/>
      <c r="J234" s="616"/>
      <c r="K234" s="1671">
        <f t="shared" si="20"/>
        <v>808</v>
      </c>
      <c r="L234" s="466">
        <v>804</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703</v>
      </c>
      <c r="E236" s="616"/>
      <c r="F236" s="616"/>
      <c r="G236" s="616"/>
      <c r="H236" s="616"/>
      <c r="I236" s="616"/>
      <c r="J236" s="616"/>
      <c r="K236" s="1671">
        <f t="shared" si="20"/>
        <v>703</v>
      </c>
      <c r="L236" s="466">
        <v>1015</v>
      </c>
    </row>
    <row r="237" spans="1:12" x14ac:dyDescent="0.2">
      <c r="A237" s="1504" t="s">
        <v>165</v>
      </c>
      <c r="B237" s="614">
        <v>2190</v>
      </c>
      <c r="C237" s="616"/>
      <c r="D237" s="466">
        <v>446</v>
      </c>
      <c r="E237" s="616"/>
      <c r="F237" s="616"/>
      <c r="G237" s="616"/>
      <c r="H237" s="616"/>
      <c r="I237" s="616"/>
      <c r="J237" s="616"/>
      <c r="K237" s="1671">
        <f t="shared" si="20"/>
        <v>446</v>
      </c>
      <c r="L237" s="466">
        <v>288</v>
      </c>
    </row>
    <row r="238" spans="1:12" ht="12.75" customHeight="1" thickBot="1" x14ac:dyDescent="0.25">
      <c r="A238" s="1668" t="s">
        <v>560</v>
      </c>
      <c r="B238" s="1675" t="s">
        <v>716</v>
      </c>
      <c r="C238" s="616"/>
      <c r="D238" s="1670">
        <f>SUM(D232:D237)</f>
        <v>2011</v>
      </c>
      <c r="E238" s="616"/>
      <c r="F238" s="616"/>
      <c r="G238" s="616"/>
      <c r="H238" s="616"/>
      <c r="I238" s="616"/>
      <c r="J238" s="616"/>
      <c r="K238" s="1670">
        <f>SUM(K232:K237)</f>
        <v>2011</v>
      </c>
      <c r="L238" s="1670">
        <f>SUM(L232:L237)</f>
        <v>2162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122</v>
      </c>
      <c r="E245" s="616"/>
      <c r="F245" s="616"/>
      <c r="G245" s="616"/>
      <c r="H245" s="616"/>
      <c r="I245" s="616"/>
      <c r="J245" s="616"/>
      <c r="K245" s="1672">
        <f>D245</f>
        <v>122</v>
      </c>
      <c r="L245" s="481">
        <v>125</v>
      </c>
    </row>
    <row r="246" spans="1:12" x14ac:dyDescent="0.2">
      <c r="A246" s="1504" t="s">
        <v>818</v>
      </c>
      <c r="B246" s="614">
        <v>2320</v>
      </c>
      <c r="C246" s="616"/>
      <c r="D246" s="466">
        <v>6886</v>
      </c>
      <c r="E246" s="616"/>
      <c r="F246" s="616"/>
      <c r="G246" s="616"/>
      <c r="H246" s="616"/>
      <c r="I246" s="616"/>
      <c r="J246" s="616"/>
      <c r="K246" s="1672">
        <f t="shared" ref="K246:K256" si="21">D246</f>
        <v>6886</v>
      </c>
      <c r="L246" s="466">
        <v>7050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7008</v>
      </c>
      <c r="E257" s="616"/>
      <c r="F257" s="616"/>
      <c r="G257" s="616"/>
      <c r="H257" s="616"/>
      <c r="I257" s="616"/>
      <c r="J257" s="616"/>
      <c r="K257" s="1670">
        <f>SUM(K245:K256)</f>
        <v>7008</v>
      </c>
      <c r="L257" s="1670">
        <f>SUM(L245:L256)</f>
        <v>7175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6371</v>
      </c>
      <c r="E259" s="616"/>
      <c r="F259" s="616"/>
      <c r="G259" s="616"/>
      <c r="H259" s="616"/>
      <c r="I259" s="616"/>
      <c r="J259" s="616"/>
      <c r="K259" s="1672">
        <f>D259</f>
        <v>6371</v>
      </c>
      <c r="L259" s="481">
        <v>6435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6371</v>
      </c>
      <c r="E261" s="616"/>
      <c r="F261" s="616"/>
      <c r="G261" s="616"/>
      <c r="H261" s="616"/>
      <c r="I261" s="616"/>
      <c r="J261" s="616"/>
      <c r="K261" s="1670">
        <f>SUM(K259:K260)</f>
        <v>6371</v>
      </c>
      <c r="L261" s="1670">
        <f>SUM(L259:L260)</f>
        <v>6435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11949</v>
      </c>
      <c r="E264" s="616"/>
      <c r="F264" s="616"/>
      <c r="G264" s="616"/>
      <c r="H264" s="616"/>
      <c r="I264" s="616"/>
      <c r="J264" s="616"/>
      <c r="K264" s="1672">
        <f t="shared" ref="K264:K269" si="22">D264</f>
        <v>11949</v>
      </c>
      <c r="L264" s="466">
        <v>12215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12986</v>
      </c>
      <c r="E266" s="616"/>
      <c r="F266" s="616"/>
      <c r="G266" s="616"/>
      <c r="H266" s="616"/>
      <c r="I266" s="616"/>
      <c r="J266" s="616"/>
      <c r="K266" s="1672">
        <f t="shared" si="22"/>
        <v>12986</v>
      </c>
      <c r="L266" s="466">
        <v>13980</v>
      </c>
    </row>
    <row r="267" spans="1:14" x14ac:dyDescent="0.2">
      <c r="A267" s="1504" t="s">
        <v>953</v>
      </c>
      <c r="B267" s="614">
        <v>2550</v>
      </c>
      <c r="C267" s="616"/>
      <c r="D267" s="466">
        <v>74</v>
      </c>
      <c r="E267" s="616"/>
      <c r="F267" s="616"/>
      <c r="G267" s="616"/>
      <c r="H267" s="616"/>
      <c r="I267" s="616"/>
      <c r="J267" s="616"/>
      <c r="K267" s="1672">
        <f t="shared" si="22"/>
        <v>74</v>
      </c>
      <c r="L267" s="466">
        <v>75</v>
      </c>
    </row>
    <row r="268" spans="1:14" x14ac:dyDescent="0.2">
      <c r="A268" s="1504" t="s">
        <v>100</v>
      </c>
      <c r="B268" s="614">
        <v>2560</v>
      </c>
      <c r="C268" s="616"/>
      <c r="D268" s="466">
        <v>6907</v>
      </c>
      <c r="E268" s="616"/>
      <c r="F268" s="616"/>
      <c r="G268" s="616"/>
      <c r="H268" s="616"/>
      <c r="I268" s="616"/>
      <c r="J268" s="616"/>
      <c r="K268" s="1672">
        <f t="shared" si="22"/>
        <v>6907</v>
      </c>
      <c r="L268" s="466">
        <v>7260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31916</v>
      </c>
      <c r="E270" s="616"/>
      <c r="F270" s="616"/>
      <c r="G270" s="616"/>
      <c r="H270" s="616"/>
      <c r="I270" s="616"/>
      <c r="J270" s="616"/>
      <c r="K270" s="1670">
        <f>SUM(K263:K269)</f>
        <v>31916</v>
      </c>
      <c r="L270" s="1670">
        <f>SUM(L263:L269)</f>
        <v>33530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47306</v>
      </c>
      <c r="E279" s="616"/>
      <c r="F279" s="616"/>
      <c r="G279" s="616"/>
      <c r="H279" s="616"/>
      <c r="I279" s="616"/>
      <c r="J279" s="616"/>
      <c r="K279" s="1677">
        <f>SUM(K238,K243,K257,K261,K270,K277,K278)</f>
        <v>47306</v>
      </c>
      <c r="L279" s="1677">
        <f>SUM(L238,L243,L257,L261,L270,L277,L278)</f>
        <v>49302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71060</v>
      </c>
      <c r="E295" s="616"/>
      <c r="F295" s="616"/>
      <c r="G295" s="616"/>
      <c r="H295" s="1670">
        <f>H293</f>
        <v>0</v>
      </c>
      <c r="I295" s="616"/>
      <c r="J295" s="616"/>
      <c r="K295" s="1670">
        <f>SUM(K229,K279,K280,K285,K293,K294)</f>
        <v>71060</v>
      </c>
      <c r="L295" s="1670">
        <f>SUM(L229,L279,L280,L285,L293,L294)</f>
        <v>70915</v>
      </c>
    </row>
    <row r="296" spans="1:14" ht="13.5" thickTop="1" x14ac:dyDescent="0.2">
      <c r="A296" s="2160" t="s">
        <v>996</v>
      </c>
      <c r="B296" s="2161"/>
      <c r="C296" s="616"/>
      <c r="D296" s="618"/>
      <c r="E296" s="616"/>
      <c r="F296" s="616"/>
      <c r="G296" s="616"/>
      <c r="H296" s="687"/>
      <c r="I296" s="616"/>
      <c r="J296" s="616"/>
      <c r="K296" s="1684">
        <f>'Revenues 9-14'!G268-'Expenditures 15-22'!K295</f>
        <v>-3786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1091</v>
      </c>
      <c r="H301" s="466"/>
      <c r="I301" s="467"/>
      <c r="J301" s="467"/>
      <c r="K301" s="1671">
        <f>SUM(C301:J301)</f>
        <v>1091</v>
      </c>
      <c r="L301" s="467">
        <v>3482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1091</v>
      </c>
      <c r="H303" s="1677">
        <f t="shared" si="23"/>
        <v>0</v>
      </c>
      <c r="I303" s="1677">
        <f t="shared" si="23"/>
        <v>0</v>
      </c>
      <c r="J303" s="1677">
        <f t="shared" si="23"/>
        <v>0</v>
      </c>
      <c r="K303" s="1677">
        <f t="shared" si="23"/>
        <v>1091</v>
      </c>
      <c r="L303" s="1677">
        <f t="shared" si="23"/>
        <v>3482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1091</v>
      </c>
      <c r="H312" s="1670">
        <f>SUM(H303,H310)</f>
        <v>0</v>
      </c>
      <c r="I312" s="1670">
        <f>SUM(I303)</f>
        <v>0</v>
      </c>
      <c r="J312" s="1670">
        <f>SUM(J303)</f>
        <v>0</v>
      </c>
      <c r="K312" s="1670">
        <f>SUM(K303,K310,K311)</f>
        <v>1091</v>
      </c>
      <c r="L312" s="1670">
        <f>SUM(L303,L310,L311)</f>
        <v>3482</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2684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11871</v>
      </c>
      <c r="F320" s="467"/>
      <c r="G320" s="467"/>
      <c r="H320" s="467"/>
      <c r="I320" s="467"/>
      <c r="J320" s="467"/>
      <c r="K320" s="1671">
        <f t="shared" ref="K320:K327" si="24">SUM(C320:J320)</f>
        <v>11871</v>
      </c>
      <c r="L320" s="467">
        <v>12000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4000</v>
      </c>
      <c r="M321" s="665"/>
      <c r="N321" s="665"/>
    </row>
    <row r="322" spans="1:14" s="674" customFormat="1" x14ac:dyDescent="0.2">
      <c r="A322" s="1519" t="s">
        <v>238</v>
      </c>
      <c r="B322" s="697" t="s">
        <v>284</v>
      </c>
      <c r="C322" s="467"/>
      <c r="D322" s="467"/>
      <c r="E322" s="467">
        <v>28412</v>
      </c>
      <c r="F322" s="467"/>
      <c r="G322" s="467"/>
      <c r="H322" s="467"/>
      <c r="I322" s="467"/>
      <c r="J322" s="467"/>
      <c r="K322" s="1671">
        <f t="shared" si="24"/>
        <v>28412</v>
      </c>
      <c r="L322" s="467">
        <v>30000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40283</v>
      </c>
      <c r="F330" s="1670">
        <f t="shared" si="25"/>
        <v>0</v>
      </c>
      <c r="G330" s="1670">
        <f t="shared" si="25"/>
        <v>0</v>
      </c>
      <c r="H330" s="1670">
        <f t="shared" si="25"/>
        <v>0</v>
      </c>
      <c r="I330" s="1670">
        <f t="shared" si="25"/>
        <v>0</v>
      </c>
      <c r="J330" s="1670">
        <f t="shared" si="25"/>
        <v>0</v>
      </c>
      <c r="K330" s="1670">
        <f>SUM(K319:K329)</f>
        <v>40283</v>
      </c>
      <c r="L330" s="1670">
        <f>SUM(L319:L329)</f>
        <v>46000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40283</v>
      </c>
      <c r="F342" s="1670">
        <f>SUM(F330)</f>
        <v>0</v>
      </c>
      <c r="G342" s="1670">
        <f>SUM(G330)</f>
        <v>0</v>
      </c>
      <c r="H342" s="1670">
        <f>SUM(H330,H334,H340)</f>
        <v>0</v>
      </c>
      <c r="I342" s="1670">
        <f>SUM(I330)</f>
        <v>0</v>
      </c>
      <c r="J342" s="1670">
        <f>SUM(J330)</f>
        <v>0</v>
      </c>
      <c r="K342" s="1670">
        <f>SUM(K330,K334,K340)</f>
        <v>40283</v>
      </c>
      <c r="L342" s="1677">
        <f>SUM(L330,L340,L341)</f>
        <v>46000</v>
      </c>
    </row>
    <row r="343" spans="1:14" ht="12.75" customHeight="1" thickTop="1" x14ac:dyDescent="0.2">
      <c r="A343" s="2173" t="s">
        <v>996</v>
      </c>
      <c r="B343" s="2174"/>
      <c r="C343" s="616"/>
      <c r="D343" s="616"/>
      <c r="E343" s="616"/>
      <c r="F343" s="616"/>
      <c r="G343" s="616"/>
      <c r="H343" s="616"/>
      <c r="I343" s="616"/>
      <c r="J343" s="616"/>
      <c r="K343" s="1684">
        <f>'Revenues 9-14'!J268-'Expenditures 15-22'!K342</f>
        <v>-11283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7622</v>
      </c>
      <c r="F348" s="466"/>
      <c r="G348" s="466"/>
      <c r="H348" s="466"/>
      <c r="I348" s="467"/>
      <c r="J348" s="467"/>
      <c r="K348" s="1671">
        <f>SUM(C348:J348)</f>
        <v>7622</v>
      </c>
      <c r="L348" s="466"/>
    </row>
    <row r="349" spans="1:14" x14ac:dyDescent="0.2">
      <c r="A349" s="1504" t="s">
        <v>197</v>
      </c>
      <c r="B349" s="614">
        <v>2540</v>
      </c>
      <c r="C349" s="466"/>
      <c r="D349" s="466"/>
      <c r="E349" s="466">
        <v>12500</v>
      </c>
      <c r="F349" s="466"/>
      <c r="G349" s="466">
        <v>13875</v>
      </c>
      <c r="H349" s="466"/>
      <c r="I349" s="467"/>
      <c r="J349" s="467"/>
      <c r="K349" s="1671">
        <f>SUM(C349:J349)</f>
        <v>26375</v>
      </c>
      <c r="L349" s="466">
        <v>40418</v>
      </c>
    </row>
    <row r="350" spans="1:14" ht="12.75" customHeight="1" thickBot="1" x14ac:dyDescent="0.25">
      <c r="A350" s="1668" t="s">
        <v>719</v>
      </c>
      <c r="B350" s="1669" t="s">
        <v>35</v>
      </c>
      <c r="C350" s="1670">
        <f>SUM(C348:C349)</f>
        <v>0</v>
      </c>
      <c r="D350" s="1670">
        <f t="shared" ref="D350:L350" si="26">SUM(D348:D349)</f>
        <v>0</v>
      </c>
      <c r="E350" s="1670">
        <f t="shared" si="26"/>
        <v>20122</v>
      </c>
      <c r="F350" s="1670">
        <f t="shared" si="26"/>
        <v>0</v>
      </c>
      <c r="G350" s="1670">
        <f t="shared" si="26"/>
        <v>13875</v>
      </c>
      <c r="H350" s="1670">
        <f t="shared" si="26"/>
        <v>0</v>
      </c>
      <c r="I350" s="1670">
        <f t="shared" si="26"/>
        <v>0</v>
      </c>
      <c r="J350" s="1670">
        <f t="shared" si="26"/>
        <v>0</v>
      </c>
      <c r="K350" s="1670">
        <f t="shared" si="26"/>
        <v>33997</v>
      </c>
      <c r="L350" s="1670">
        <f t="shared" si="26"/>
        <v>40418</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20122</v>
      </c>
      <c r="F352" s="1670">
        <f t="shared" si="27"/>
        <v>0</v>
      </c>
      <c r="G352" s="1670">
        <f t="shared" si="27"/>
        <v>13875</v>
      </c>
      <c r="H352" s="1670">
        <f t="shared" si="27"/>
        <v>0</v>
      </c>
      <c r="I352" s="1670">
        <f t="shared" si="27"/>
        <v>0</v>
      </c>
      <c r="J352" s="1670">
        <f t="shared" si="27"/>
        <v>0</v>
      </c>
      <c r="K352" s="1670">
        <f t="shared" si="27"/>
        <v>33997</v>
      </c>
      <c r="L352" s="1670">
        <f t="shared" si="27"/>
        <v>40418</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20122</v>
      </c>
      <c r="F367" s="1670">
        <f t="shared" si="28"/>
        <v>0</v>
      </c>
      <c r="G367" s="1670">
        <f t="shared" si="28"/>
        <v>13875</v>
      </c>
      <c r="H367" s="1670">
        <f t="shared" si="28"/>
        <v>0</v>
      </c>
      <c r="I367" s="1670">
        <f t="shared" si="28"/>
        <v>0</v>
      </c>
      <c r="J367" s="1670">
        <f t="shared" si="28"/>
        <v>0</v>
      </c>
      <c r="K367" s="1670">
        <f t="shared" si="28"/>
        <v>33997</v>
      </c>
      <c r="L367" s="1670">
        <f t="shared" si="28"/>
        <v>40418</v>
      </c>
    </row>
    <row r="368" spans="1:14" ht="13.5" thickTop="1" x14ac:dyDescent="0.2">
      <c r="A368" s="2160" t="s">
        <v>996</v>
      </c>
      <c r="B368" s="2161"/>
      <c r="C368" s="654"/>
      <c r="D368" s="654"/>
      <c r="E368" s="626"/>
      <c r="F368" s="626"/>
      <c r="G368" s="626"/>
      <c r="H368" s="626"/>
      <c r="I368" s="626"/>
      <c r="J368" s="623"/>
      <c r="K368" s="1671">
        <f>'Revenues 9-14'!K268-'Expenditures 15-22'!K367</f>
        <v>11716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d21dc803-237d-4c68-8692-8d731fd29118"/>
    <ds:schemaRef ds:uri="http://purl.org/dc/term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4d435f69-8686-490b-bd6d-b153bf22ab50"/>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2019-10-09T19:32:53Z</cp:lastPrinted>
  <dcterms:created xsi:type="dcterms:W3CDTF">2003-10-29T19:06:34Z</dcterms:created>
  <dcterms:modified xsi:type="dcterms:W3CDTF">2019-11-21T15:10:44Z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c5eb7b43-e1a9-45bb-94db-d0a45dd06bfd</vt:lpwstr>
  </property>
</Properties>
</file>