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SD_ToLoad\"/>
    </mc:Choice>
  </mc:AlternateContent>
  <xr:revisionPtr revIDLastSave="0" documentId="13_ncr:1_{AC5C7484-12EE-4B25-8614-6190A3E73212}" xr6:coauthVersionLast="36" xr6:coauthVersionMax="36" xr10:uidLastSave="{00000000-0000-0000-0000-000000000000}"/>
  <bookViews>
    <workbookView xWindow="-120" yWindow="-120" windowWidth="19440" windowHeight="151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D12" i="11"/>
  <c r="D13" i="11"/>
  <c r="J32" i="8"/>
  <c r="L32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E27" i="108"/>
  <c r="G27" i="108"/>
  <c r="F36" i="108"/>
  <c r="G28" i="108"/>
  <c r="G30" i="108"/>
  <c r="D31" i="108"/>
  <c r="D36" i="108"/>
  <c r="E31" i="108"/>
  <c r="G31" i="108"/>
  <c r="E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J22" i="37"/>
  <c r="L22" i="37"/>
  <c r="H28" i="118" l="1"/>
  <c r="F38" i="34"/>
  <c r="E34" i="108"/>
  <c r="I129" i="29"/>
  <c r="B7037" i="106" s="1"/>
  <c r="D7037" i="106" s="1"/>
  <c r="F34" i="34"/>
  <c r="H76" i="4"/>
  <c r="B3298" i="106" s="1"/>
  <c r="D3298" i="106" s="1"/>
  <c r="J129" i="29"/>
  <c r="B7038" i="106" s="1"/>
  <c r="D7038" i="106" s="1"/>
  <c r="F42" i="34"/>
  <c r="H342" i="29"/>
  <c r="G39" i="108"/>
  <c r="D22" i="37"/>
  <c r="F72" i="34"/>
  <c r="F36" i="34"/>
  <c r="G29" i="108"/>
  <c r="F77" i="4"/>
  <c r="B3255" i="106" s="1"/>
  <c r="D3255" i="106" s="1"/>
  <c r="D24" i="37"/>
  <c r="B4270" i="106" s="1"/>
  <c r="D4270" i="106" s="1"/>
  <c r="G14" i="4"/>
  <c r="B2609" i="106" s="1"/>
  <c r="D2609" i="106" s="1"/>
  <c r="F68" i="34"/>
  <c r="J210" i="29"/>
  <c r="B7072" i="106" s="1"/>
  <c r="D7072" i="106" s="1"/>
  <c r="J41" i="3"/>
  <c r="B6216" i="106" s="1"/>
  <c r="D6216" i="106" s="1"/>
  <c r="B3647" i="106"/>
  <c r="D3647" i="106" s="1"/>
  <c r="C352" i="29"/>
  <c r="B3621" i="106" s="1"/>
  <c r="D3621" i="106" s="1"/>
  <c r="K76" i="4"/>
  <c r="B3586" i="106" s="1"/>
  <c r="D3586" i="106" s="1"/>
  <c r="L13" i="11"/>
  <c r="B2060" i="106" s="1"/>
  <c r="D2060" i="106" s="1"/>
  <c r="D68" i="36"/>
  <c r="F19" i="7"/>
  <c r="B1807" i="106" s="1"/>
  <c r="D1807" i="106" s="1"/>
  <c r="C342" i="29"/>
  <c r="B7216" i="106" s="1"/>
  <c r="D7216" i="106" s="1"/>
  <c r="F28" i="108"/>
  <c r="G35" i="108"/>
  <c r="E35" i="108"/>
  <c r="F27" i="108"/>
  <c r="D54" i="36"/>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B7235" i="106"/>
  <c r="D7235" i="106" s="1"/>
  <c r="C367" i="29"/>
  <c r="B3622" i="106" s="1"/>
  <c r="D3622" i="106" s="1"/>
  <c r="D51" i="36"/>
  <c r="H151" i="29"/>
  <c r="B1273" i="106" s="1"/>
  <c r="D1273" i="106" s="1"/>
  <c r="B1225" i="106"/>
  <c r="D1225" i="106" s="1"/>
  <c r="B1381" i="106"/>
  <c r="D1381" i="106" s="1"/>
  <c r="B1328" i="106"/>
  <c r="D1328" i="106" s="1"/>
  <c r="K365" i="29"/>
  <c r="K16" i="4" s="1"/>
  <c r="B5527" i="106"/>
  <c r="D5527" i="106" s="1"/>
  <c r="F66" i="34"/>
  <c r="D7250" i="106"/>
  <c r="D7254" i="106"/>
  <c r="D41" i="108"/>
  <c r="E43" i="108" s="1"/>
  <c r="D7256" i="106"/>
  <c r="D7251" i="106"/>
  <c r="L16" i="11"/>
  <c r="B2061" i="106" s="1"/>
  <c r="D2061" i="106" s="1"/>
  <c r="B2031" i="106"/>
  <c r="D2031" i="106" s="1"/>
  <c r="N23" i="3"/>
  <c r="B284" i="106" s="1"/>
  <c r="D284" i="106" s="1"/>
  <c r="L114" i="29"/>
  <c r="F41" i="108"/>
  <c r="G43" i="108" s="1"/>
  <c r="C114" i="29"/>
  <c r="B757" i="106" s="1"/>
  <c r="D75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K19" i="4" s="1"/>
  <c r="B4144" i="106" s="1"/>
  <c r="D4144" i="106" s="1"/>
  <c r="D8" i="146"/>
  <c r="B6227" i="106"/>
  <c r="D6227" i="106" s="1"/>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<sst xmlns="http://schemas.openxmlformats.org/spreadsheetml/2006/main" count="5147" uniqueCount="2137">
  <si>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</si>
  <si>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</si>
  <si>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</si>
  <si>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</si>
  <si>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</si>
  <si>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</si>
  <si>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</si>
  <si>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</si>
  <si>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</si>
  <si>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</si>
  <si>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</si>
  <si>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</si>
  <si>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</si>
  <si>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</si>
  <si>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</si>
  <si>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</si>
  <si>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</si>
  <si>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</si>
  <si>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</si>
  <si>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</si>
  <si>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</si>
  <si>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</si>
  <si>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</si>
  <si>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</si>
  <si>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</si>
  <si>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</si>
  <si>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</si>
  <si>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</si>
  <si>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</si>
  <si>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</si>
  <si>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</si>
  <si>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</si>
  <si>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</si>
  <si>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</si>
  <si>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</si>
  <si>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</si>
  <si>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</si>
  <si>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</si>
  <si>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</si>
  <si>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</si>
  <si>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</si>
  <si>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</si>
  <si>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</si>
  <si>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</si>
  <si>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</si>
  <si>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</si>
  <si>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</si>
  <si>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</si>
  <si>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</si>
  <si>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</si>
  <si>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</si>
  <si>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</si>
  <si>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</si>
  <si>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</si>
  <si>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</si>
  <si>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</si>
  <si>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</si>
  <si>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</si>
  <si>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</si>
  <si>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</si>
  <si>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</si>
  <si>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</si>
  <si>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</si>
  <si>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</si>
  <si>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</si>
  <si>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</si>
  <si>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</si>
  <si>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</si>
  <si>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</si>
  <si>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</si>
  <si>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</si>
  <si>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</si>
  <si>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</si>
  <si>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</si>
  <si>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</si>
  <si>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</si>
  <si>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</si>
  <si>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</si>
  <si>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</si>
  <si>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</si>
  <si>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</si>
  <si>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</si>
  <si>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</si>
  <si>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</si>
  <si>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</si>
  <si>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</si>
  <si>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</si>
  <si>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</si>
  <si>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</si>
  <si>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</si>
  <si>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</si>
  <si>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</si>
  <si>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</si>
  <si>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</si>
  <si>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</si>
  <si>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</si>
  <si>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</si>
  <si>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</si>
  <si>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</si>
  <si>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</si>
  <si>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</si>
  <si>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</si>
  <si>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</si>
  <si>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</si>
  <si>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</si>
  <si>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</si>
  <si>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</si>
  <si>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</si>
  <si>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</si>
  <si>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</si>
  <si>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</si>
  <si>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</si>
  <si>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</si>
  <si>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</si>
  <si>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</si>
  <si>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</si>
  <si>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</si>
  <si>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</si>
  <si>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</si>
  <si>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</si>
  <si>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</si>
  <si>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</si>
  <si>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</si>
  <si>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</si>
  <si>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</si>
  <si>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</si>
  <si>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</si>
  <si>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</si>
  <si>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</si>
  <si>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</si>
  <si>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</si>
  <si>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</si>
  <si>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</si>
  <si>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</si>
  <si>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</si>
  <si>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</si>
  <si>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</si>
  <si>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</si>
  <si>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</si>
  <si>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</si>
  <si>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</si>
  <si>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</si>
  <si>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</si>
  <si>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</si>
  <si>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</si>
  <si>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</si>
  <si>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</si>
  <si>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</si>
  <si>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</si>
  <si>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</si>
  <si>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</si>
  <si>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</si>
  <si>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</si>
  <si>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</si>
  <si>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</si>
  <si>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</si>
  <si>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</si>
  <si>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</si>
  <si>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</si>
  <si>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</si>
  <si>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</si>
  <si>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</si>
  <si>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</si>
  <si>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</si>
  <si>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</si>
  <si>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</si>
  <si>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</si>
  <si>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</si>
  <si>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</si>
  <si>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</si>
  <si>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</si>
  <si>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</si>
  <si>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</si>
  <si>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</si>
  <si>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</si>
  <si>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</si>
  <si>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</si>
  <si>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</si>
  <si>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</si>
  <si>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</si>
  <si>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</si>
  <si>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</si>
  <si>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</si>
  <si>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</si>
  <si>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</si>
  <si>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</si>
  <si>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</si>
  <si>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</si>
  <si>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</si>
  <si>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</si>
  <si>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</si>
  <si>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</si>
  <si>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</si>
  <si>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</si>
  <si>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</si>
  <si>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</si>
  <si>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</si>
  <si>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</si>
  <si>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</si>
  <si>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</si>
  <si>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</si>
  <si>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</si>
  <si>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</si>
  <si>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</si>
  <si>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</si>
  <si>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</si>
  <si>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</si>
  <si>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</si>
  <si>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</si>
  <si>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</si>
  <si>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</si>
  <si>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</si>
  <si>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</si>
  <si>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</si>
  <si>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</si>
  <si>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</si>
  <si>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</si>
  <si>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</si>
  <si>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</si>
  <si>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</si>
  <si>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</si>
  <si>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</si>
  <si>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</si>
  <si>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</si>
  <si>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</si>
  <si>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</si>
  <si>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</si>
  <si>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</si>
  <si>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</si>
  <si>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</si>
  <si>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</si>
  <si>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</si>
  <si>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</si>
  <si>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</si>
  <si>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</si>
  <si>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</si>
  <si>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</si>
  <si>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</si>
  <si>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</si>
  <si>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</si>
  <si>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</si>
  <si>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</si>
  <si>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</si>
  <si>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</si>
  <si>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</si>
  <si>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</si>
  <si>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</si>
  <si>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</si>
  <si>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</si>
  <si>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</si>
  <si>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</si>
  <si>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</si>
  <si>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</si>
  <si>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</si>
  <si>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</si>
  <si>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</si>
  <si>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</si>
  <si>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</si>
  <si>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</si>
  <si>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</si>
  <si>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</si>
  <si>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</si>
  <si>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</si>
  <si>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</si>
  <si>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</si>
  <si>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</si>
  <si>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</si>
  <si>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</si>
  <si>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</si>
  <si>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</si>
  <si>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</si>
  <si>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</si>
  <si>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</si>
  <si>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</si>
  <si>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</si>
  <si>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</si>
  <si>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</si>
  <si>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</si>
  <si>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</si>
  <si>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</si>
  <si>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</si>
  <si>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</si>
  <si>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</si>
  <si>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</si>
  <si>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</si>
  <si>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</si>
  <si>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</si>
  <si>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</si>
  <si>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</si>
  <si>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</si>
  <si>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</si>
  <si>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</si>
  <si>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</si>
  <si>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</si>
  <si>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</si>
  <si>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</si>
  <si>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</si>
  <si>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</si>
  <si>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</si>
  <si>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</si>
  <si>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</si>
  <si>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</si>
  <si>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</si>
  <si>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</si>
  <si>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</si>
  <si>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</si>
  <si>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</si>
  <si>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</si>
  <si>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</si>
  <si>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</si>
  <si>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</si>
  <si>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</si>
  <si>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</si>
  <si>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</si>
  <si>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</si>
  <si>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</si>
  <si>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</si>
  <si>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</si>
  <si>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</si>
  <si>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</si>
  <si>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</si>
  <si>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</si>
  <si>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</si>
  <si>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</si>
  <si>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</si>
  <si>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</si>
  <si>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</si>
  <si>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</si>
  <si>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</si>
  <si>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</si>
  <si>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</si>
  <si>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</si>
  <si>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</si>
  <si>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</si>
  <si>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</si>
  <si>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</si>
  <si>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</si>
  <si>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</si>
  <si>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</si>
  <si>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</si>
  <si>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</si>
  <si>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</si>
  <si>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</si>
  <si>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</si>
  <si>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</si>
  <si>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</si>
  <si>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</si>
  <si>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</si>
  <si>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</si>
  <si>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</si>
  <si>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</si>
  <si>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</si>
  <si>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</si>
  <si>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</si>
  <si>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</si>
  <si>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</si>
  <si>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</si>
  <si>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</si>
  <si>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</si>
  <si>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</si>
  <si>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</si>
  <si>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</si>
  <si>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</si>
  <si>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</si>
  <si>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</si>
  <si>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</si>
  <si>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</si>
  <si>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</si>
  <si>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</si>
  <si>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</si>
  <si>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</si>
  <si>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</si>
  <si>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</si>
  <si>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</si>
  <si>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</si>
  <si>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</si>
  <si>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</si>
  <si>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</si>
  <si>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</si>
  <si>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</si>
  <si>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</si>
  <si>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</si>
  <si>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</si>
  <si>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</si>
  <si>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</si>
  <si>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</si>
  <si>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</si>
  <si>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</si>
  <si>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</si>
  <si>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</si>
  <si>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</si>
  <si>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</si>
  <si>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</si>
  <si>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</si>
  <si>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</si>
  <si>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</si>
  <si>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</si>
  <si>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</si>
  <si>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</si>
  <si>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</si>
  <si>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</si>
  <si>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</si>
  <si>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</si>
  <si>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</si>
  <si>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</si>
  <si>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</si>
  <si>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</si>
  <si>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</si>
  <si>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</si>
  <si>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</si>
  <si>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</si>
  <si>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</si>
  <si>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</si>
  <si>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</si>
  <si>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</si>
  <si>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</si>
  <si>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</si>
  <si>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</si>
  <si>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</si>
  <si>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</si>
  <si>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</si>
  <si>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</si>
  <si>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</si>
  <si>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</si>
  <si>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</si>
  <si>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</si>
  <si>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</si>
  <si>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</si>
  <si>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</si>
  <si>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</si>
  <si>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</si>
  <si>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</si>
  <si>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</si>
  <si>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</si>
  <si>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</si>
  <si>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</si>
  <si>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</si>
  <si>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</si>
  <si>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</si>
  <si>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</si>
  <si>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</si>
  <si>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</si>
  <si>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</si>
  <si>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</si>
  <si>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</si>
  <si>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</si>
  <si>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</si>
  <si>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</si>
  <si>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</si>
  <si>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</si>
  <si>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</si>
  <si>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</si>
  <si>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</si>
  <si>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</si>
  <si>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</si>
  <si>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</si>
  <si>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</si>
  <si>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</si>
  <si>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</si>
  <si>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</si>
  <si>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</si>
  <si>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</si>
  <si>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</si>
  <si>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</si>
  <si>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</si>
  <si>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</si>
  <si>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</si>
  <si>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</si>
  <si>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</si>
  <si>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</si>
  <si>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</si>
  <si>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</si>
  <si>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</si>
  <si>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</si>
  <si>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</si>
  <si>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</si>
  <si>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</si>
  <si>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</si>
  <si>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</si>
  <si>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</si>
  <si>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</si>
  <si>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</si>
  <si>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</si>
  <si>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</si>
  <si>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</si>
  <si>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</si>
  <si>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</si>
  <si>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</si>
  <si>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</si>
  <si>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</si>
  <si>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</si>
  <si>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</si>
  <si>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</si>
  <si>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</si>
  <si>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</si>
  <si>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</si>
  <si>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</si>
  <si>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</si>
  <si>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</si>
  <si>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</si>
  <si>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</si>
  <si>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</si>
  <si>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</si>
  <si>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</si>
  <si>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</si>
  <si>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</si>
  <si>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</si>
  <si>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</si>
  <si>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</si>
  <si>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</si>
  <si>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</si>
  <si>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</si>
  <si>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</si>
  <si>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</si>
  <si>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</si>
  <si>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</si>
  <si>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</si>
  <si>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</si>
  <si>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</si>
  <si>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</si>
  <si>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</si>
  <si>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</si>
  <si>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</si>
  <si>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</si>
  <si>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</si>
  <si>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</si>
  <si>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</si>
  <si>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</si>
  <si>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</si>
  <si>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</si>
  <si>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</si>
  <si>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</si>
  <si>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</si>
  <si>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</si>
  <si>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</si>
  <si>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</si>
  <si>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</si>
  <si>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</si>
  <si>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</si>
  <si>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</si>
  <si>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</si>
  <si>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</si>
  <si>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</si>
  <si>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</si>
  <si>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</si>
  <si>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</si>
  <si>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</si>
  <si>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</si>
  <si>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</si>
  <si>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</si>
  <si>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</si>
  <si>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</si>
  <si>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</si>
  <si>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</si>
  <si>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</si>
  <si>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</si>
  <si>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</si>
  <si>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</si>
  <si>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</si>
  <si>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</si>
  <si>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</si>
  <si>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</si>
  <si>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</si>
  <si>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</si>
  <si>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</si>
  <si>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</si>
  <si>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</si>
  <si>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</si>
  <si>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</si>
  <si>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</si>
  <si>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</si>
  <si>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</si>
  <si>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</si>
  <si>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</si>
  <si>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</si>
  <si>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</si>
  <si>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</si>
  <si>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</si>
  <si>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</si>
  <si>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</si>
  <si>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</si>
  <si>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</si>
  <si>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</si>
  <si>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</si>
  <si>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</si>
  <si>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</si>
  <si>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</si>
  <si>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</si>
  <si>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</si>
  <si>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</si>
  <si>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</si>
  <si>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</si>
  <si>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</si>
  <si>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</si>
  <si>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</si>
  <si>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</si>
  <si>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</si>
  <si>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</si>
  <si>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</si>
  <si>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</si>
  <si>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</si>
  <si>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</si>
  <si>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</si>
  <si>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</si>
  <si>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</si>
  <si>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</si>
  <si>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</si>
  <si>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</si>
  <si>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</si>
  <si>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</si>
  <si>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</si>
  <si>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</si>
  <si>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</si>
  <si>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</si>
  <si>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</si>
  <si>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</si>
  <si>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</si>
  <si>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</si>
  <si>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</si>
  <si>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</si>
  <si>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</si>
  <si>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</si>
  <si>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</si>
  <si>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</si>
  <si>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</si>
  <si>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</si>
  <si>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</si>
  <si>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</si>
  <si>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</si>
  <si>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</si>
  <si>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</si>
  <si>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</si>
  <si>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</si>
  <si>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</si>
  <si>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</si>
  <si>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</si>
  <si>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</si>
  <si>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</si>
  <si>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</si>
  <si>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</si>
  <si>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</si>
  <si>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</si>
  <si>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</si>
  <si>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</si>
  <si>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</si>
  <si>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</si>
  <si>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</si>
  <si>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</si>
  <si>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</si>
  <si>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</si>
  <si>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</si>
  <si>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</si>
  <si>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</si>
  <si>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</si>
  <si>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</si>
  <si>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</si>
  <si>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</si>
  <si>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</si>
  <si>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</si>
  <si>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</si>
  <si>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</si>
  <si>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</si>
  <si>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</si>
  <si>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</si>
  <si>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</si>
  <si>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</si>
  <si>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</si>
  <si>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</si>
  <si>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</si>
  <si>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</si>
  <si>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</si>
  <si>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</si>
  <si>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</si>
  <si>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</si>
  <si>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</si>
  <si>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</si>
  <si>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</si>
  <si>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</si>
  <si>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</si>
  <si>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</si>
  <si>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</si>
  <si>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</si>
  <si>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</si>
  <si>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</si>
  <si>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</si>
  <si>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</si>
  <si>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</si>
  <si>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</si>
  <si>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</si>
  <si>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</si>
  <si>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</si>
  <si>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</si>
  <si>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</si>
  <si>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</si>
  <si>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</si>
  <si>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</si>
  <si>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</si>
  <si>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</si>
  <si>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</si>
  <si>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</si>
  <si>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</si>
  <si>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</si>
  <si>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</si>
  <si>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</si>
  <si>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</si>
  <si>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</si>
  <si>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</si>
  <si>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</si>
  <si>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</si>
  <si>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</si>
  <si>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</si>
  <si>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</si>
  <si>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</si>
  <si>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</si>
  <si>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</si>
  <si>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</si>
  <si>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</si>
  <si>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</si>
  <si>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</si>
  <si>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</si>
  <si>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</si>
  <si>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</si>
  <si>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</si>
  <si>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</si>
  <si>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</si>
  <si>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</si>
  <si>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</si>
  <si>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</si>
  <si>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</si>
  <si>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</si>
  <si>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</si>
  <si>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</si>
  <si>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</si>
  <si>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</si>
  <si>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</si>
  <si>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</si>
  <si>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</si>
  <si>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</si>
  <si>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</si>
  <si>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</si>
  <si>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</si>
  <si>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</si>
  <si>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</si>
  <si>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</si>
  <si>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</si>
  <si>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</si>
  <si>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</si>
  <si>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</si>
  <si>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</si>
  <si>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</si>
  <si>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</si>
  <si>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</si>
  <si>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</si>
  <si>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</si>
  <si>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</si>
  <si>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</si>
  <si>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</si>
  <si>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</si>
  <si>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</si>
  <si>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</si>
  <si>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</si>
  <si>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</si>
  <si>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</si>
  <si>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</si>
  <si>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</si>
  <si>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</si>
  <si>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</si>
  <si>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</si>
  <si>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</si>
  <si>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</si>
  <si>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</si>
  <si>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</si>
  <si>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</si>
  <si>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</si>
  <si>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</si>
  <si>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</si>
  <si>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</si>
  <si>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</si>
  <si>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</si>
  <si>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</si>
  <si>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</si>
  <si>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</si>
  <si>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</si>
  <si>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</si>
  <si>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</si>
  <si>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</si>
  <si>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</si>
  <si>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</si>
  <si>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</si>
  <si>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</si>
  <si>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</si>
  <si>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</si>
  <si>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</si>
  <si>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</si>
  <si>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</si>
  <si>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</si>
  <si>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</si>
  <si>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</si>
  <si>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</si>
  <si>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</si>
  <si>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</si>
  <si>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</si>
  <si>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</si>
  <si>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</si>
  <si>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</si>
  <si>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</si>
  <si>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</si>
  <si>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</si>
  <si>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</si>
  <si>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</si>
  <si>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</si>
  <si>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</si>
  <si>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</si>
  <si>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</si>
  <si>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</si>
  <si>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</si>
  <si>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</si>
  <si>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</si>
  <si>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</si>
  <si>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</si>
  <si>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</si>
  <si>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</si>
  <si>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</si>
  <si>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</si>
  <si>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</si>
  <si>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</si>
  <si>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</si>
  <si>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</si>
  <si>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</si>
  <si>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</si>
  <si>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</si>
  <si>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</si>
  <si>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</si>
  <si>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</si>
  <si>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</si>
  <si>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</si>
  <si>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</si>
  <si>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</si>
  <si>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</si>
  <si>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</si>
  <si>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</si>
  <si>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</si>
  <si>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</si>
  <si>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</si>
  <si>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</si>
  <si>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</si>
  <si>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</si>
  <si>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</si>
  <si>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</si>
  <si>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</si>
  <si>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</si>
  <si>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</si>
  <si>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</si>
  <si>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</si>
  <si>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</si>
  <si>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</si>
  <si>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</si>
  <si>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</si>
  <si>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</si>
  <si>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</si>
  <si>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</si>
  <si>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</si>
  <si>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</si>
  <si>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</si>
  <si>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</si>
  <si>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</si>
  <si>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</si>
  <si>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</si>
  <si>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</si>
  <si>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</si>
  <si>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</si>
  <si>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</si>
  <si>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</si>
  <si>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</si>
  <si>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</si>
  <si>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</si>
  <si>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</si>
  <si>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</si>
  <si>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</si>
  <si>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</si>
  <si>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</si>
  <si>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</si>
  <si>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</si>
  <si>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</si>
  <si>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</si>
  <si>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</si>
  <si>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</si>
  <si>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</si>
  <si>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</si>
  <si>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</si>
  <si>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</si>
  <si>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</si>
  <si>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</si>
  <si>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</si>
  <si>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</si>
  <si>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</si>
  <si>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</si>
  <si>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</si>
  <si>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</si>
  <si>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</si>
  <si>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</si>
  <si>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</si>
  <si>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</si>
  <si>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</si>
  <si>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</si>
  <si>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</si>
  <si>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</si>
  <si>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</si>
  <si>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</si>
  <si>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</si>
  <si>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</si>
  <si>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</si>
  <si>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</si>
  <si>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</si>
  <si>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</si>
  <si>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</si>
  <si>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</si>
  <si>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</si>
  <si>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</si>
  <si>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</si>
  <si>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</si>
  <si>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</si>
  <si>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</si>
  <si>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</si>
  <si>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</si>
  <si>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</si>
  <si>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</si>
  <si>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</si>
  <si>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</si>
  <si>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</si>
  <si>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</si>
  <si>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</si>
  <si>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</si>
  <si>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</si>
  <si>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</si>
  <si>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</si>
  <si>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</si>
  <si>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</si>
  <si>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</si>
  <si>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</si>
  <si>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</si>
  <si>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</si>
  <si>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</si>
  <si>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</si>
  <si>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</si>
  <si>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</si>
  <si>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</si>
  <si>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</si>
  <si>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</si>
  <si>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</si>
  <si>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</si>
  <si>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</si>
  <si>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</si>
  <si>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</si>
  <si>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</si>
  <si>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</si>
  <si>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</si>
  <si>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</si>
  <si>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</si>
  <si>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</si>
  <si>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</si>
  <si>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</si>
  <si>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</si>
  <si>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</si>
  <si>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</si>
  <si>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</si>
  <si>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</si>
  <si>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</si>
  <si>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</si>
  <si>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</si>
  <si>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</si>
  <si>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</si>
  <si>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</si>
  <si>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</si>
  <si>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</si>
  <si>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</si>
  <si>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</si>
  <si>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</si>
  <si>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</si>
  <si>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</si>
  <si>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</si>
  <si>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</si>
  <si>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</si>
  <si>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</si>
  <si>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</si>
  <si>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</si>
  <si>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</si>
  <si>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</si>
  <si>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</si>
  <si>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</si>
  <si>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</si>
  <si>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</si>
  <si>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</si>
  <si>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</si>
  <si>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</si>
  <si>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</si>
  <si>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</si>
  <si>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</si>
  <si>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</si>
  <si>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</si>
  <si>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</si>
  <si>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</si>
  <si>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</si>
  <si>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</si>
  <si>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</si>
  <si>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</si>
  <si>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</si>
  <si>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</si>
  <si>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</si>
  <si>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</si>
  <si>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</si>
  <si>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</si>
  <si>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</si>
  <si>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</si>
  <si>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</si>
  <si>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</si>
  <si>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</si>
  <si>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</si>
  <si>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</si>
  <si>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</si>
  <si>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</si>
  <si>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</si>
  <si>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</si>
  <si>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</si>
  <si>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</si>
  <si>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</si>
  <si>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</si>
  <si>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</si>
  <si>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</si>
  <si>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</si>
  <si>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</si>
  <si>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</si>
  <si>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</si>
  <si>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</si>
  <si>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</si>
  <si>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</si>
  <si>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</si>
  <si>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</si>
  <si>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</si>
  <si>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</si>
  <si>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</si>
  <si>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</si>
  <si>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</si>
  <si>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</si>
  <si>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</si>
  <si>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</si>
  <si>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</si>
  <si>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</si>
  <si>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</si>
  <si>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</si>
  <si>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</si>
  <si>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</si>
  <si>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</si>
  <si>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</si>
  <si>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</si>
  <si>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</si>
  <si>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</si>
  <si>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</si>
  <si>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</si>
  <si>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</si>
  <si>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</si>
  <si>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</si>
  <si>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</si>
  <si>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</si>
  <si>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</si>
  <si>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</si>
  <si>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</si>
  <si>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</si>
  <si>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</si>
  <si>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</si>
  <si>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</si>
  <si>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</si>
  <si>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</si>
  <si>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</si>
  <si>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</si>
  <si>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</si>
  <si>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</si>
  <si>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</si>
  <si>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</si>
  <si>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</si>
  <si>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</si>
  <si>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</si>
  <si>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</si>
  <si>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</si>
  <si>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</si>
  <si>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</si>
  <si>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</si>
  <si>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</si>
  <si>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</si>
  <si>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</si>
  <si>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</si>
  <si>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</si>
  <si>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</si>
  <si>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</si>
  <si>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</si>
  <si>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</si>
  <si>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</si>
  <si>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</si>
  <si>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</si>
  <si>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</si>
  <si>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</si>
  <si>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</si>
  <si>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</si>
  <si>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</si>
  <si>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</si>
  <si>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</si>
  <si>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</si>
  <si>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</si>
  <si>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</si>
  <si>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</si>
  <si>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</si>
  <si>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</si>
  <si>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</si>
  <si>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</si>
  <si>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</si>
  <si>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</si>
  <si>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</si>
  <si>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</si>
  <si>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</si>
  <si>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</si>
  <si>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</si>
  <si>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</si>
  <si>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</si>
  <si>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</si>
  <si>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</si>
  <si>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</si>
  <si>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</si>
  <si>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</si>
  <si>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</si>
  <si>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</si>
  <si>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</si>
  <si>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</si>
  <si>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</si>
  <si>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</si>
  <si>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</si>
  <si>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</si>
  <si>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</si>
  <si>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</si>
  <si>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</si>
  <si>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</si>
  <si>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</si>
  <si>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</si>
  <si>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</si>
  <si>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</si>
  <si>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</si>
  <si>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</si>
  <si>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</si>
  <si>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</si>
  <si>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</si>
  <si>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</si>
  <si>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</si>
  <si>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</si>
  <si>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</si>
  <si>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</si>
  <si>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</si>
  <si>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</si>
  <si>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</si>
  <si>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</si>
  <si>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</si>
  <si>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</si>
  <si>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</si>
  <si>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</si>
  <si>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</si>
  <si>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</si>
  <si>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</si>
  <si>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</si>
  <si>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</si>
  <si>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</si>
  <si>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</si>
  <si>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</si>
  <si>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</si>
  <si>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</si>
  <si>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</si>
  <si>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</si>
  <si>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</si>
  <si>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</si>
  <si>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</si>
  <si>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</si>
  <si>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</si>
  <si>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</si>
  <si>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</si>
  <si>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</si>
  <si>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</si>
  <si>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</si>
  <si>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</si>
  <si>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</si>
  <si>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</si>
  <si>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</si>
  <si>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</si>
  <si>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</si>
  <si>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</si>
  <si>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</si>
  <si>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</si>
  <si>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</si>
  <si>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</si>
  <si>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</si>
  <si>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</si>
  <si>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</si>
  <si>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</si>
  <si>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</si>
  <si>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</si>
  <si>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</si>
  <si>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</si>
  <si>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</si>
  <si>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</si>
  <si>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</si>
  <si>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</si>
  <si>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</si>
  <si>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</si>
  <si>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</si>
  <si>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</si>
  <si>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</si>
  <si>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</si>
  <si>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</si>
  <si>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</si>
  <si>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</si>
  <si>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</si>
  <si>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</si>
  <si>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</si>
  <si>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</si>
  <si>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</si>
  <si>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</si>
  <si>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</si>
  <si>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</si>
  <si>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</si>
  <si>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</si>
  <si>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</si>
  <si>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</si>
  <si>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</si>
  <si>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</si>
  <si>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</si>
  <si>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</si>
  <si>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</si>
  <si>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</si>
  <si>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</si>
  <si>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</si>
  <si>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</si>
  <si>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</si>
  <si>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</si>
  <si>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</si>
  <si>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</si>
  <si>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</si>
  <si>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</si>
  <si>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</si>
  <si>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</si>
  <si>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</si>
  <si>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</si>
  <si>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</si>
  <si>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</si>
  <si>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</si>
  <si>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</si>
  <si>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</si>
  <si>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</si>
  <si>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</si>
  <si>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</si>
  <si>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</si>
  <si>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</si>
  <si>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</si>
  <si>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</si>
  <si>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</si>
  <si>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</si>
  <si>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</si>
  <si>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</si>
  <si>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</si>
  <si>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</si>
  <si>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</si>
  <si>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</si>
  <si>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</si>
  <si>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</si>
  <si>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</si>
  <si>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</si>
  <si>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</si>
  <si>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</si>
  <si>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</si>
  <si>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</si>
  <si>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</si>
  <si>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</si>
  <si>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</si>
  <si>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</si>
  <si>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</si>
  <si>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</si>
  <si>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</si>
  <si>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</si>
  <si>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</si>
  <si>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</si>
  <si>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</si>
  <si>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</si>
  <si>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</si>
  <si>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</si>
  <si>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</si>
  <si>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</si>
  <si>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</si>
  <si>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</si>
  <si>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</si>
  <si>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</si>
  <si>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</si>
  <si>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</si>
  <si>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</si>
  <si>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</si>
  <si>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</si>
  <si>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</si>
  <si>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</si>
  <si>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</si>
  <si>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</si>
  <si>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</si>
  <si>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</si>
  <si>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</si>
  <si>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</si>
  <si>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</si>
  <si>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</si>
  <si>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</si>
  <si>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</si>
  <si>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</si>
  <si>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</si>
  <si>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</si>
  <si>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</si>
  <si>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</si>
  <si>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</si>
  <si>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</si>
  <si>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</si>
  <si>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</si>
  <si>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</si>
  <si>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</si>
  <si>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</si>
  <si>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</si>
  <si>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</si>
  <si>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</si>
  <si>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</si>
  <si>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</si>
  <si>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</si>
  <si>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</si>
  <si>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</si>
  <si>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</si>
  <si>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</si>
  <si>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</si>
  <si>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</si>
  <si>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</si>
  <si>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</si>
  <si>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</si>
  <si>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</si>
  <si>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</si>
  <si>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</si>
  <si>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</si>
  <si>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</si>
  <si>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</si>
  <si>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</si>
  <si>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</si>
  <si>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</si>
  <si>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</si>
  <si>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</si>
  <si>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</si>
  <si>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</si>
  <si>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</si>
  <si>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</si>
  <si>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</si>
  <si>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</si>
  <si>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</si>
  <si>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</si>
  <si>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</si>
  <si>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</si>
  <si>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</si>
  <si>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</si>
  <si>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</si>
  <si>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</si>
  <si>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</si>
  <si>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</si>
  <si>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</si>
  <si>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</si>
  <si>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</si>
  <si>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</si>
  <si>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</si>
  <si>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</si>
  <si>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</si>
  <si>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</si>
  <si>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</si>
  <si>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</si>
  <si>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</si>
  <si>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</si>
  <si>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</si>
  <si>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</si>
  <si>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</si>
  <si>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</si>
  <si>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</si>
  <si>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</si>
  <si>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</si>
  <si>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</si>
  <si>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</si>
  <si>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</si>
  <si>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</si>
  <si>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</si>
  <si>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</si>
  <si>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</si>
  <si>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</si>
  <si>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</si>
  <si>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</si>
  <si>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</si>
  <si>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</si>
  <si>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</si>
  <si>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</si>
  <si>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</si>
  <si>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</si>
  <si>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</si>
  <si>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</si>
  <si>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</si>
  <si>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</si>
  <si>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</si>
  <si>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</si>
  <si>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</si>
  <si>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</si>
  <si>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</si>
  <si>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</si>
  <si>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</si>
  <si>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</si>
  <si>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</si>
  <si>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</si>
  <si>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</si>
  <si>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</si>
  <si>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</si>
  <si>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</si>
  <si>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</si>
  <si>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</si>
  <si>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</si>
  <si>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</si>
  <si>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</si>
  <si>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</si>
  <si>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</si>
  <si>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</si>
  <si>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</si>
  <si>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</si>
  <si>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</si>
  <si>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</si>
  <si>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</si>
  <si>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</si>
  <si>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</si>
  <si>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</si>
  <si>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</si>
  <si>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</si>
  <si>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</si>
  <si>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</si>
  <si>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</si>
  <si>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</si>
  <si>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</si>
  <si>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</si>
  <si>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</si>
  <si>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</si>
  <si>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</si>
  <si>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</si>
  <si>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</si>
  <si>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</si>
  <si>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</si>
  <si>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</si>
  <si>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</si>
  <si>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</si>
  <si>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</si>
  <si>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</si>
  <si>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</si>
  <si>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</si>
  <si>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</si>
  <si>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</si>
  <si>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</si>
  <si>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</si>
  <si>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</si>
  <si>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</si>
  <si>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</si>
  <si>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</si>
  <si>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</si>
  <si>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</si>
  <si>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</si>
  <si>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</si>
  <si>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</si>
  <si>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</si>
  <si>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</si>
  <si>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</si>
  <si>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</si>
  <si>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</si>
  <si>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</si>
  <si>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</si>
  <si>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</si>
  <si>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</si>
  <si>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</si>
  <si>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</si>
  <si>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</si>
  <si>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</si>
  <si>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</si>
  <si>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</si>
  <si>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</si>
  <si>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</si>
  <si>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</si>
  <si>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</si>
  <si>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</si>
  <si>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</si>
  <si>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</si>
  <si>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</si>
  <si>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</si>
  <si>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</si>
  <si>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</si>
  <si>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</si>
  <si>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</si>
  <si>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</si>
  <si>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</si>
  <si>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</si>
  <si>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</si>
  <si>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</si>
  <si>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</si>
  <si>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</si>
  <si>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</si>
  <si>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</si>
  <si>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</si>
  <si>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</si>
  <si>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</si>
  <si>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</si>
  <si>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</si>
  <si>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</si>
  <si>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</si>
  <si>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</si>
  <si>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</si>
  <si>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</si>
  <si>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</si>
  <si>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</si>
  <si>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</si>
  <si>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</si>
  <si>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</si>
  <si>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</si>
  <si>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</si>
  <si>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</si>
  <si>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</si>
  <si>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</si>
  <si>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</si>
  <si>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</si>
  <si>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</si>
  <si>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</si>
  <si>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</si>
  <si>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</si>
  <si>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</si>
  <si>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</si>
  <si>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</si>
  <si>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</si>
  <si>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</si>
  <si>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</si>
  <si>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</si>
  <si>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</si>
  <si>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</si>
  <si>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</si>
  <si>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</si>
  <si>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</si>
  <si>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</si>
  <si>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</si>
  <si>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</si>
  <si>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</si>
  <si>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</si>
  <si>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</si>
  <si>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</si>
  <si>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</si>
  <si>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</si>
  <si>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</si>
  <si>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</si>
  <si>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</si>
  <si>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</si>
  <si>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</si>
  <si>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</si>
  <si>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</si>
  <si>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</si>
  <si>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</si>
  <si>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</si>
  <si>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</si>
  <si>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</si>
  <si>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</si>
  <si>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</si>
  <si>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</si>
  <si>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</si>
  <si>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</si>
  <si>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</si>
  <si>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</si>
  <si>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</si>
  <si>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</si>
  <si>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</si>
  <si>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</si>
  <si>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</si>
  <si>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</si>
  <si>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</si>
  <si>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</si>
  <si>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</si>
  <si>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</si>
  <si>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</si>
  <si>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</si>
  <si>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</si>
  <si>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</si>
  <si>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</si>
  <si>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</si>
  <si>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</si>
  <si>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</si>
  <si>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</si>
  <si>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</si>
  <si>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</si>
  <si>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</si>
  <si>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</si>
  <si>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</si>
  <si>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</si>
  <si>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</si>
  <si>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</si>
  <si>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</si>
  <si>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</si>
  <si>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</si>
  <si>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</si>
  <si>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</si>
  <si>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</si>
  <si>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</si>
  <si>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</si>
  <si>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</si>
  <si>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</si>
  <si>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</si>
  <si>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</si>
  <si>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</si>
  <si>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</si>
  <si>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</si>
  <si>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</si>
  <si>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</si>
  <si>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</si>
  <si>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</si>
  <si>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</si>
  <si>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</si>
  <si>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</si>
  <si>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</si>
  <si>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</si>
  <si>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</si>
  <si>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</si>
  <si>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</si>
  <si>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</si>
  <si>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</si>
  <si>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</si>
  <si>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</si>
  <si>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</si>
  <si>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</si>
  <si>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</si>
  <si>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</si>
  <si>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</si>
  <si>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</si>
  <si>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</si>
  <si>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</si>
  <si>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</si>
  <si>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</si>
  <si>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</si>
  <si>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</si>
  <si>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</si>
  <si>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</si>
  <si>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</si>
  <si>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</si>
  <si>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</si>
  <si>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</si>
  <si>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</si>
  <si>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</si>
  <si>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</si>
  <si>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</si>
  <si>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</si>
  <si>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</si>
  <si>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</si>
  <si>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</si>
  <si>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</si>
  <si>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</si>
  <si>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</si>
  <si>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</si>
  <si>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</si>
  <si>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</si>
  <si>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</si>
  <si>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</si>
  <si>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</si>
  <si>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</si>
  <si>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</si>
  <si>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</si>
  <si>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</si>
  <si>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</si>
  <si>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</si>
  <si>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</si>
  <si>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</si>
  <si>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</si>
  <si>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</si>
  <si>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</si>
  <si>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</si>
  <si>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</si>
  <si>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</si>
  <si>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</si>
  <si>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</si>
  <si>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</si>
  <si>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</si>
  <si>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</si>
  <si>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</si>
  <si>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</si>
  <si>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</si>
  <si>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</si>
  <si>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</si>
  <si>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</si>
  <si>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</si>
  <si>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</si>
  <si>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</si>
  <si>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</si>
  <si>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</si>
  <si>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</si>
  <si>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</si>
  <si>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</si>
  <si>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</si>
  <si>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</si>
  <si>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</si>
  <si>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</si>
  <si>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</si>
  <si>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</si>
  <si>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</si>
  <si>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</si>
  <si>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</si>
  <si>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</si>
  <si>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</si>
  <si>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</si>
  <si>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</si>
  <si>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</si>
  <si>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</si>
  <si>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</si>
  <si>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</si>
  <si>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</si>
  <si>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</si>
  <si>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</si>
  <si>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</si>
  <si>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</si>
  <si>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</si>
  <si>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</si>
  <si>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</si>
  <si>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</si>
  <si>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</si>
  <si>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</si>
  <si>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</si>
  <si>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</si>
  <si>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</si>
  <si>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</si>
  <si>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</si>
  <si>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</si>
  <si>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</si>
  <si>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</si>
  <si>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</si>
  <si>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</si>
  <si>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</si>
  <si>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</si>
  <si>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</si>
  <si>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</si>
  <si>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</si>
  <si>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</si>
  <si>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</si>
  <si>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</si>
  <si>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</si>
  <si>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</si>
  <si>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</si>
  <si>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</si>
  <si>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</si>
  <si>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</si>
  <si>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</si>
  <si>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</si>
  <si>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</si>
  <si>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</si>
  <si>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</si>
  <si>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</si>
  <si>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</si>
  <si>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</si>
  <si>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</si>
  <si>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</si>
  <si>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</si>
  <si>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</si>
  <si>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</si>
  <si>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</si>
  <si>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</si>
  <si>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</si>
  <si>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</si>
  <si>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</si>
  <si>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</si>
  <si>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</si>
  <si>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</si>
  <si>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</si>
  <si>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</si>
  <si>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</si>
  <si>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</si>
  <si>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</si>
  <si>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</si>
  <si>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</si>
  <si>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</si>
  <si>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</si>
  <si>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</si>
  <si>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</si>
  <si>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</si>
  <si>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</si>
  <si>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</si>
  <si>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</si>
  <si>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</si>
  <si>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</si>
  <si>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</si>
  <si>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</si>
  <si>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</si>
  <si>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</si>
  <si>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</si>
  <si>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</si>
  <si>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</si>
  <si>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</si>
  <si>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</si>
  <si>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</si>
  <si>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</si>
  <si>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</si>
  <si>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</si>
  <si>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</si>
  <si>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</si>
  <si>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</si>
  <si>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</si>
  <si>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</si>
  <si>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</si>
  <si>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</si>
  <si>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</si>
  <si>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</si>
  <si>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</si>
  <si>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</si>
  <si>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</si>
  <si>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</si>
  <si>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</si>
  <si>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</si>
  <si>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</si>
  <si>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</si>
  <si>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</si>
  <si>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</si>
  <si>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</si>
  <si>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</si>
  <si>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</si>
  <si>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</si>
  <si>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</si>
  <si>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</si>
  <si>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</si>
  <si>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</si>
  <si>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</si>
  <si>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</si>
  <si>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</si>
  <si>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</si>
  <si>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</si>
  <si>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</si>
  <si>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</si>
  <si>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</si>
  <si>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</si>
  <si>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</si>
  <si>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</si>
  <si>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</si>
  <si>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</si>
  <si>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</si>
  <si>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</si>
  <si>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</si>
  <si>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</si>
  <si>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</si>
  <si>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</si>
  <si>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</si>
  <si>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</si>
  <si>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</si>
  <si>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</si>
  <si>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</si>
  <si>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</si>
  <si>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</si>
  <si>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</si>
  <si>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</si>
  <si>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</si>
  <si>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</si>
  <si>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</si>
  <si>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</si>
  <si>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</si>
  <si>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</si>
  <si>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</si>
  <si>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</si>
  <si>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</si>
  <si>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</si>
  <si>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</si>
  <si>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</si>
  <si>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</si>
  <si>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</si>
  <si>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</si>
  <si>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</si>
  <si>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</si>
  <si>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</si>
  <si>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</si>
  <si>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</si>
  <si>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</si>
  <si>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</si>
  <si>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</si>
  <si>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</si>
  <si>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</si>
  <si>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</si>
  <si>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</si>
  <si>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</si>
  <si>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</si>
  <si>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</si>
  <si>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</si>
  <si>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</si>
  <si>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</si>
  <si>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</si>
  <si>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</si>
  <si>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</si>
  <si>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</si>
  <si>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</si>
  <si>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</si>
  <si>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</si>
  <si>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</si>
  <si>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</si>
  <si>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</si>
  <si>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</si>
  <si>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</si>
  <si>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</si>
  <si>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</si>
  <si>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</si>
  <si>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</si>
  <si>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</si>
  <si>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</si>
  <si>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</si>
  <si>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</si>
  <si>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</si>
  <si>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</si>
  <si>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</si>
  <si>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</si>
  <si>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</si>
  <si>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</si>
  <si>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</si>
  <si>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</si>
  <si>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</si>
  <si>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</si>
  <si>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</si>
  <si>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</si>
  <si>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</si>
  <si>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</si>
  <si>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</si>
  <si>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</si>
  <si>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</si>
  <si>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</si>
  <si>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</si>
  <si>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</si>
  <si>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</si>
  <si>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</si>
  <si>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</si>
  <si>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</si>
  <si>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</si>
  <si>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</si>
  <si>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</si>
  <si>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</si>
  <si>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</si>
  <si>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</si>
  <si>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</si>
  <si>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</si>
  <si>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</si>
  <si>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</si>
  <si>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</si>
  <si>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</si>
  <si>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</si>
  <si>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</si>
  <si>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</si>
  <si>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</si>
  <si>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</si>
  <si>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</si>
  <si>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</si>
  <si>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</si>
  <si>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</si>
  <si>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</si>
  <si>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</si>
  <si>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</si>
  <si>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</si>
  <si>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</si>
  <si>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</si>
  <si>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</si>
  <si>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</si>
  <si>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</si>
  <si>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</si>
  <si>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</si>
  <si>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</si>
  <si>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</si>
  <si>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</si>
  <si>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</si>
  <si>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</si>
  <si>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</si>
  <si>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</si>
  <si>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</si>
  <si>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</si>
  <si>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</si>
  <si>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</si>
  <si>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</si>
  <si>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</si>
  <si>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</si>
  <si>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</si>
  <si>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</si>
  <si>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</si>
  <si>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</si>
  <si>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</si>
  <si>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</si>
  <si>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</si>
  <si>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</si>
  <si>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</si>
  <si>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</si>
  <si>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</si>
  <si>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</si>
  <si>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</si>
  <si>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</si>
  <si>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</si>
  <si>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</si>
  <si>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</si>
  <si>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</si>
  <si>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</si>
  <si>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</si>
  <si>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</si>
  <si>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</si>
  <si>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</si>
  <si>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</si>
  <si>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</si>
  <si>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</si>
  <si>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</si>
  <si>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</si>
  <si>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</si>
  <si>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</si>
  <si>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</si>
  <si>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</si>
  <si>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</si>
  <si>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</si>
  <si>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</si>
  <si>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</si>
  <si>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</si>
  <si>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</si>
  <si>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</si>
  <si>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</si>
  <si>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</si>
  <si>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</si>
  <si>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</si>
  <si>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</si>
  <si>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</si>
  <si>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</si>
  <si>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</si>
  <si>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</si>
  <si>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</si>
  <si>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</si>
  <si>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</si>
  <si>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</si>
  <si>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</si>
  <si>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</si>
  <si>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</si>
  <si>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</si>
  <si>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</si>
  <si>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</si>
  <si>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</si>
  <si>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</si>
  <si>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</si>
  <si>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</si>
  <si>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</si>
  <si>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</si>
  <si>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</si>
  <si>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</si>
  <si>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</si>
  <si>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</si>
  <si>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</si>
  <si>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</si>
  <si>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</si>
  <si>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</si>
  <si>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</si>
  <si>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</si>
  <si>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</si>
  <si>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</si>
  <si>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</si>
  <si>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</si>
  <si>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</si>
  <si>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</si>
  <si>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</si>
  <si>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</si>
  <si>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</si>
  <si>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</si>
  <si>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</si>
  <si>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</si>
  <si>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</si>
  <si>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</si>
  <si>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</si>
  <si>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</si>
  <si>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</si>
  <si>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</si>
  <si>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</si>
  <si>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</si>
  <si>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Kendall</t>
  </si>
  <si>
    <t>413 Chicago Road</t>
  </si>
  <si>
    <t>Newark</t>
  </si>
  <si>
    <t>Amy Smith</t>
  </si>
  <si>
    <t>asmith@nchs18.org</t>
  </si>
  <si>
    <t>815-695-5164</t>
  </si>
  <si>
    <t>815-695-5752</t>
  </si>
  <si>
    <t>See PDF in Opinion Page with signature</t>
  </si>
  <si>
    <t>G.O. Bond Series 2016</t>
  </si>
  <si>
    <t>G.O. Bond Series 2019</t>
  </si>
  <si>
    <t>Newark Grade School (NGS) &amp; Lisbon Grade School</t>
  </si>
  <si>
    <t>Illinois Energy Consortium; Natural Gas and Electricity</t>
  </si>
  <si>
    <t>NGS, Yorkville HS, CORE Academy; SEAL</t>
  </si>
  <si>
    <t>VALEES</t>
  </si>
  <si>
    <t xml:space="preserve">Newark Grade School  </t>
  </si>
  <si>
    <t>Lisbon Grade School</t>
  </si>
  <si>
    <t>Regional Office of Education #24</t>
  </si>
  <si>
    <t>Professional Development Alliance, NGS, VALEES</t>
  </si>
  <si>
    <t>NGS &amp; Lisbon Grade School</t>
  </si>
  <si>
    <t>Plano Area Special Education Cooperative</t>
  </si>
  <si>
    <t>IVVC</t>
  </si>
  <si>
    <t>MCC Technology, Newark Net</t>
  </si>
  <si>
    <t>Newark Grade School</t>
  </si>
  <si>
    <t>Indian Valley Vocational Center &amp; VALEES</t>
  </si>
  <si>
    <t>Home School Students, Drivers Ed Classes</t>
  </si>
  <si>
    <t>O&amp;M - O&amp;M PLANT - PURCHASED SERVICES</t>
  </si>
  <si>
    <t>A-1 PROPERTY SERVICES</t>
  </si>
  <si>
    <t>ED - EDUC. MEDIA - PURCHASED SERVICES</t>
  </si>
  <si>
    <t>20-2540-300</t>
  </si>
  <si>
    <t>POWER SCHOOL</t>
  </si>
  <si>
    <t>TORT - LOSS PREVENTION - PURCHASED SERVICES</t>
  </si>
  <si>
    <t>CORRECT MONITORING SERVICE</t>
  </si>
  <si>
    <t>DLA ARCHITECTS</t>
  </si>
  <si>
    <t>TORT - WORKERS' COMP - PURCHASED SERVICES</t>
  </si>
  <si>
    <t>EMPLOYERS ASSURANCE CO</t>
  </si>
  <si>
    <t>ETERNALLY GREEN LAWN CARE</t>
  </si>
  <si>
    <t>ED - EXEC. ADMIN - PURCHASED SERVICES</t>
  </si>
  <si>
    <t>TIAA COMMERCIAL FINANCE</t>
  </si>
  <si>
    <t>ED - FISCAL SERVICES - PURCHASED SERVICES</t>
  </si>
  <si>
    <t>10-2520-300</t>
  </si>
  <si>
    <t>FRONTLINE TECHNOLOGIES</t>
  </si>
  <si>
    <t>ED - EDUC. MEDIA - SUPPLIES</t>
  </si>
  <si>
    <t>GALE.COM</t>
  </si>
  <si>
    <t>ED - INFO. SERVICES - PURCHASED SERVICES</t>
  </si>
  <si>
    <t>LEAF</t>
  </si>
  <si>
    <t>TORT - INSURANCE - PURCHASED SERVICES</t>
  </si>
  <si>
    <t>LIBERTY MUTUAL INSURANCE</t>
  </si>
  <si>
    <t>TRANS - TRANSPORT - PURCHASED SERVICES</t>
  </si>
  <si>
    <t>40-2550-300</t>
  </si>
  <si>
    <t>ED - BOARD OF ED - PURCHASED SERVICES</t>
  </si>
  <si>
    <t>MACK &amp; ASSOCIATES, P.C.</t>
  </si>
  <si>
    <t>10-2200-300</t>
  </si>
  <si>
    <t>80-2300-300</t>
  </si>
  <si>
    <t>10-2300-300</t>
  </si>
  <si>
    <t>10-2200-400</t>
  </si>
  <si>
    <t>Page 9, Line 17, O&amp;M Fund - Payment of Land Cash, Millbrook Permit Fee</t>
  </si>
  <si>
    <t>Page 11, Line 106, Educational Fund - Teacher Insurance Reimb., reimbursements for computer sales, books.</t>
  </si>
  <si>
    <t>Page 11, Line 107, Transportation Fund - Bus damage reimbursements</t>
  </si>
  <si>
    <t>Page 11, Line 107, Working Cash Fund - Reimbursements</t>
  </si>
  <si>
    <t>Page 16, Line 73, Educational Fund - Provision for contingencies</t>
  </si>
  <si>
    <t>Page 11, Line 113, Education Fund- Library Grant</t>
  </si>
  <si>
    <t>Page 12, Line 168, Education Fund- LPDC Grant</t>
  </si>
  <si>
    <t>Newark CHSD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</si>
</sst>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1" fillId="0" borderId="0"/>
    <xf numFmtId="0" fontId="1" fillId="0" borderId="0"/>
    <xf numFmtId="0" fontId="1" fillId="0" borderId="0"/>
    <xf numFmtId="0" fontId="10"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133" fillId="0" borderId="105" xfId="19" applyNumberFormat="1" applyFont="1" applyBorder="1" applyAlignment="1" applyProtection="1">
      <alignment horizontal="center" vertical="center"/>
      <protection locked="0"/>
    </xf>
    <xf numFmtId="49" fontId="133" fillId="0" borderId="107" xfId="19" applyNumberFormat="1" applyFont="1" applyFill="1" applyBorder="1" applyAlignment="1" applyProtection="1">
      <alignment horizontal="center" vertical="center"/>
      <protection locked="0"/>
    </xf>
    <xf numFmtId="0" fontId="100" fillId="0" borderId="105" xfId="19" applyFont="1" applyBorder="1" applyProtection="1">
      <protection locked="0"/>
    </xf>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49" fontId="1" fillId="0" borderId="157" xfId="22" applyNumberFormat="1" applyFont="1" applyBorder="1" applyAlignment="1" applyProtection="1">
      <alignment horizontal="center" vertical="center"/>
      <protection locked="0"/>
    </xf>
    <xf numFmtId="0" fontId="57" fillId="0" borderId="0" xfId="23"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_Shared Outsourced Services 31" xfId="19" xr:uid="{00000000-0005-0000-0000-000008000000}"/>
    <cellStyle name="Normal 3 2_Contracts Paid in CY 29" xfId="21" xr:uid="{00000000-0005-0000-0000-000009000000}"/>
    <cellStyle name="Normal 3_Contracts Paid in CY 29" xfId="20" xr:uid="{00000000-0005-0000-0000-00000A000000}"/>
    <cellStyle name="Normal 4" xfId="16" xr:uid="{00000000-0005-0000-0000-00000B000000}"/>
    <cellStyle name="Normal 5" xfId="17" xr:uid="{00000000-0005-0000-0000-00000C000000}"/>
    <cellStyle name="Normal 5_Contracts Paid in CY 29" xfId="22"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Itemization 33" xfId="23"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4"/>
      <c r="K5" s="1974"/>
      <c r="L5" s="1974"/>
      <c r="M5" s="1974"/>
      <c r="N5" s="1974"/>
      <c r="O5" s="1974"/>
      <c r="P5" s="1974"/>
      <c r="Q5" s="1974"/>
      <c r="R5" s="1974"/>
      <c r="S5" s="1974"/>
    </row>
    <row r="6" spans="1:28" ht="14.1" customHeight="1" x14ac:dyDescent="0.2">
      <c r="B6" s="104"/>
      <c r="C6" s="26" t="s">
        <v>911</v>
      </c>
      <c r="D6" s="84"/>
      <c r="E6" s="84"/>
      <c r="I6" s="2028" t="s">
        <v>883</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2073</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v>24047018016</v>
      </c>
      <c r="B13" s="1991"/>
      <c r="C13" s="1991"/>
      <c r="D13" s="1991"/>
      <c r="E13" s="1991"/>
      <c r="F13" s="1991"/>
      <c r="G13" s="1991"/>
      <c r="H13" s="1992"/>
      <c r="I13" s="31"/>
      <c r="J13" s="30"/>
      <c r="K13" s="28"/>
      <c r="L13" s="30"/>
      <c r="M13" s="30"/>
      <c r="N13" s="30"/>
      <c r="O13" s="30"/>
      <c r="P13" s="30"/>
      <c r="Q13" s="30"/>
      <c r="R13" s="30"/>
      <c r="S13" s="30"/>
      <c r="T13" s="1995" t="s">
        <v>2064</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2074</v>
      </c>
      <c r="B15" s="1993"/>
      <c r="C15" s="1993"/>
      <c r="D15" s="1993"/>
      <c r="E15" s="1993"/>
      <c r="F15" s="1993"/>
      <c r="G15" s="1993"/>
      <c r="H15" s="1994"/>
      <c r="T15" s="1956" t="s">
        <v>2065</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2136</v>
      </c>
      <c r="B17" s="2018"/>
      <c r="C17" s="2018"/>
      <c r="D17" s="2018"/>
      <c r="E17" s="2018"/>
      <c r="F17" s="2018"/>
      <c r="G17" s="2018"/>
      <c r="H17" s="2019"/>
      <c r="T17" s="2005" t="s">
        <v>2066</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2075</v>
      </c>
      <c r="B19" s="1989"/>
      <c r="C19" s="1989"/>
      <c r="D19" s="1989"/>
      <c r="E19" s="1989"/>
      <c r="F19" s="1989"/>
      <c r="G19" s="1989"/>
      <c r="H19" s="1987"/>
      <c r="I19" s="30"/>
      <c r="J19" s="99"/>
      <c r="K19" s="40"/>
      <c r="L19" s="38"/>
      <c r="M19" s="112" t="s">
        <v>315</v>
      </c>
      <c r="P19" s="27"/>
      <c r="Q19" s="27"/>
      <c r="R19" s="27"/>
      <c r="S19" s="31"/>
      <c r="T19" s="1988" t="s">
        <v>2067</v>
      </c>
      <c r="U19" s="1986"/>
      <c r="V19" s="1986"/>
      <c r="W19" s="1987"/>
      <c r="X19" s="2003" t="s">
        <v>2068</v>
      </c>
      <c r="Y19" s="2004"/>
      <c r="Z19" s="2001">
        <v>60450</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2076</v>
      </c>
      <c r="B21" s="1986"/>
      <c r="C21" s="1986"/>
      <c r="D21" s="1986"/>
      <c r="E21" s="1986"/>
      <c r="F21" s="1986"/>
      <c r="G21" s="1986"/>
      <c r="H21" s="1987"/>
      <c r="I21" s="2011" t="s">
        <v>678</v>
      </c>
      <c r="J21" s="1974"/>
      <c r="K21" s="1974"/>
      <c r="L21" s="1974"/>
      <c r="M21" s="1974"/>
      <c r="N21" s="1974"/>
      <c r="O21" s="1974"/>
      <c r="P21" s="1974"/>
      <c r="Q21" s="1974"/>
      <c r="R21" s="1974"/>
      <c r="S21" s="1975"/>
      <c r="T21" s="1953" t="s">
        <v>2069</v>
      </c>
      <c r="U21" s="1954"/>
      <c r="V21" s="1954"/>
      <c r="W21" s="1954"/>
      <c r="X21" s="1967" t="s">
        <v>2070</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t="s">
        <v>2078</v>
      </c>
      <c r="B23" s="2009"/>
      <c r="C23" s="2009"/>
      <c r="D23" s="2009"/>
      <c r="E23" s="2009"/>
      <c r="F23" s="2009"/>
      <c r="G23" s="2009"/>
      <c r="H23" s="2010"/>
      <c r="T23" s="1948" t="s">
        <v>2071</v>
      </c>
      <c r="U23" s="1949"/>
      <c r="V23" s="1949"/>
      <c r="W23" s="1949"/>
      <c r="X23" s="1964">
        <v>44530</v>
      </c>
      <c r="Y23" s="1965"/>
      <c r="Z23" s="1965"/>
      <c r="AA23" s="1966"/>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5">
        <v>60541</v>
      </c>
      <c r="B25" s="1986"/>
      <c r="C25" s="1986"/>
      <c r="D25" s="1986"/>
      <c r="E25" s="1986"/>
      <c r="F25" s="1986"/>
      <c r="G25" s="1986"/>
      <c r="H25" s="1987"/>
      <c r="I25" s="113"/>
      <c r="J25" s="2052"/>
      <c r="K25" s="2052"/>
      <c r="L25" s="2052"/>
      <c r="M25" s="2052"/>
      <c r="N25" s="2052"/>
      <c r="O25" s="2052"/>
      <c r="P25" s="2052"/>
      <c r="Q25" s="2052"/>
      <c r="R25" s="2052"/>
      <c r="S25" s="2053"/>
      <c r="T25" s="1945" t="s">
        <v>2072</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48"/>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2077</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2078</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2079</v>
      </c>
      <c r="B42" s="2035"/>
      <c r="C42" s="2036"/>
      <c r="D42" s="2049" t="s">
        <v>2080</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7" colorId="8" zoomScale="110" zoomScaleNormal="110" workbookViewId="0">
      <selection activeCell="D120" sqref="D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36100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t="s">
        <v>2081</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7"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116233652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1.6607E-2</v>
      </c>
      <c r="E10" s="356" t="s">
        <v>1005</v>
      </c>
      <c r="F10" s="355">
        <v>2.4859999999999999E-3</v>
      </c>
      <c r="G10" s="356" t="s">
        <v>1005</v>
      </c>
      <c r="H10" s="355">
        <v>1.193E-3</v>
      </c>
      <c r="I10" s="356" t="s">
        <v>1006</v>
      </c>
      <c r="J10" s="1732">
        <f>ROUND(D10+F10+H10,5)</f>
        <v>2.0289999999999999E-2</v>
      </c>
      <c r="K10" s="222"/>
      <c r="L10" s="355">
        <v>4.9700000000000005E-4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3214641</v>
      </c>
      <c r="E16" s="356"/>
      <c r="F16" s="1733">
        <f>SUM('Acct Summary 7-8'!C17,'Acct Summary 7-8'!D17,'Acct Summary 7-8'!F17)</f>
        <v>3231711</v>
      </c>
      <c r="G16" s="356"/>
      <c r="H16" s="1733">
        <f>SUM(D16-F16)</f>
        <v>-17070</v>
      </c>
      <c r="I16" s="222"/>
      <c r="J16" s="1733">
        <f>SUM('Acct Summary 7-8'!C81,'Acct Summary 7-8'!D81,'Acct Summary 7-8'!F81,'Acct Summary 7-8'!I81)</f>
        <v>5218168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8020121.9880000008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Newark CHSD 18</v>
      </c>
      <c r="E7" s="391"/>
      <c r="G7" s="252"/>
      <c r="H7" s="387"/>
      <c r="I7" s="387"/>
      <c r="J7" s="387"/>
      <c r="K7" s="387"/>
      <c r="L7" s="329"/>
      <c r="M7" s="329"/>
      <c r="N7" s="329"/>
      <c r="O7" s="329"/>
      <c r="P7" s="329"/>
    </row>
    <row r="8" spans="1:18" ht="12.75" x14ac:dyDescent="0.2">
      <c r="A8" s="329"/>
      <c r="B8" s="329"/>
      <c r="C8" s="389" t="s">
        <v>1125</v>
      </c>
      <c r="D8" s="392">
        <f>COVER!A13</f>
        <v>24047018016</v>
      </c>
      <c r="E8" s="393"/>
      <c r="G8" s="329"/>
      <c r="H8" s="329"/>
      <c r="I8" s="329"/>
      <c r="J8" s="329"/>
      <c r="K8" s="329"/>
      <c r="L8" s="329"/>
      <c r="M8" s="329"/>
      <c r="N8" s="329"/>
      <c r="O8" s="329"/>
      <c r="P8" s="329"/>
    </row>
    <row r="9" spans="1:18" ht="12.75" x14ac:dyDescent="0.2">
      <c r="A9" s="329"/>
      <c r="B9" s="329"/>
      <c r="C9" s="389" t="s">
        <v>713</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5218168</v>
      </c>
      <c r="I12" s="404"/>
      <c r="J12" s="404"/>
      <c r="K12" s="405">
        <f>TRUNC((H12/H13*100000),5)/100000</f>
        <v>1.6232506211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3214641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3231711</v>
      </c>
      <c r="I17" s="404"/>
      <c r="J17" s="416"/>
      <c r="K17" s="405">
        <f>TRUNC((H17/H18*100000),5)/100000</f>
        <v>1.0053100797000001</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3214641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286.8602181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5252901</v>
      </c>
      <c r="I24" s="422"/>
      <c r="J24" s="422"/>
      <c r="K24" s="423">
        <f>TRUNC(((H24/H25*100000)/100000),2)</f>
        <v>585.15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8976.9750000000004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2004623.67922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600000</v>
      </c>
      <c r="I32" s="420"/>
      <c r="J32" s="420"/>
      <c r="K32" s="423">
        <f>TRUNC(100-((((H32/H33*100))*100)/100),2)</f>
        <v>92.51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8020121.9880000008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21" activePane="bottomLeft" state="frozen"/>
      <selection pane="bottomLeft" activeCell="J39" sqref="J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750438</v>
      </c>
      <c r="D4" s="466">
        <v>323681</v>
      </c>
      <c r="E4" s="466">
        <v>88077</v>
      </c>
      <c r="F4" s="466">
        <v>98722</v>
      </c>
      <c r="G4" s="466">
        <v>108120</v>
      </c>
      <c r="H4" s="466"/>
      <c r="I4" s="466">
        <v>1733074</v>
      </c>
      <c r="J4" s="467">
        <v>24604</v>
      </c>
      <c r="K4" s="466">
        <v>22161</v>
      </c>
      <c r="L4" s="466">
        <v>83863</v>
      </c>
      <c r="M4" s="468"/>
      <c r="N4" s="469"/>
    </row>
    <row r="5" spans="1:14" x14ac:dyDescent="0.2">
      <c r="A5" s="463" t="s">
        <v>992</v>
      </c>
      <c r="B5" s="470">
        <v>120</v>
      </c>
      <c r="C5" s="465">
        <v>1852786</v>
      </c>
      <c r="D5" s="466">
        <v>246700</v>
      </c>
      <c r="E5" s="466"/>
      <c r="F5" s="466">
        <v>247500</v>
      </c>
      <c r="G5" s="466"/>
      <c r="H5" s="466"/>
      <c r="I5" s="466"/>
      <c r="J5" s="467">
        <v>169692</v>
      </c>
      <c r="K5" s="471">
        <v>142289</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2603224</v>
      </c>
      <c r="D13" s="1737">
        <f t="shared" ref="D13:L13" si="0">SUM(D4:D12)</f>
        <v>570381</v>
      </c>
      <c r="E13" s="1737">
        <f t="shared" si="0"/>
        <v>88077</v>
      </c>
      <c r="F13" s="1737">
        <f t="shared" si="0"/>
        <v>346222</v>
      </c>
      <c r="G13" s="1737">
        <f t="shared" si="0"/>
        <v>108120</v>
      </c>
      <c r="H13" s="1737">
        <f t="shared" si="0"/>
        <v>0</v>
      </c>
      <c r="I13" s="1737">
        <f t="shared" si="0"/>
        <v>1733074</v>
      </c>
      <c r="J13" s="1737">
        <f t="shared" si="0"/>
        <v>194296</v>
      </c>
      <c r="K13" s="1737">
        <f t="shared" si="0"/>
        <v>164450</v>
      </c>
      <c r="L13" s="1737">
        <f t="shared" si="0"/>
        <v>83863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177257</v>
      </c>
      <c r="N16" s="484"/>
    </row>
    <row r="17" spans="1:14" s="485" customFormat="1" ht="12.75" customHeight="1" x14ac:dyDescent="0.2">
      <c r="A17" s="482" t="s">
        <v>1403</v>
      </c>
      <c r="B17" s="483">
        <v>230</v>
      </c>
      <c r="C17" s="477"/>
      <c r="D17" s="477"/>
      <c r="E17" s="477"/>
      <c r="F17" s="477"/>
      <c r="G17" s="477"/>
      <c r="H17" s="477"/>
      <c r="I17" s="477"/>
      <c r="J17" s="477"/>
      <c r="K17" s="477"/>
      <c r="L17" s="477"/>
      <c r="M17" s="467">
        <v>2484047</v>
      </c>
      <c r="N17" s="484"/>
    </row>
    <row r="18" spans="1:14" s="485" customFormat="1" ht="12.75" customHeight="1" x14ac:dyDescent="0.2">
      <c r="A18" s="482" t="s">
        <v>1404</v>
      </c>
      <c r="B18" s="483">
        <v>240</v>
      </c>
      <c r="C18" s="477"/>
      <c r="D18" s="477"/>
      <c r="E18" s="477"/>
      <c r="F18" s="477"/>
      <c r="G18" s="477"/>
      <c r="H18" s="477"/>
      <c r="I18" s="477"/>
      <c r="J18" s="477"/>
      <c r="K18" s="477"/>
      <c r="L18" s="477"/>
      <c r="M18" s="467">
        <v>83780</v>
      </c>
      <c r="N18" s="484"/>
    </row>
    <row r="19" spans="1:14" s="485" customFormat="1" ht="12.75" customHeight="1" x14ac:dyDescent="0.2">
      <c r="A19" s="482" t="s">
        <v>1405</v>
      </c>
      <c r="B19" s="483">
        <v>250</v>
      </c>
      <c r="C19" s="477"/>
      <c r="D19" s="477"/>
      <c r="E19" s="477"/>
      <c r="F19" s="477"/>
      <c r="G19" s="477"/>
      <c r="H19" s="477"/>
      <c r="I19" s="477"/>
      <c r="J19" s="477"/>
      <c r="K19" s="477"/>
      <c r="L19" s="477"/>
      <c r="M19" s="467">
        <v>300684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88077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511923</v>
      </c>
    </row>
    <row r="23" spans="1:14" ht="13.5" customHeight="1" thickBot="1" x14ac:dyDescent="0.25">
      <c r="A23" s="1736" t="s">
        <v>643</v>
      </c>
      <c r="B23" s="1741"/>
      <c r="C23" s="468"/>
      <c r="D23" s="468"/>
      <c r="E23" s="468"/>
      <c r="F23" s="468"/>
      <c r="G23" s="468"/>
      <c r="H23" s="468"/>
      <c r="I23" s="468"/>
      <c r="J23" s="468"/>
      <c r="K23" s="468"/>
      <c r="L23" s="468"/>
      <c r="M23" s="1688">
        <f>SUM(M15:M22)</f>
        <v>3045768</v>
      </c>
      <c r="N23" s="1688">
        <f>SUM(N21:N22)</f>
        <v>600000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v>34733</v>
      </c>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83863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34733</v>
      </c>
      <c r="J34" s="1740">
        <f t="shared" si="1"/>
        <v>0</v>
      </c>
      <c r="K34" s="1740">
        <f t="shared" si="1"/>
        <v>0</v>
      </c>
      <c r="L34" s="1721">
        <f>SUM(L33)</f>
        <v>83863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600000</v>
      </c>
    </row>
    <row r="37" spans="1:14" ht="13.5" thickBot="1" x14ac:dyDescent="0.25">
      <c r="A37" s="1736" t="s">
        <v>653</v>
      </c>
      <c r="B37" s="1741"/>
      <c r="C37" s="477"/>
      <c r="D37" s="477"/>
      <c r="E37" s="477"/>
      <c r="F37" s="477"/>
      <c r="G37" s="477"/>
      <c r="H37" s="477"/>
      <c r="I37" s="477"/>
      <c r="J37" s="477"/>
      <c r="K37" s="477"/>
      <c r="L37" s="480"/>
      <c r="M37" s="468"/>
      <c r="N37" s="1688">
        <f>SUM(N36:N36)</f>
        <v>600000</v>
      </c>
    </row>
    <row r="38" spans="1:14" s="329" customFormat="1" ht="13.5" customHeight="1" thickTop="1" x14ac:dyDescent="0.2">
      <c r="A38" s="496" t="s">
        <v>420</v>
      </c>
      <c r="B38" s="483">
        <v>714</v>
      </c>
      <c r="C38" s="466">
        <v>238878</v>
      </c>
      <c r="D38" s="466"/>
      <c r="E38" s="466"/>
      <c r="F38" s="466"/>
      <c r="G38" s="466">
        <v>29536</v>
      </c>
      <c r="H38" s="466"/>
      <c r="I38" s="466"/>
      <c r="J38" s="467"/>
      <c r="K38" s="466"/>
      <c r="L38" s="481"/>
      <c r="M38" s="497"/>
      <c r="N38" s="497"/>
    </row>
    <row r="39" spans="1:14" s="329" customFormat="1" ht="13.5" customHeight="1" x14ac:dyDescent="0.2">
      <c r="A39" s="496" t="s">
        <v>342</v>
      </c>
      <c r="B39" s="483">
        <v>730</v>
      </c>
      <c r="C39" s="466">
        <v>2364346</v>
      </c>
      <c r="D39" s="466">
        <v>570381</v>
      </c>
      <c r="E39" s="466">
        <v>88077</v>
      </c>
      <c r="F39" s="466">
        <v>346222</v>
      </c>
      <c r="G39" s="466">
        <v>78584</v>
      </c>
      <c r="H39" s="466"/>
      <c r="I39" s="466">
        <v>1698341</v>
      </c>
      <c r="J39" s="467">
        <v>194296</v>
      </c>
      <c r="K39" s="466">
        <v>164450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3045768</v>
      </c>
      <c r="N40" s="497"/>
    </row>
    <row r="41" spans="1:14" ht="13.5" customHeight="1" thickBot="1" x14ac:dyDescent="0.25">
      <c r="A41" s="1736" t="s">
        <v>655</v>
      </c>
      <c r="B41" s="1706"/>
      <c r="C41" s="1688">
        <f>(SUM(C34,C37,C38,C39))</f>
        <v>2603224</v>
      </c>
      <c r="D41" s="1688">
        <f t="shared" ref="D41:L41" si="2">SUM(D34,D37,D38:D39)</f>
        <v>570381</v>
      </c>
      <c r="E41" s="1688">
        <f t="shared" si="2"/>
        <v>88077</v>
      </c>
      <c r="F41" s="1688">
        <f t="shared" si="2"/>
        <v>346222</v>
      </c>
      <c r="G41" s="1688">
        <f t="shared" si="2"/>
        <v>108120</v>
      </c>
      <c r="H41" s="1688">
        <f t="shared" si="2"/>
        <v>0</v>
      </c>
      <c r="I41" s="1688">
        <f t="shared" si="2"/>
        <v>1733074</v>
      </c>
      <c r="J41" s="1688">
        <f t="shared" si="2"/>
        <v>194296</v>
      </c>
      <c r="K41" s="1688">
        <f t="shared" si="2"/>
        <v>164450</v>
      </c>
      <c r="L41" s="1688">
        <f t="shared" si="2"/>
        <v>83863</v>
      </c>
      <c r="M41" s="1688">
        <f>SUM(M40)</f>
        <v>3045768</v>
      </c>
      <c r="N41" s="1688">
        <f>SUM(N37)</f>
        <v>600000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0" activePane="bottomLeft" state="frozen"/>
      <selection pane="bottomLeft" activeCell="J80" sqref="J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2254535</v>
      </c>
      <c r="D4" s="1742">
        <f>'Revenues 9-14'!D109</f>
        <v>287820</v>
      </c>
      <c r="E4" s="1742">
        <f>'Revenues 9-14'!E109</f>
        <v>163679</v>
      </c>
      <c r="F4" s="1742">
        <f>'Revenues 9-14'!F109</f>
        <v>256556</v>
      </c>
      <c r="G4" s="1742">
        <f>'Revenues 9-14'!G109</f>
        <v>137218</v>
      </c>
      <c r="H4" s="1742">
        <f>'Revenues 9-14'!H109</f>
        <v>0</v>
      </c>
      <c r="I4" s="1742">
        <f>'Revenues 9-14'!I109</f>
        <v>66783</v>
      </c>
      <c r="J4" s="1742">
        <f>'Revenues 9-14'!J109</f>
        <v>189100</v>
      </c>
      <c r="K4" s="1742">
        <f>'Revenues 9-14'!K109</f>
        <v>56639</v>
      </c>
      <c r="L4" s="347"/>
    </row>
    <row r="5" spans="1:13" ht="15.75" customHeight="1" x14ac:dyDescent="0.2">
      <c r="A5" s="1576" t="s">
        <v>1500</v>
      </c>
      <c r="B5" s="1577">
        <v>2000</v>
      </c>
      <c r="C5" s="1743">
        <f>'Revenues 9-14'!C114</f>
        <v>750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180815</v>
      </c>
      <c r="D6" s="1743">
        <f>'Revenues 9-14'!D170</f>
        <v>0</v>
      </c>
      <c r="E6" s="1743">
        <f>'Revenues 9-14'!E170</f>
        <v>0</v>
      </c>
      <c r="F6" s="1743">
        <f>'Revenues 9-14'!F170</f>
        <v>100979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66403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2502503</v>
      </c>
      <c r="D8" s="1688">
        <f t="shared" ref="D8:K8" si="0">SUM(D4:D7)</f>
        <v>287820</v>
      </c>
      <c r="E8" s="1688">
        <f t="shared" si="0"/>
        <v>163679</v>
      </c>
      <c r="F8" s="1688">
        <f t="shared" si="0"/>
        <v>357535</v>
      </c>
      <c r="G8" s="1688">
        <f t="shared" si="0"/>
        <v>137218</v>
      </c>
      <c r="H8" s="1688">
        <f t="shared" si="0"/>
        <v>0</v>
      </c>
      <c r="I8" s="1688">
        <f t="shared" si="0"/>
        <v>66783</v>
      </c>
      <c r="J8" s="1688">
        <f t="shared" si="0"/>
        <v>189100</v>
      </c>
      <c r="K8" s="1688">
        <f t="shared" si="0"/>
        <v>56639</v>
      </c>
      <c r="L8" s="347"/>
    </row>
    <row r="9" spans="1:13" ht="15.75" thickTop="1" x14ac:dyDescent="0.2">
      <c r="A9" s="514" t="s">
        <v>1653</v>
      </c>
      <c r="B9" s="515">
        <v>3998</v>
      </c>
      <c r="C9" s="481">
        <v>162274</v>
      </c>
      <c r="D9" s="516"/>
      <c r="E9" s="481"/>
      <c r="F9" s="481"/>
      <c r="G9" s="517"/>
      <c r="H9" s="481"/>
      <c r="I9" s="509" t="s">
        <v>1169</v>
      </c>
      <c r="J9" s="478"/>
      <c r="K9" s="481"/>
      <c r="L9" s="347"/>
    </row>
    <row r="10" spans="1:13" s="519" customFormat="1" ht="13.5" thickBot="1" x14ac:dyDescent="0.25">
      <c r="A10" s="1736" t="s">
        <v>1173</v>
      </c>
      <c r="B10" s="1709"/>
      <c r="C10" s="1688">
        <f>SUM(C8:C9)</f>
        <v>2664777</v>
      </c>
      <c r="D10" s="1688">
        <f t="shared" ref="D10:K10" si="1">SUM(D8:D9)</f>
        <v>287820</v>
      </c>
      <c r="E10" s="1688">
        <f t="shared" si="1"/>
        <v>163679</v>
      </c>
      <c r="F10" s="1688">
        <f t="shared" si="1"/>
        <v>357535</v>
      </c>
      <c r="G10" s="1688">
        <f t="shared" si="1"/>
        <v>137218</v>
      </c>
      <c r="H10" s="1688">
        <f t="shared" si="1"/>
        <v>0</v>
      </c>
      <c r="I10" s="1688">
        <f t="shared" si="1"/>
        <v>66783</v>
      </c>
      <c r="J10" s="1688">
        <f t="shared" si="1"/>
        <v>189100</v>
      </c>
      <c r="K10" s="1688">
        <f t="shared" si="1"/>
        <v>56639</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1402599</v>
      </c>
      <c r="D12" s="520" t="s">
        <v>1169</v>
      </c>
      <c r="E12" s="468" t="s">
        <v>1169</v>
      </c>
      <c r="F12" s="468" t="s">
        <v>1169</v>
      </c>
      <c r="G12" s="1742">
        <f>'Expenditures 15-22'!K229</f>
        <v>25324</v>
      </c>
      <c r="H12" s="521"/>
      <c r="I12" s="468" t="s">
        <v>1169</v>
      </c>
      <c r="J12" s="468" t="s">
        <v>1169</v>
      </c>
      <c r="K12" s="521" t="s">
        <v>1169</v>
      </c>
      <c r="L12" s="347"/>
    </row>
    <row r="13" spans="1:13" ht="15.75" customHeight="1" x14ac:dyDescent="0.2">
      <c r="A13" s="1576" t="s">
        <v>457</v>
      </c>
      <c r="B13" s="1578">
        <v>2000</v>
      </c>
      <c r="C13" s="1743">
        <f>'Expenditures 15-22'!K74</f>
        <v>715735</v>
      </c>
      <c r="D13" s="1743">
        <f>'Expenditures 15-22'!K129</f>
        <v>484217</v>
      </c>
      <c r="E13" s="469" t="s">
        <v>1169</v>
      </c>
      <c r="F13" s="1743">
        <f>'Expenditures 15-22'!K184</f>
        <v>331786</v>
      </c>
      <c r="G13" s="1743">
        <f>'Expenditures 15-22'!K279</f>
        <v>97844</v>
      </c>
      <c r="H13" s="1743">
        <f>'Expenditures 15-22'!K303</f>
        <v>0</v>
      </c>
      <c r="I13" s="468" t="s">
        <v>1169</v>
      </c>
      <c r="J13" s="1743">
        <f>'Expenditures 15-22'!K330</f>
        <v>215395</v>
      </c>
      <c r="K13" s="1747">
        <f>'Expenditures 15-22'!K352</f>
        <v>103803</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297374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164600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2415708</v>
      </c>
      <c r="D17" s="1688">
        <f t="shared" si="2"/>
        <v>484217</v>
      </c>
      <c r="E17" s="1688">
        <f t="shared" si="2"/>
        <v>164600</v>
      </c>
      <c r="F17" s="1688">
        <f t="shared" si="2"/>
        <v>331786</v>
      </c>
      <c r="G17" s="1688">
        <f t="shared" si="2"/>
        <v>123168</v>
      </c>
      <c r="H17" s="1688">
        <f t="shared" si="2"/>
        <v>0</v>
      </c>
      <c r="I17" s="468"/>
      <c r="J17" s="1688">
        <f>SUM(J12:J16)</f>
        <v>215395</v>
      </c>
      <c r="K17" s="1688">
        <f>SUM(K12:K16)</f>
        <v>103803</v>
      </c>
      <c r="L17" s="347"/>
    </row>
    <row r="18" spans="1:12" ht="15" customHeight="1" thickTop="1" x14ac:dyDescent="0.2">
      <c r="A18" s="1744" t="s">
        <v>1654</v>
      </c>
      <c r="B18" s="1745">
        <v>4180</v>
      </c>
      <c r="C18" s="1742">
        <f t="shared" ref="C18:H18" si="3">C9</f>
        <v>162274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2577982</v>
      </c>
      <c r="D19" s="1688">
        <f t="shared" si="4"/>
        <v>484217</v>
      </c>
      <c r="E19" s="1688">
        <f t="shared" si="4"/>
        <v>164600</v>
      </c>
      <c r="F19" s="1688">
        <f t="shared" si="4"/>
        <v>331786</v>
      </c>
      <c r="G19" s="1688">
        <f t="shared" si="4"/>
        <v>123168</v>
      </c>
      <c r="H19" s="1688">
        <f t="shared" si="4"/>
        <v>0</v>
      </c>
      <c r="I19" s="468"/>
      <c r="J19" s="1688">
        <f>SUM(J17:J18)</f>
        <v>215395</v>
      </c>
      <c r="K19" s="1688">
        <f>SUM(K17:K18)</f>
        <v>103803</v>
      </c>
      <c r="L19" s="347"/>
    </row>
    <row r="20" spans="1:12" ht="16.5" thickTop="1" thickBot="1" x14ac:dyDescent="0.25">
      <c r="A20" s="2130" t="s">
        <v>1655</v>
      </c>
      <c r="B20" s="2131"/>
      <c r="C20" s="1746">
        <f>C8-C17</f>
        <v>86795</v>
      </c>
      <c r="D20" s="1746">
        <f t="shared" ref="D20:K20" si="5">D8-D17</f>
        <v>-196397</v>
      </c>
      <c r="E20" s="1746">
        <f t="shared" si="5"/>
        <v>-921</v>
      </c>
      <c r="F20" s="1746">
        <f t="shared" si="5"/>
        <v>25749</v>
      </c>
      <c r="G20" s="1746">
        <f t="shared" si="5"/>
        <v>14050</v>
      </c>
      <c r="H20" s="1746">
        <f t="shared" si="5"/>
        <v>0</v>
      </c>
      <c r="I20" s="1746">
        <f t="shared" si="5"/>
        <v>66783</v>
      </c>
      <c r="J20" s="1746">
        <f t="shared" si="5"/>
        <v>-26295</v>
      </c>
      <c r="K20" s="1746">
        <f t="shared" si="5"/>
        <v>-47164</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191200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600000</v>
      </c>
      <c r="J33" s="467"/>
      <c r="K33" s="467"/>
      <c r="L33" s="524"/>
    </row>
    <row r="34" spans="1:12" s="485" customFormat="1" x14ac:dyDescent="0.2">
      <c r="A34" s="1489" t="s">
        <v>1001</v>
      </c>
      <c r="B34" s="525">
        <v>7220</v>
      </c>
      <c r="C34" s="467"/>
      <c r="D34" s="467"/>
      <c r="E34" s="467"/>
      <c r="F34" s="467"/>
      <c r="G34" s="477"/>
      <c r="H34" s="478"/>
      <c r="I34" s="478">
        <v>15000</v>
      </c>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191200</v>
      </c>
      <c r="E44" s="1703">
        <f t="shared" si="6"/>
        <v>0</v>
      </c>
      <c r="F44" s="1703">
        <f t="shared" si="6"/>
        <v>0</v>
      </c>
      <c r="G44" s="1703">
        <f t="shared" si="6"/>
        <v>0</v>
      </c>
      <c r="H44" s="1703">
        <f t="shared" si="6"/>
        <v>0</v>
      </c>
      <c r="I44" s="1703">
        <f t="shared" si="6"/>
        <v>615000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191200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15000</v>
      </c>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206200</v>
      </c>
      <c r="J76" s="1703">
        <f t="shared" si="7"/>
        <v>0</v>
      </c>
      <c r="K76" s="1703">
        <f t="shared" si="7"/>
        <v>0</v>
      </c>
      <c r="L76" s="524"/>
    </row>
    <row r="77" spans="1:12" ht="14.25" thickTop="1" thickBot="1" x14ac:dyDescent="0.25">
      <c r="A77" s="2122" t="s">
        <v>1177</v>
      </c>
      <c r="B77" s="2123"/>
      <c r="C77" s="1703">
        <f t="shared" ref="C77:K77" si="8">C44-C76</f>
        <v>0</v>
      </c>
      <c r="D77" s="1703">
        <f t="shared" si="8"/>
        <v>191200</v>
      </c>
      <c r="E77" s="1703">
        <f t="shared" si="8"/>
        <v>0</v>
      </c>
      <c r="F77" s="1703">
        <f t="shared" si="8"/>
        <v>0</v>
      </c>
      <c r="G77" s="1703">
        <f t="shared" si="8"/>
        <v>0</v>
      </c>
      <c r="H77" s="1703">
        <f t="shared" si="8"/>
        <v>0</v>
      </c>
      <c r="I77" s="1703">
        <f t="shared" si="8"/>
        <v>408800</v>
      </c>
      <c r="J77" s="1703">
        <f t="shared" si="8"/>
        <v>0</v>
      </c>
      <c r="K77" s="1703">
        <f t="shared" si="8"/>
        <v>0</v>
      </c>
      <c r="L77" s="347"/>
    </row>
    <row r="78" spans="1:12" ht="21.75" customHeight="1" thickTop="1" thickBot="1" x14ac:dyDescent="0.25">
      <c r="A78" s="2126" t="s">
        <v>597</v>
      </c>
      <c r="B78" s="2127"/>
      <c r="C78" s="1702">
        <f t="shared" ref="C78:K78" si="9">C20+C77</f>
        <v>86795</v>
      </c>
      <c r="D78" s="1702">
        <f t="shared" si="9"/>
        <v>-5197</v>
      </c>
      <c r="E78" s="1702">
        <f t="shared" si="9"/>
        <v>-921</v>
      </c>
      <c r="F78" s="1702">
        <f t="shared" si="9"/>
        <v>25749</v>
      </c>
      <c r="G78" s="1702">
        <f t="shared" si="9"/>
        <v>14050</v>
      </c>
      <c r="H78" s="1702">
        <f t="shared" si="9"/>
        <v>0</v>
      </c>
      <c r="I78" s="1702">
        <f t="shared" si="9"/>
        <v>475583</v>
      </c>
      <c r="J78" s="1702">
        <f t="shared" si="9"/>
        <v>-26295</v>
      </c>
      <c r="K78" s="1702">
        <f t="shared" si="9"/>
        <v>-47164</v>
      </c>
      <c r="L78" s="533"/>
    </row>
    <row r="79" spans="1:12" ht="13.5" thickTop="1" x14ac:dyDescent="0.2">
      <c r="A79" s="1494" t="s">
        <v>1947</v>
      </c>
      <c r="B79" s="534"/>
      <c r="C79" s="478">
        <v>2516429</v>
      </c>
      <c r="D79" s="535">
        <v>575578</v>
      </c>
      <c r="E79" s="535">
        <v>88998</v>
      </c>
      <c r="F79" s="535">
        <v>320473</v>
      </c>
      <c r="G79" s="535">
        <v>94070</v>
      </c>
      <c r="H79" s="535"/>
      <c r="I79" s="535">
        <v>1222758</v>
      </c>
      <c r="J79" s="535">
        <v>220591</v>
      </c>
      <c r="K79" s="535">
        <v>211614</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2603224</v>
      </c>
      <c r="D81" s="1688">
        <f>SUM(D78:D80)</f>
        <v>570381</v>
      </c>
      <c r="E81" s="1688">
        <f t="shared" ref="E81:K81" si="10">SUM(E78:E80)</f>
        <v>88077</v>
      </c>
      <c r="F81" s="1688">
        <f t="shared" si="10"/>
        <v>346222</v>
      </c>
      <c r="G81" s="1688">
        <f t="shared" si="10"/>
        <v>108120</v>
      </c>
      <c r="H81" s="1688">
        <f t="shared" si="10"/>
        <v>0</v>
      </c>
      <c r="I81" s="1688">
        <f t="shared" si="10"/>
        <v>1698341</v>
      </c>
      <c r="J81" s="1688">
        <f t="shared" si="10"/>
        <v>194296</v>
      </c>
      <c r="K81" s="1688">
        <f t="shared" si="10"/>
        <v>164450</v>
      </c>
      <c r="L81" s="347"/>
    </row>
    <row r="82" spans="1:12" ht="0.75" customHeight="1" thickTop="1" thickBot="1" x14ac:dyDescent="0.25">
      <c r="A82" s="536" t="s">
        <v>343</v>
      </c>
      <c r="B82" s="537"/>
      <c r="C82" s="538">
        <f>(C81-C79)</f>
        <v>86795</v>
      </c>
      <c r="D82" s="538">
        <f t="shared" ref="D82:K82" si="11">(D81-D79)</f>
        <v>-5197</v>
      </c>
      <c r="E82" s="538">
        <f t="shared" si="11"/>
        <v>-921</v>
      </c>
      <c r="F82" s="538">
        <f t="shared" si="11"/>
        <v>25749</v>
      </c>
      <c r="G82" s="538">
        <f t="shared" si="11"/>
        <v>14050</v>
      </c>
      <c r="H82" s="538">
        <f t="shared" si="11"/>
        <v>0</v>
      </c>
      <c r="I82" s="538">
        <f t="shared" si="11"/>
        <v>475583</v>
      </c>
      <c r="J82" s="538">
        <f t="shared" si="11"/>
        <v>-26295</v>
      </c>
      <c r="K82" s="538">
        <f t="shared" si="11"/>
        <v>-47164</v>
      </c>
    </row>
    <row r="83" spans="1:12" ht="14.25" hidden="1" thickTop="1" thickBot="1" x14ac:dyDescent="0.25">
      <c r="A83" s="539" t="s">
        <v>344</v>
      </c>
      <c r="B83" s="464"/>
      <c r="C83" s="540">
        <f>C82/C81</f>
        <v>3.3341349034889042E-2</v>
      </c>
      <c r="D83" s="540">
        <f t="shared" ref="D83:K83" si="12">D82/D81</f>
        <v>-9.1114535722613479E-3</v>
      </c>
      <c r="E83" s="540">
        <f t="shared" si="12"/>
        <v>-1.0456759426410981E-2</v>
      </c>
      <c r="F83" s="540">
        <f t="shared" si="12"/>
        <v>7.4371357106134212E-2</v>
      </c>
      <c r="G83" s="540">
        <f t="shared" si="12"/>
        <v>0.12994820569737328</v>
      </c>
      <c r="H83" s="540" t="e">
        <f t="shared" si="12"/>
        <v>#DIV/0!</v>
      </c>
      <c r="I83" s="540">
        <f t="shared" si="12"/>
        <v>0.28002798024660536</v>
      </c>
      <c r="J83" s="540">
        <f t="shared" si="12"/>
        <v>-0.13533474698398321</v>
      </c>
      <c r="K83" s="540">
        <f t="shared" si="12"/>
        <v>-0.28679841897233199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246"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1882748</v>
      </c>
      <c r="D5" s="481">
        <v>281851</v>
      </c>
      <c r="E5" s="466">
        <v>163679</v>
      </c>
      <c r="F5" s="548">
        <v>135286</v>
      </c>
      <c r="G5" s="466">
        <v>64565</v>
      </c>
      <c r="H5" s="466"/>
      <c r="I5" s="466">
        <v>56375</v>
      </c>
      <c r="J5" s="467">
        <v>187517</v>
      </c>
      <c r="K5" s="466">
        <v>56375</v>
      </c>
    </row>
    <row r="6" spans="1:12" ht="15" x14ac:dyDescent="0.2">
      <c r="A6" s="463" t="s">
        <v>1662</v>
      </c>
      <c r="B6" s="470">
        <v>1130</v>
      </c>
      <c r="C6" s="466">
        <v>53612</v>
      </c>
      <c r="D6" s="466"/>
      <c r="E6" s="475"/>
      <c r="F6" s="475"/>
      <c r="G6" s="468"/>
      <c r="H6" s="468"/>
      <c r="I6" s="468"/>
      <c r="J6" s="468"/>
      <c r="K6" s="468"/>
    </row>
    <row r="7" spans="1:12" x14ac:dyDescent="0.2">
      <c r="A7" s="463" t="s">
        <v>110</v>
      </c>
      <c r="B7" s="549">
        <v>1140</v>
      </c>
      <c r="C7" s="466">
        <v>22548</v>
      </c>
      <c r="D7" s="466"/>
      <c r="E7" s="468"/>
      <c r="F7" s="467"/>
      <c r="G7" s="467"/>
      <c r="H7" s="467"/>
      <c r="I7" s="468"/>
      <c r="J7" s="468"/>
      <c r="K7" s="468"/>
    </row>
    <row r="8" spans="1:12" x14ac:dyDescent="0.2">
      <c r="A8" s="463" t="s">
        <v>413</v>
      </c>
      <c r="B8" s="470">
        <v>1150</v>
      </c>
      <c r="C8" s="475"/>
      <c r="D8" s="475"/>
      <c r="E8" s="477"/>
      <c r="F8" s="477"/>
      <c r="G8" s="481">
        <v>58270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1958908</v>
      </c>
      <c r="D12" s="1707">
        <f t="shared" si="0"/>
        <v>281851</v>
      </c>
      <c r="E12" s="1707">
        <f t="shared" si="0"/>
        <v>163679</v>
      </c>
      <c r="F12" s="1707">
        <f t="shared" si="0"/>
        <v>135286</v>
      </c>
      <c r="G12" s="1707">
        <f t="shared" si="0"/>
        <v>122835</v>
      </c>
      <c r="H12" s="1707">
        <f t="shared" si="0"/>
        <v>0</v>
      </c>
      <c r="I12" s="1707">
        <f t="shared" si="0"/>
        <v>56375</v>
      </c>
      <c r="J12" s="1707">
        <f t="shared" si="0"/>
        <v>187517</v>
      </c>
      <c r="K12" s="1688">
        <f t="shared" si="0"/>
        <v>56375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79614</v>
      </c>
      <c r="D16" s="466"/>
      <c r="E16" s="466"/>
      <c r="F16" s="466"/>
      <c r="G16" s="466">
        <v>6000</v>
      </c>
      <c r="H16" s="466"/>
      <c r="I16" s="466"/>
      <c r="J16" s="467"/>
      <c r="K16" s="466"/>
    </row>
    <row r="17" spans="1:11" ht="12.75" customHeight="1" x14ac:dyDescent="0.2">
      <c r="A17" s="463" t="s">
        <v>807</v>
      </c>
      <c r="B17" s="470">
        <v>1290</v>
      </c>
      <c r="C17" s="551"/>
      <c r="D17" s="466">
        <v>2330</v>
      </c>
      <c r="E17" s="466"/>
      <c r="F17" s="466"/>
      <c r="G17" s="466"/>
      <c r="H17" s="466"/>
      <c r="I17" s="466"/>
      <c r="J17" s="467"/>
      <c r="K17" s="466"/>
    </row>
    <row r="18" spans="1:11" ht="12.75" customHeight="1" thickBot="1" x14ac:dyDescent="0.25">
      <c r="A18" s="1708" t="s">
        <v>537</v>
      </c>
      <c r="B18" s="1709"/>
      <c r="C18" s="1710">
        <f>SUM(C14:C17)</f>
        <v>79614</v>
      </c>
      <c r="D18" s="1710">
        <f t="shared" ref="D18:K18" si="1">SUM(D14:D17)</f>
        <v>2330</v>
      </c>
      <c r="E18" s="1710">
        <f t="shared" si="1"/>
        <v>0</v>
      </c>
      <c r="F18" s="1710">
        <f t="shared" si="1"/>
        <v>0</v>
      </c>
      <c r="G18" s="1710">
        <f t="shared" si="1"/>
        <v>6000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115617</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v>5004</v>
      </c>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120621</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37069</v>
      </c>
      <c r="D65" s="466">
        <v>14</v>
      </c>
      <c r="E65" s="466"/>
      <c r="F65" s="467"/>
      <c r="G65" s="466"/>
      <c r="H65" s="466"/>
      <c r="I65" s="466">
        <v>10101</v>
      </c>
      <c r="J65" s="467">
        <v>1583</v>
      </c>
      <c r="K65" s="466">
        <v>264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37069</v>
      </c>
      <c r="D67" s="1688">
        <f t="shared" ref="D67:K67" si="2">SUM(D65:D66)</f>
        <v>14</v>
      </c>
      <c r="E67" s="1688">
        <f t="shared" si="2"/>
        <v>0</v>
      </c>
      <c r="F67" s="1688">
        <f t="shared" si="2"/>
        <v>0</v>
      </c>
      <c r="G67" s="1688">
        <f t="shared" si="2"/>
        <v>0</v>
      </c>
      <c r="H67" s="1688">
        <f t="shared" si="2"/>
        <v>0</v>
      </c>
      <c r="I67" s="1688">
        <f t="shared" si="2"/>
        <v>10101</v>
      </c>
      <c r="J67" s="1688">
        <f t="shared" si="2"/>
        <v>1583</v>
      </c>
      <c r="K67" s="1688">
        <f t="shared" si="2"/>
        <v>264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10729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26600</v>
      </c>
      <c r="D79" s="466">
        <v>3625</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37329</v>
      </c>
      <c r="D82" s="1688">
        <f>SUM(D77:D81)</f>
        <v>3625</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31706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170</v>
      </c>
      <c r="D88" s="468"/>
      <c r="E88" s="468"/>
      <c r="F88" s="468"/>
      <c r="G88" s="468"/>
      <c r="H88" s="468"/>
      <c r="I88" s="468"/>
      <c r="J88" s="468"/>
      <c r="K88" s="468"/>
    </row>
    <row r="89" spans="1:11" ht="12.75" customHeight="1" x14ac:dyDescent="0.2">
      <c r="A89" s="463" t="s">
        <v>714</v>
      </c>
      <c r="B89" s="470">
        <v>1822</v>
      </c>
      <c r="C89" s="551">
        <v>12685</v>
      </c>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44561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1600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52060</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5400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v>8383</v>
      </c>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37994</v>
      </c>
      <c r="D106" s="489"/>
      <c r="E106" s="467"/>
      <c r="F106" s="467"/>
      <c r="G106" s="467"/>
      <c r="H106" s="467"/>
      <c r="I106" s="521"/>
      <c r="J106" s="467"/>
      <c r="K106" s="467"/>
    </row>
    <row r="107" spans="1:12" ht="12.75" customHeight="1" x14ac:dyDescent="0.2">
      <c r="A107" s="463" t="s">
        <v>78</v>
      </c>
      <c r="B107" s="470">
        <v>1999</v>
      </c>
      <c r="C107" s="551"/>
      <c r="D107" s="466"/>
      <c r="E107" s="466"/>
      <c r="F107" s="466">
        <v>649</v>
      </c>
      <c r="G107" s="466"/>
      <c r="H107" s="466"/>
      <c r="I107" s="466">
        <v>307</v>
      </c>
      <c r="J107" s="467"/>
      <c r="K107" s="466"/>
    </row>
    <row r="108" spans="1:12" ht="12.75" customHeight="1" thickBot="1" x14ac:dyDescent="0.25">
      <c r="A108" s="1708" t="s">
        <v>487</v>
      </c>
      <c r="B108" s="1712"/>
      <c r="C108" s="1707">
        <f>SUM(C95:C107)</f>
        <v>97054</v>
      </c>
      <c r="D108" s="1707">
        <f t="shared" ref="D108:K108" si="3">SUM(D95:D107)</f>
        <v>0</v>
      </c>
      <c r="E108" s="1707">
        <f t="shared" si="3"/>
        <v>0</v>
      </c>
      <c r="F108" s="1707">
        <f t="shared" si="3"/>
        <v>649</v>
      </c>
      <c r="G108" s="1707">
        <f t="shared" si="3"/>
        <v>8383</v>
      </c>
      <c r="H108" s="1707">
        <f t="shared" si="3"/>
        <v>0</v>
      </c>
      <c r="I108" s="1707">
        <f t="shared" si="3"/>
        <v>307</v>
      </c>
      <c r="J108" s="1707">
        <f t="shared" si="3"/>
        <v>0</v>
      </c>
      <c r="K108" s="1688">
        <f t="shared" si="3"/>
        <v>0</v>
      </c>
    </row>
    <row r="109" spans="1:12" ht="14.25" thickTop="1" thickBot="1" x14ac:dyDescent="0.25">
      <c r="A109" s="1713" t="s">
        <v>248</v>
      </c>
      <c r="B109" s="1714" t="s">
        <v>570</v>
      </c>
      <c r="C109" s="1715">
        <f t="shared" ref="C109:K109" si="4">SUM(C12,C18,C40,C63,C67,C75,C82,C93,C108,)</f>
        <v>2254535</v>
      </c>
      <c r="D109" s="1715">
        <f t="shared" si="4"/>
        <v>287820</v>
      </c>
      <c r="E109" s="1715">
        <f t="shared" si="4"/>
        <v>163679</v>
      </c>
      <c r="F109" s="1715">
        <f t="shared" si="4"/>
        <v>256556</v>
      </c>
      <c r="G109" s="1715">
        <f t="shared" si="4"/>
        <v>137218</v>
      </c>
      <c r="H109" s="1715">
        <f t="shared" si="4"/>
        <v>0</v>
      </c>
      <c r="I109" s="1715">
        <f t="shared" si="4"/>
        <v>66783</v>
      </c>
      <c r="J109" s="1715">
        <f t="shared" si="4"/>
        <v>189100</v>
      </c>
      <c r="K109" s="1702">
        <f t="shared" si="4"/>
        <v>56639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v>750</v>
      </c>
      <c r="D113" s="466"/>
      <c r="E113" s="561"/>
      <c r="F113" s="466"/>
      <c r="G113" s="466"/>
      <c r="H113" s="561"/>
      <c r="I113" s="468"/>
      <c r="J113" s="468"/>
      <c r="K113" s="468"/>
    </row>
    <row r="114" spans="1:11" ht="13.5" thickBot="1" x14ac:dyDescent="0.25">
      <c r="A114" s="1716" t="s">
        <v>806</v>
      </c>
      <c r="B114" s="1717" t="s">
        <v>569</v>
      </c>
      <c r="C114" s="1718">
        <f>SUM(C111:C113)</f>
        <v>750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129840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129840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10975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10975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9826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23783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33609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156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5446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23081</v>
      </c>
      <c r="G152" s="467"/>
      <c r="H152" s="468"/>
      <c r="I152" s="468"/>
      <c r="J152" s="468"/>
      <c r="K152" s="468"/>
    </row>
    <row r="153" spans="1:11" ht="12.75" customHeight="1" x14ac:dyDescent="0.2">
      <c r="A153" s="463" t="s">
        <v>1057</v>
      </c>
      <c r="B153" s="562">
        <v>3510</v>
      </c>
      <c r="C153" s="551"/>
      <c r="D153" s="466"/>
      <c r="E153" s="561"/>
      <c r="F153" s="466">
        <v>77898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100979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789</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50975</v>
      </c>
      <c r="D169" s="1722">
        <f t="shared" si="6"/>
        <v>0</v>
      </c>
      <c r="E169" s="1722">
        <f t="shared" si="6"/>
        <v>0</v>
      </c>
      <c r="F169" s="1722">
        <f t="shared" si="6"/>
        <v>100979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180815</v>
      </c>
      <c r="D170" s="1715">
        <f t="shared" si="7"/>
        <v>0</v>
      </c>
      <c r="E170" s="1715">
        <f t="shared" si="7"/>
        <v>0</v>
      </c>
      <c r="F170" s="1715">
        <f t="shared" si="7"/>
        <v>100979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20963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20963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9147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9147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18685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18685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11228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11228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3931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2449</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66403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66403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2502503</v>
      </c>
      <c r="D268" s="1715">
        <f t="shared" si="12"/>
        <v>287820</v>
      </c>
      <c r="E268" s="1715">
        <f t="shared" si="12"/>
        <v>163679</v>
      </c>
      <c r="F268" s="1715">
        <f t="shared" si="12"/>
        <v>357535</v>
      </c>
      <c r="G268" s="1715">
        <f t="shared" si="12"/>
        <v>137218</v>
      </c>
      <c r="H268" s="1715">
        <f t="shared" si="12"/>
        <v>0</v>
      </c>
      <c r="I268" s="1715">
        <f t="shared" si="12"/>
        <v>66783</v>
      </c>
      <c r="J268" s="1715">
        <f t="shared" si="12"/>
        <v>189100</v>
      </c>
      <c r="K268" s="1702">
        <f t="shared" si="12"/>
        <v>56639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64" activePane="bottomLeft" state="frozen"/>
      <selection pane="bottomLeft" activeCell="E75" sqref="E7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688623</v>
      </c>
      <c r="D5" s="466">
        <v>164886</v>
      </c>
      <c r="E5" s="466">
        <v>12252</v>
      </c>
      <c r="F5" s="466">
        <v>45930</v>
      </c>
      <c r="G5" s="466">
        <v>11473</v>
      </c>
      <c r="H5" s="466">
        <v>198</v>
      </c>
      <c r="I5" s="467"/>
      <c r="J5" s="467"/>
      <c r="K5" s="1671">
        <f>SUM(C5:J5)</f>
        <v>923362</v>
      </c>
      <c r="L5" s="466">
        <v>935864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59645</v>
      </c>
      <c r="D8" s="466">
        <v>19426</v>
      </c>
      <c r="E8" s="466">
        <v>4469</v>
      </c>
      <c r="F8" s="466">
        <v>497</v>
      </c>
      <c r="G8" s="466"/>
      <c r="H8" s="466"/>
      <c r="I8" s="467"/>
      <c r="J8" s="467"/>
      <c r="K8" s="1671">
        <f t="shared" si="0"/>
        <v>84037</v>
      </c>
      <c r="L8" s="466">
        <v>83724</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13493</v>
      </c>
      <c r="D10" s="466"/>
      <c r="E10" s="466"/>
      <c r="F10" s="466"/>
      <c r="G10" s="466"/>
      <c r="H10" s="466"/>
      <c r="I10" s="467"/>
      <c r="J10" s="467"/>
      <c r="K10" s="1671">
        <f t="shared" si="0"/>
        <v>13493</v>
      </c>
      <c r="L10" s="466">
        <v>13493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171798</v>
      </c>
      <c r="D13" s="466">
        <v>37330</v>
      </c>
      <c r="E13" s="466">
        <v>952</v>
      </c>
      <c r="F13" s="466">
        <v>12833</v>
      </c>
      <c r="G13" s="466">
        <v>5435</v>
      </c>
      <c r="H13" s="466">
        <v>275</v>
      </c>
      <c r="I13" s="467"/>
      <c r="J13" s="467"/>
      <c r="K13" s="1671">
        <f t="shared" si="0"/>
        <v>228623</v>
      </c>
      <c r="L13" s="466">
        <v>232343</v>
      </c>
    </row>
    <row r="14" spans="1:14" x14ac:dyDescent="0.2">
      <c r="A14" s="1504" t="s">
        <v>963</v>
      </c>
      <c r="B14" s="614">
        <v>1500</v>
      </c>
      <c r="C14" s="466">
        <v>68980</v>
      </c>
      <c r="D14" s="466">
        <v>4982</v>
      </c>
      <c r="E14" s="466">
        <v>14186</v>
      </c>
      <c r="F14" s="466">
        <v>18428</v>
      </c>
      <c r="G14" s="466">
        <v>1610</v>
      </c>
      <c r="H14" s="466">
        <v>8055</v>
      </c>
      <c r="I14" s="467"/>
      <c r="J14" s="467"/>
      <c r="K14" s="1671">
        <f t="shared" si="0"/>
        <v>116241</v>
      </c>
      <c r="L14" s="466">
        <v>133427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29827</v>
      </c>
      <c r="D17" s="467">
        <v>6219</v>
      </c>
      <c r="E17" s="467">
        <v>797</v>
      </c>
      <c r="F17" s="467"/>
      <c r="G17" s="467"/>
      <c r="H17" s="467"/>
      <c r="I17" s="467"/>
      <c r="J17" s="467"/>
      <c r="K17" s="1671">
        <f t="shared" si="0"/>
        <v>36843</v>
      </c>
      <c r="L17" s="466">
        <v>37429</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1032366</v>
      </c>
      <c r="D33" s="1670">
        <f t="shared" ref="D33:L33" si="1">SUM(D5:D32)</f>
        <v>232843</v>
      </c>
      <c r="E33" s="1670">
        <f t="shared" si="1"/>
        <v>32656</v>
      </c>
      <c r="F33" s="1670">
        <f t="shared" si="1"/>
        <v>77688</v>
      </c>
      <c r="G33" s="1670">
        <f t="shared" si="1"/>
        <v>18518</v>
      </c>
      <c r="H33" s="1670">
        <f t="shared" si="1"/>
        <v>8528</v>
      </c>
      <c r="I33" s="1670">
        <f t="shared" si="1"/>
        <v>0</v>
      </c>
      <c r="J33" s="1670">
        <f t="shared" si="1"/>
        <v>0</v>
      </c>
      <c r="K33" s="1670">
        <f t="shared" si="1"/>
        <v>1402599</v>
      </c>
      <c r="L33" s="1670">
        <f t="shared" si="1"/>
        <v>1436280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122674</v>
      </c>
      <c r="D37" s="466">
        <v>24078</v>
      </c>
      <c r="E37" s="466">
        <v>6209</v>
      </c>
      <c r="F37" s="466">
        <v>3491</v>
      </c>
      <c r="G37" s="466"/>
      <c r="H37" s="466"/>
      <c r="I37" s="467"/>
      <c r="J37" s="467"/>
      <c r="K37" s="1671">
        <f t="shared" si="2"/>
        <v>156452</v>
      </c>
      <c r="L37" s="466">
        <v>162682</v>
      </c>
    </row>
    <row r="38" spans="1:14" x14ac:dyDescent="0.2">
      <c r="A38" s="1504" t="s">
        <v>198</v>
      </c>
      <c r="B38" s="614">
        <v>2130</v>
      </c>
      <c r="C38" s="466">
        <v>6563</v>
      </c>
      <c r="D38" s="466"/>
      <c r="E38" s="466"/>
      <c r="F38" s="466">
        <v>348</v>
      </c>
      <c r="G38" s="466"/>
      <c r="H38" s="466"/>
      <c r="I38" s="467"/>
      <c r="J38" s="467"/>
      <c r="K38" s="1671">
        <f t="shared" si="2"/>
        <v>6911</v>
      </c>
      <c r="L38" s="466">
        <v>8325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129237</v>
      </c>
      <c r="D42" s="1670">
        <f t="shared" ref="D42:L42" si="3">SUM(D36:D41)</f>
        <v>24078</v>
      </c>
      <c r="E42" s="1670">
        <f t="shared" si="3"/>
        <v>6209</v>
      </c>
      <c r="F42" s="1670">
        <f t="shared" si="3"/>
        <v>3839</v>
      </c>
      <c r="G42" s="1670">
        <f t="shared" si="3"/>
        <v>0</v>
      </c>
      <c r="H42" s="1670">
        <f t="shared" si="3"/>
        <v>0</v>
      </c>
      <c r="I42" s="1670">
        <f t="shared" si="3"/>
        <v>0</v>
      </c>
      <c r="J42" s="1670">
        <f t="shared" si="3"/>
        <v>0</v>
      </c>
      <c r="K42" s="1670">
        <f t="shared" si="3"/>
        <v>163363</v>
      </c>
      <c r="L42" s="1670">
        <f t="shared" si="3"/>
        <v>171007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5550</v>
      </c>
      <c r="D44" s="481"/>
      <c r="E44" s="481">
        <v>605</v>
      </c>
      <c r="F44" s="481">
        <v>1616</v>
      </c>
      <c r="G44" s="481">
        <v>20963</v>
      </c>
      <c r="H44" s="481"/>
      <c r="I44" s="467"/>
      <c r="J44" s="467"/>
      <c r="K44" s="1672">
        <f>SUM(C44:J44)</f>
        <v>28734</v>
      </c>
      <c r="L44" s="481">
        <v>31004</v>
      </c>
    </row>
    <row r="45" spans="1:14" x14ac:dyDescent="0.2">
      <c r="A45" s="1504" t="s">
        <v>815</v>
      </c>
      <c r="B45" s="614">
        <v>2220</v>
      </c>
      <c r="C45" s="466"/>
      <c r="D45" s="466"/>
      <c r="E45" s="466">
        <v>3921</v>
      </c>
      <c r="F45" s="466">
        <v>9061</v>
      </c>
      <c r="G45" s="466"/>
      <c r="H45" s="466"/>
      <c r="I45" s="467"/>
      <c r="J45" s="467"/>
      <c r="K45" s="1672">
        <f>SUM(C45:J45)</f>
        <v>12982</v>
      </c>
      <c r="L45" s="466">
        <v>15450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5550</v>
      </c>
      <c r="D47" s="1670">
        <f t="shared" ref="D47:K47" si="4">SUM(D44:D46)</f>
        <v>0</v>
      </c>
      <c r="E47" s="1670">
        <f t="shared" si="4"/>
        <v>4526</v>
      </c>
      <c r="F47" s="1670">
        <f t="shared" si="4"/>
        <v>10677</v>
      </c>
      <c r="G47" s="1670">
        <f t="shared" si="4"/>
        <v>20963</v>
      </c>
      <c r="H47" s="1670">
        <f t="shared" si="4"/>
        <v>0</v>
      </c>
      <c r="I47" s="1670">
        <f t="shared" si="4"/>
        <v>0</v>
      </c>
      <c r="J47" s="1670">
        <f t="shared" si="4"/>
        <v>0</v>
      </c>
      <c r="K47" s="1670">
        <f t="shared" si="4"/>
        <v>41716</v>
      </c>
      <c r="L47" s="1670">
        <f>SUM(L44:L46)</f>
        <v>46454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2865</v>
      </c>
      <c r="D49" s="481">
        <v>16641</v>
      </c>
      <c r="E49" s="481"/>
      <c r="F49" s="481">
        <v>370</v>
      </c>
      <c r="G49" s="481"/>
      <c r="H49" s="481">
        <v>194</v>
      </c>
      <c r="I49" s="467"/>
      <c r="J49" s="467"/>
      <c r="K49" s="1672">
        <f>SUM(C49:J49)</f>
        <v>20070</v>
      </c>
      <c r="L49" s="481">
        <v>21165</v>
      </c>
    </row>
    <row r="50" spans="1:14" x14ac:dyDescent="0.2">
      <c r="A50" s="1504" t="s">
        <v>818</v>
      </c>
      <c r="B50" s="614">
        <v>2320</v>
      </c>
      <c r="C50" s="466">
        <v>118253</v>
      </c>
      <c r="D50" s="466">
        <v>44200</v>
      </c>
      <c r="E50" s="466">
        <v>14650</v>
      </c>
      <c r="F50" s="466">
        <v>4176</v>
      </c>
      <c r="G50" s="466"/>
      <c r="H50" s="466">
        <v>13470</v>
      </c>
      <c r="I50" s="467"/>
      <c r="J50" s="467"/>
      <c r="K50" s="1672">
        <f>SUM(C50:J50)</f>
        <v>194749</v>
      </c>
      <c r="L50" s="466">
        <v>199370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v>1592</v>
      </c>
      <c r="E52" s="474"/>
      <c r="F52" s="474"/>
      <c r="G52" s="474"/>
      <c r="H52" s="474"/>
      <c r="I52" s="474"/>
      <c r="J52" s="474"/>
      <c r="K52" s="1672">
        <f>SUM(C52:J52)</f>
        <v>1592</v>
      </c>
      <c r="L52" s="474">
        <v>1750</v>
      </c>
    </row>
    <row r="53" spans="1:14" ht="12.75" customHeight="1" thickBot="1" x14ac:dyDescent="0.25">
      <c r="A53" s="1668" t="s">
        <v>717</v>
      </c>
      <c r="B53" s="1669" t="s">
        <v>33</v>
      </c>
      <c r="C53" s="1670">
        <f>SUM(C49:C52)</f>
        <v>121118</v>
      </c>
      <c r="D53" s="1670">
        <f t="shared" ref="D53:L53" si="5">SUM(D49:D52)</f>
        <v>62433</v>
      </c>
      <c r="E53" s="1670">
        <f t="shared" si="5"/>
        <v>14650</v>
      </c>
      <c r="F53" s="1670">
        <f t="shared" si="5"/>
        <v>4546</v>
      </c>
      <c r="G53" s="1670">
        <f t="shared" si="5"/>
        <v>0</v>
      </c>
      <c r="H53" s="1670">
        <f t="shared" si="5"/>
        <v>13664</v>
      </c>
      <c r="I53" s="1670">
        <f t="shared" si="5"/>
        <v>0</v>
      </c>
      <c r="J53" s="1670">
        <f t="shared" si="5"/>
        <v>0</v>
      </c>
      <c r="K53" s="1670">
        <f t="shared" si="5"/>
        <v>216411</v>
      </c>
      <c r="L53" s="1670">
        <f t="shared" si="5"/>
        <v>222285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99539</v>
      </c>
      <c r="D55" s="481">
        <v>26676</v>
      </c>
      <c r="E55" s="481">
        <v>1204</v>
      </c>
      <c r="F55" s="481">
        <v>4720</v>
      </c>
      <c r="G55" s="481"/>
      <c r="H55" s="481">
        <v>964</v>
      </c>
      <c r="I55" s="467"/>
      <c r="J55" s="467"/>
      <c r="K55" s="1672">
        <f>SUM(C55:J55)</f>
        <v>133103</v>
      </c>
      <c r="L55" s="481">
        <v>136282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99539</v>
      </c>
      <c r="D57" s="1674">
        <f t="shared" ref="D57:K57" si="6">SUM(D55:D56)</f>
        <v>26676</v>
      </c>
      <c r="E57" s="1674">
        <f t="shared" si="6"/>
        <v>1204</v>
      </c>
      <c r="F57" s="1674">
        <f t="shared" si="6"/>
        <v>4720</v>
      </c>
      <c r="G57" s="1674">
        <f t="shared" si="6"/>
        <v>0</v>
      </c>
      <c r="H57" s="1674">
        <f t="shared" si="6"/>
        <v>964</v>
      </c>
      <c r="I57" s="1674">
        <f t="shared" si="6"/>
        <v>0</v>
      </c>
      <c r="J57" s="1674">
        <f t="shared" si="6"/>
        <v>0</v>
      </c>
      <c r="K57" s="1674">
        <f t="shared" si="6"/>
        <v>133103</v>
      </c>
      <c r="L57" s="1670">
        <f>SUM(L55:L56)</f>
        <v>136282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34221</v>
      </c>
      <c r="D60" s="466">
        <v>1500</v>
      </c>
      <c r="E60" s="466">
        <v>2705</v>
      </c>
      <c r="F60" s="466">
        <v>935</v>
      </c>
      <c r="G60" s="466"/>
      <c r="H60" s="466"/>
      <c r="I60" s="467"/>
      <c r="J60" s="467"/>
      <c r="K60" s="1672">
        <f t="shared" si="7"/>
        <v>39361</v>
      </c>
      <c r="L60" s="466">
        <v>42310</v>
      </c>
      <c r="M60" s="609"/>
      <c r="N60" s="609"/>
    </row>
    <row r="61" spans="1:14" s="343" customFormat="1" x14ac:dyDescent="0.2">
      <c r="A61" s="1504" t="s">
        <v>197</v>
      </c>
      <c r="B61" s="614">
        <v>2540</v>
      </c>
      <c r="C61" s="466">
        <v>59256</v>
      </c>
      <c r="D61" s="466">
        <v>9007</v>
      </c>
      <c r="E61" s="466"/>
      <c r="F61" s="466"/>
      <c r="G61" s="466"/>
      <c r="H61" s="466"/>
      <c r="I61" s="467"/>
      <c r="J61" s="467"/>
      <c r="K61" s="1672">
        <f t="shared" si="7"/>
        <v>68263</v>
      </c>
      <c r="L61" s="466">
        <v>69508</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93477</v>
      </c>
      <c r="D65" s="1670">
        <f t="shared" ref="D65:L65" si="8">SUM(D59:D64)</f>
        <v>10507</v>
      </c>
      <c r="E65" s="1670">
        <f t="shared" si="8"/>
        <v>2705</v>
      </c>
      <c r="F65" s="1670">
        <f t="shared" si="8"/>
        <v>935</v>
      </c>
      <c r="G65" s="1670">
        <f t="shared" si="8"/>
        <v>0</v>
      </c>
      <c r="H65" s="1670">
        <f t="shared" si="8"/>
        <v>0</v>
      </c>
      <c r="I65" s="1670">
        <f t="shared" si="8"/>
        <v>0</v>
      </c>
      <c r="J65" s="1670">
        <f t="shared" si="8"/>
        <v>0</v>
      </c>
      <c r="K65" s="1670">
        <f t="shared" si="8"/>
        <v>107624</v>
      </c>
      <c r="L65" s="1670">
        <f t="shared" si="8"/>
        <v>111818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36214</v>
      </c>
      <c r="F69" s="466">
        <v>5483</v>
      </c>
      <c r="G69" s="466"/>
      <c r="H69" s="466"/>
      <c r="I69" s="467"/>
      <c r="J69" s="467"/>
      <c r="K69" s="1672">
        <f>SUM(C69:J69)</f>
        <v>41697</v>
      </c>
      <c r="L69" s="466">
        <v>46200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36214</v>
      </c>
      <c r="F72" s="1670">
        <f t="shared" si="9"/>
        <v>5483</v>
      </c>
      <c r="G72" s="1670">
        <f t="shared" si="9"/>
        <v>0</v>
      </c>
      <c r="H72" s="1670">
        <f t="shared" si="9"/>
        <v>0</v>
      </c>
      <c r="I72" s="1670">
        <f t="shared" si="9"/>
        <v>0</v>
      </c>
      <c r="J72" s="1670">
        <f t="shared" si="9"/>
        <v>0</v>
      </c>
      <c r="K72" s="1670">
        <f t="shared" si="9"/>
        <v>41697</v>
      </c>
      <c r="L72" s="1670">
        <f>SUM(L67:L71)</f>
        <v>46200</v>
      </c>
      <c r="M72" s="609"/>
      <c r="N72" s="609"/>
    </row>
    <row r="73" spans="1:14" s="343" customFormat="1" ht="14.25" thickTop="1" thickBot="1" x14ac:dyDescent="0.25">
      <c r="A73" s="1510" t="s">
        <v>980</v>
      </c>
      <c r="B73" s="632" t="s">
        <v>574</v>
      </c>
      <c r="C73" s="573"/>
      <c r="D73" s="573"/>
      <c r="E73" s="573">
        <v>11821</v>
      </c>
      <c r="F73" s="573"/>
      <c r="G73" s="573"/>
      <c r="H73" s="573"/>
      <c r="I73" s="531"/>
      <c r="J73" s="531"/>
      <c r="K73" s="1670">
        <f>SUM(C73:J73)</f>
        <v>11821</v>
      </c>
      <c r="L73" s="576"/>
      <c r="M73" s="609"/>
      <c r="N73" s="609"/>
    </row>
    <row r="74" spans="1:14" ht="12.75" customHeight="1" thickTop="1" thickBot="1" x14ac:dyDescent="0.25">
      <c r="A74" s="1668" t="s">
        <v>811</v>
      </c>
      <c r="B74" s="1676">
        <v>2000</v>
      </c>
      <c r="C74" s="1677">
        <f>SUM(C42,C47,C53,C57,C65,C72,C73)</f>
        <v>448921</v>
      </c>
      <c r="D74" s="1677">
        <f t="shared" ref="D74:K74" si="10">SUM(D42,D47,D53,D57,D65,D72,D73)</f>
        <v>123694</v>
      </c>
      <c r="E74" s="1677">
        <f t="shared" si="10"/>
        <v>77329</v>
      </c>
      <c r="F74" s="1677">
        <f t="shared" si="10"/>
        <v>30200</v>
      </c>
      <c r="G74" s="1677">
        <f t="shared" si="10"/>
        <v>20963</v>
      </c>
      <c r="H74" s="1677">
        <f t="shared" si="10"/>
        <v>14628</v>
      </c>
      <c r="I74" s="1677">
        <f t="shared" si="10"/>
        <v>0</v>
      </c>
      <c r="J74" s="1677">
        <f t="shared" si="10"/>
        <v>0</v>
      </c>
      <c r="K74" s="1677">
        <f t="shared" si="10"/>
        <v>715735</v>
      </c>
      <c r="L74" s="1677">
        <f>SUM(L42,L47,L53,L57,L65,L72,L73)</f>
        <v>734046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12282</v>
      </c>
      <c r="F78" s="616"/>
      <c r="G78" s="616"/>
      <c r="H78" s="634"/>
      <c r="I78" s="477"/>
      <c r="J78" s="477"/>
      <c r="K78" s="1671">
        <f t="shared" ref="K78:K83" si="11">SUM(C78:J78)</f>
        <v>12282</v>
      </c>
      <c r="L78" s="481">
        <v>12800</v>
      </c>
    </row>
    <row r="79" spans="1:14" x14ac:dyDescent="0.2">
      <c r="A79" s="1504" t="s">
        <v>304</v>
      </c>
      <c r="B79" s="614">
        <v>4120</v>
      </c>
      <c r="C79" s="616"/>
      <c r="D79" s="616"/>
      <c r="E79" s="466">
        <v>141428</v>
      </c>
      <c r="F79" s="616"/>
      <c r="G79" s="616"/>
      <c r="H79" s="466"/>
      <c r="I79" s="477"/>
      <c r="J79" s="477"/>
      <c r="K79" s="1671">
        <f t="shared" si="11"/>
        <v>141428</v>
      </c>
      <c r="L79" s="466">
        <v>157000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16389</v>
      </c>
      <c r="F81" s="616"/>
      <c r="G81" s="616"/>
      <c r="H81" s="466"/>
      <c r="I81" s="477"/>
      <c r="J81" s="477"/>
      <c r="K81" s="1671">
        <f t="shared" si="11"/>
        <v>16389</v>
      </c>
      <c r="L81" s="466">
        <v>16390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43279</v>
      </c>
      <c r="F83" s="616"/>
      <c r="G83" s="616"/>
      <c r="H83" s="466"/>
      <c r="I83" s="477"/>
      <c r="J83" s="477"/>
      <c r="K83" s="1671">
        <f t="shared" si="11"/>
        <v>43279</v>
      </c>
      <c r="L83" s="466">
        <v>44200</v>
      </c>
    </row>
    <row r="84" spans="1:12" ht="13.5" thickBot="1" x14ac:dyDescent="0.25">
      <c r="A84" s="1668" t="s">
        <v>1485</v>
      </c>
      <c r="B84" s="1678">
        <v>4100</v>
      </c>
      <c r="C84" s="616"/>
      <c r="D84" s="616"/>
      <c r="E84" s="1670">
        <f>SUM(E78:E83)</f>
        <v>213378</v>
      </c>
      <c r="F84" s="616"/>
      <c r="G84" s="616"/>
      <c r="H84" s="1670">
        <f>SUM(H78:H83)</f>
        <v>0</v>
      </c>
      <c r="I84" s="477"/>
      <c r="J84" s="477"/>
      <c r="K84" s="1670">
        <f>SUM(K78:K83)</f>
        <v>213378</v>
      </c>
      <c r="L84" s="1670">
        <f>SUM(L78:L83)</f>
        <v>230390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59774</v>
      </c>
      <c r="I86" s="477"/>
      <c r="J86" s="477"/>
      <c r="K86" s="1677">
        <f t="shared" ref="K86:K98" si="12">H86</f>
        <v>59774</v>
      </c>
      <c r="L86" s="530">
        <v>68220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24222</v>
      </c>
      <c r="I88" s="477"/>
      <c r="J88" s="477"/>
      <c r="K88" s="1677">
        <f t="shared" si="12"/>
        <v>24222</v>
      </c>
      <c r="L88" s="530">
        <v>24239</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83996</v>
      </c>
      <c r="I92" s="477"/>
      <c r="J92" s="477"/>
      <c r="K92" s="1677">
        <f t="shared" si="12"/>
        <v>83996</v>
      </c>
      <c r="L92" s="1670">
        <f>SUM(L85:L91)</f>
        <v>92459</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213378</v>
      </c>
      <c r="F102" s="616"/>
      <c r="G102" s="616"/>
      <c r="H102" s="1677">
        <f>SUM(H84,H92,H100,H101)</f>
        <v>83996</v>
      </c>
      <c r="I102" s="477"/>
      <c r="J102" s="477"/>
      <c r="K102" s="1677">
        <f>SUM(K84,K92,K100,K101)</f>
        <v>297374</v>
      </c>
      <c r="L102" s="1677">
        <f>SUM(L84,L92,L100,L101)</f>
        <v>322849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15000</v>
      </c>
      <c r="M113" s="613"/>
      <c r="N113" s="613"/>
    </row>
    <row r="114" spans="1:14" ht="12.75" customHeight="1" thickTop="1" thickBot="1" x14ac:dyDescent="0.25">
      <c r="A114" s="1668" t="s">
        <v>48</v>
      </c>
      <c r="B114" s="1682"/>
      <c r="C114" s="1670">
        <f>SUM(C33,C74,C75,C102,C112,C113)</f>
        <v>1481287</v>
      </c>
      <c r="D114" s="1670">
        <f t="shared" ref="D114:K114" si="13">SUM(D33,D74,D75,D102,D112,D113)</f>
        <v>356537</v>
      </c>
      <c r="E114" s="1670">
        <f t="shared" si="13"/>
        <v>323363</v>
      </c>
      <c r="F114" s="1670">
        <f t="shared" si="13"/>
        <v>107888</v>
      </c>
      <c r="G114" s="1670">
        <f t="shared" si="13"/>
        <v>39481</v>
      </c>
      <c r="H114" s="1670">
        <f>SUM(H33,H74,H75,H102,H112,H113)</f>
        <v>107152</v>
      </c>
      <c r="I114" s="1670">
        <f t="shared" si="13"/>
        <v>0</v>
      </c>
      <c r="J114" s="1670">
        <f t="shared" si="13"/>
        <v>0</v>
      </c>
      <c r="K114" s="1670">
        <f t="shared" si="13"/>
        <v>2415708</v>
      </c>
      <c r="L114" s="1670">
        <f>SUM(L33,L74,L75,L102,L112,L113)</f>
        <v>2508175</v>
      </c>
    </row>
    <row r="115" spans="1:14" ht="13.5" thickTop="1" x14ac:dyDescent="0.2">
      <c r="A115" s="2185" t="s">
        <v>996</v>
      </c>
      <c r="B115" s="2186"/>
      <c r="C115" s="618"/>
      <c r="D115" s="618"/>
      <c r="E115" s="618"/>
      <c r="F115" s="618"/>
      <c r="G115" s="618"/>
      <c r="H115" s="618"/>
      <c r="I115" s="618"/>
      <c r="J115" s="618"/>
      <c r="K115" s="1684">
        <f>'Revenues 9-14'!C268-'Expenditures 15-22'!K114</f>
        <v>86795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90830</v>
      </c>
      <c r="D124" s="466">
        <v>13557</v>
      </c>
      <c r="E124" s="466">
        <v>106711</v>
      </c>
      <c r="F124" s="466">
        <v>53431</v>
      </c>
      <c r="G124" s="466">
        <v>215688</v>
      </c>
      <c r="H124" s="466">
        <v>4000</v>
      </c>
      <c r="I124" s="467"/>
      <c r="J124" s="467"/>
      <c r="K124" s="1670">
        <f>SUM(C124:J124)</f>
        <v>484217</v>
      </c>
      <c r="L124" s="466">
        <v>501210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90830</v>
      </c>
      <c r="D127" s="1670">
        <f t="shared" ref="D127:L127" si="14">SUM(D122:D126)</f>
        <v>13557</v>
      </c>
      <c r="E127" s="1670">
        <f t="shared" si="14"/>
        <v>106711</v>
      </c>
      <c r="F127" s="1670">
        <f t="shared" si="14"/>
        <v>53431</v>
      </c>
      <c r="G127" s="1670">
        <f t="shared" si="14"/>
        <v>215688</v>
      </c>
      <c r="H127" s="1670">
        <f t="shared" si="14"/>
        <v>4000</v>
      </c>
      <c r="I127" s="1670">
        <f t="shared" si="14"/>
        <v>0</v>
      </c>
      <c r="J127" s="1670">
        <f t="shared" si="14"/>
        <v>0</v>
      </c>
      <c r="K127" s="1670">
        <f t="shared" si="14"/>
        <v>484217</v>
      </c>
      <c r="L127" s="1670">
        <f t="shared" si="14"/>
        <v>501210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90830</v>
      </c>
      <c r="D129" s="1677">
        <f t="shared" ref="D129:L129" si="15">SUM(D120,D127,D128)</f>
        <v>13557</v>
      </c>
      <c r="E129" s="1677">
        <f t="shared" si="15"/>
        <v>106711</v>
      </c>
      <c r="F129" s="1677">
        <f t="shared" si="15"/>
        <v>53431</v>
      </c>
      <c r="G129" s="1677">
        <f t="shared" si="15"/>
        <v>215688</v>
      </c>
      <c r="H129" s="1677">
        <f t="shared" si="15"/>
        <v>4000</v>
      </c>
      <c r="I129" s="1677">
        <f t="shared" si="15"/>
        <v>0</v>
      </c>
      <c r="J129" s="1677">
        <f t="shared" si="15"/>
        <v>0</v>
      </c>
      <c r="K129" s="1677">
        <f t="shared" si="15"/>
        <v>484217</v>
      </c>
      <c r="L129" s="1677">
        <f t="shared" si="15"/>
        <v>501210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90830</v>
      </c>
      <c r="D151" s="1670">
        <f t="shared" ref="D151:K151" si="16">SUM(D129,D130,D139,D149,D150)</f>
        <v>13557</v>
      </c>
      <c r="E151" s="1670">
        <f t="shared" si="16"/>
        <v>106711</v>
      </c>
      <c r="F151" s="1670">
        <f t="shared" si="16"/>
        <v>53431</v>
      </c>
      <c r="G151" s="1670">
        <f t="shared" si="16"/>
        <v>215688</v>
      </c>
      <c r="H151" s="1670">
        <f t="shared" si="16"/>
        <v>4000</v>
      </c>
      <c r="I151" s="1670">
        <f t="shared" si="16"/>
        <v>0</v>
      </c>
      <c r="J151" s="1670">
        <f t="shared" si="16"/>
        <v>0</v>
      </c>
      <c r="K151" s="1670">
        <f t="shared" si="16"/>
        <v>484217</v>
      </c>
      <c r="L151" s="1670">
        <f>SUM(L129,L130,L139,L149,L150)</f>
        <v>501210</v>
      </c>
    </row>
    <row r="152" spans="1:14" ht="12.75" customHeight="1" thickTop="1" x14ac:dyDescent="0.2">
      <c r="A152" s="2178" t="s">
        <v>1178</v>
      </c>
      <c r="B152" s="2179"/>
      <c r="C152" s="618"/>
      <c r="D152" s="618"/>
      <c r="E152" s="618"/>
      <c r="F152" s="618"/>
      <c r="G152" s="618"/>
      <c r="H152" s="618"/>
      <c r="I152" s="618"/>
      <c r="J152" s="616"/>
      <c r="K152" s="1684">
        <f>'Revenues 9-14'!D268-'Expenditures 15-22'!K151</f>
        <v>-196397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v>50</v>
      </c>
      <c r="I167" s="616"/>
      <c r="J167" s="616"/>
      <c r="K167" s="1671">
        <f>SUM(C167:J167)</f>
        <v>50</v>
      </c>
      <c r="L167" s="466">
        <v>50</v>
      </c>
    </row>
    <row r="168" spans="1:14" ht="13.5" thickBot="1" x14ac:dyDescent="0.25">
      <c r="A168" s="1668" t="s">
        <v>276</v>
      </c>
      <c r="B168" s="1675" t="s">
        <v>718</v>
      </c>
      <c r="C168" s="616"/>
      <c r="D168" s="616"/>
      <c r="E168" s="616"/>
      <c r="F168" s="616"/>
      <c r="G168" s="616"/>
      <c r="H168" s="1670">
        <f>SUM(H163:H167)</f>
        <v>50</v>
      </c>
      <c r="I168" s="616"/>
      <c r="J168" s="616"/>
      <c r="K168" s="1670">
        <f>SUM(K163:K167)</f>
        <v>50</v>
      </c>
      <c r="L168" s="1670">
        <f>SUM(L163:L167)</f>
        <v>50</v>
      </c>
    </row>
    <row r="169" spans="1:14" ht="15.75" customHeight="1" thickTop="1" x14ac:dyDescent="0.2">
      <c r="A169" s="669" t="s">
        <v>83</v>
      </c>
      <c r="B169" s="670" t="s">
        <v>38</v>
      </c>
      <c r="C169" s="616"/>
      <c r="D169" s="616"/>
      <c r="E169" s="616"/>
      <c r="F169" s="616"/>
      <c r="G169" s="616"/>
      <c r="H169" s="656">
        <v>4550</v>
      </c>
      <c r="I169" s="616"/>
      <c r="J169" s="616"/>
      <c r="K169" s="1671">
        <f>SUM(C169:H169)</f>
        <v>4550</v>
      </c>
      <c r="L169" s="656">
        <v>4550</v>
      </c>
    </row>
    <row r="170" spans="1:14" ht="33.75" customHeight="1" x14ac:dyDescent="0.2">
      <c r="A170" s="669" t="s">
        <v>1670</v>
      </c>
      <c r="B170" s="671" t="s">
        <v>31</v>
      </c>
      <c r="C170" s="616"/>
      <c r="D170" s="616"/>
      <c r="E170" s="616"/>
      <c r="F170" s="616"/>
      <c r="G170" s="616"/>
      <c r="H170" s="569">
        <v>160000</v>
      </c>
      <c r="I170" s="616"/>
      <c r="J170" s="616"/>
      <c r="K170" s="1671">
        <f>SUM(C170:J170)</f>
        <v>160000</v>
      </c>
      <c r="L170" s="569">
        <v>160000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164600</v>
      </c>
      <c r="I172" s="638"/>
      <c r="J172" s="616"/>
      <c r="K172" s="1677">
        <f>SUM(K168,K169,K170,K171)</f>
        <v>164600</v>
      </c>
      <c r="L172" s="1677">
        <f>SUM(L168,L169,L170,L171)</f>
        <v>164600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164600</v>
      </c>
      <c r="I174" s="638"/>
      <c r="J174" s="616"/>
      <c r="K174" s="1677">
        <f>SUM(K160,K172,K173)</f>
        <v>164600</v>
      </c>
      <c r="L174" s="1677">
        <f>SUM(L160,L172,L173)</f>
        <v>164600</v>
      </c>
    </row>
    <row r="175" spans="1:14" ht="13.5" thickTop="1" x14ac:dyDescent="0.2">
      <c r="A175" s="2185" t="s">
        <v>996</v>
      </c>
      <c r="B175" s="2186"/>
      <c r="C175" s="616"/>
      <c r="D175" s="616"/>
      <c r="E175" s="616"/>
      <c r="F175" s="616"/>
      <c r="G175" s="616"/>
      <c r="H175" s="618"/>
      <c r="I175" s="616"/>
      <c r="J175" s="616"/>
      <c r="K175" s="1684">
        <f>'Revenues 9-14'!E268-'Expenditures 15-22'!K174</f>
        <v>-921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173864</v>
      </c>
      <c r="D182" s="466"/>
      <c r="E182" s="466">
        <v>118988</v>
      </c>
      <c r="F182" s="466">
        <v>38934</v>
      </c>
      <c r="G182" s="466"/>
      <c r="H182" s="466"/>
      <c r="I182" s="467"/>
      <c r="J182" s="467"/>
      <c r="K182" s="1671">
        <f>SUM(C182:J182)</f>
        <v>331786</v>
      </c>
      <c r="L182" s="466">
        <v>341334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173864</v>
      </c>
      <c r="D184" s="1677">
        <f t="shared" ref="D184:J184" si="17">SUM(D180,D182,D183)</f>
        <v>0</v>
      </c>
      <c r="E184" s="1677">
        <f t="shared" si="17"/>
        <v>118988</v>
      </c>
      <c r="F184" s="1677">
        <f t="shared" si="17"/>
        <v>38934</v>
      </c>
      <c r="G184" s="1677">
        <f t="shared" si="17"/>
        <v>0</v>
      </c>
      <c r="H184" s="1677">
        <f t="shared" si="17"/>
        <v>0</v>
      </c>
      <c r="I184" s="1677">
        <f t="shared" si="17"/>
        <v>0</v>
      </c>
      <c r="J184" s="1677">
        <f t="shared" si="17"/>
        <v>0</v>
      </c>
      <c r="K184" s="1677">
        <f>SUM(K180,K182,K183)</f>
        <v>331786</v>
      </c>
      <c r="L184" s="1677">
        <f>SUM(L180, L182:L183)</f>
        <v>341334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173864</v>
      </c>
      <c r="D210" s="1670">
        <f>SUM(D184,D185)</f>
        <v>0</v>
      </c>
      <c r="E210" s="1670">
        <f>SUM(E184,E185,E196)</f>
        <v>118988</v>
      </c>
      <c r="F210" s="1670">
        <f>SUM(F184,F185)</f>
        <v>38934</v>
      </c>
      <c r="G210" s="1670">
        <f>SUM(G184,G185)</f>
        <v>0</v>
      </c>
      <c r="H210" s="1670">
        <f>SUM(H184,H185,H196,H208,H209)</f>
        <v>0</v>
      </c>
      <c r="I210" s="1670">
        <f>SUM(I184,I185)</f>
        <v>0</v>
      </c>
      <c r="J210" s="1670">
        <f>SUM(J184,J185)</f>
        <v>0</v>
      </c>
      <c r="K210" s="1671">
        <f>SUM(K184,K185,K196,K208,K209)</f>
        <v>331786</v>
      </c>
      <c r="L210" s="1670">
        <f>SUM(L184,L185,L196,L208,L209)</f>
        <v>341334</v>
      </c>
    </row>
    <row r="211" spans="1:14" ht="13.5" thickTop="1" x14ac:dyDescent="0.2">
      <c r="A211" s="2185" t="s">
        <v>996</v>
      </c>
      <c r="B211" s="2186"/>
      <c r="C211" s="618"/>
      <c r="D211" s="618"/>
      <c r="E211" s="618"/>
      <c r="F211" s="618"/>
      <c r="G211" s="618"/>
      <c r="H211" s="618"/>
      <c r="I211" s="616"/>
      <c r="J211" s="616"/>
      <c r="K211" s="1684">
        <f>'Revenues 9-14'!F268-'Expenditures 15-22'!K210</f>
        <v>25749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11728</v>
      </c>
      <c r="E215" s="616"/>
      <c r="F215" s="616"/>
      <c r="G215" s="616"/>
      <c r="H215" s="616"/>
      <c r="I215" s="616"/>
      <c r="J215" s="616"/>
      <c r="K215" s="1671">
        <f>D215</f>
        <v>11728</v>
      </c>
      <c r="L215" s="466">
        <v>12500</v>
      </c>
    </row>
    <row r="216" spans="1:14" x14ac:dyDescent="0.2">
      <c r="A216" s="1504" t="s">
        <v>163</v>
      </c>
      <c r="B216" s="614" t="s">
        <v>967</v>
      </c>
      <c r="C216" s="616"/>
      <c r="D216" s="467"/>
      <c r="E216" s="616"/>
      <c r="F216" s="616"/>
      <c r="G216" s="616"/>
      <c r="H216" s="616"/>
      <c r="I216" s="616"/>
      <c r="J216" s="616"/>
      <c r="K216" s="1671">
        <f t="shared" ref="K216:K228" si="19">D216</f>
        <v>0</v>
      </c>
      <c r="L216" s="466">
        <v>510</v>
      </c>
    </row>
    <row r="217" spans="1:14" x14ac:dyDescent="0.2">
      <c r="A217" s="1504" t="s">
        <v>164</v>
      </c>
      <c r="B217" s="614">
        <v>1200</v>
      </c>
      <c r="C217" s="616"/>
      <c r="D217" s="466">
        <v>5387</v>
      </c>
      <c r="E217" s="616"/>
      <c r="F217" s="616"/>
      <c r="G217" s="616"/>
      <c r="H217" s="616"/>
      <c r="I217" s="616"/>
      <c r="J217" s="616"/>
      <c r="K217" s="1671">
        <f t="shared" si="19"/>
        <v>5387</v>
      </c>
      <c r="L217" s="466">
        <v>5182</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2465</v>
      </c>
      <c r="E222" s="616"/>
      <c r="F222" s="616"/>
      <c r="G222" s="616"/>
      <c r="H222" s="616"/>
      <c r="I222" s="616"/>
      <c r="J222" s="616"/>
      <c r="K222" s="1671">
        <f t="shared" si="19"/>
        <v>2465</v>
      </c>
      <c r="L222" s="466">
        <v>2807</v>
      </c>
    </row>
    <row r="223" spans="1:14" x14ac:dyDescent="0.2">
      <c r="A223" s="1504" t="s">
        <v>963</v>
      </c>
      <c r="B223" s="614">
        <v>1500</v>
      </c>
      <c r="C223" s="616"/>
      <c r="D223" s="466">
        <v>5387</v>
      </c>
      <c r="E223" s="616"/>
      <c r="F223" s="616"/>
      <c r="G223" s="616"/>
      <c r="H223" s="616"/>
      <c r="I223" s="616"/>
      <c r="J223" s="616"/>
      <c r="K223" s="1671">
        <f t="shared" si="19"/>
        <v>5387</v>
      </c>
      <c r="L223" s="466">
        <v>4600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357</v>
      </c>
      <c r="E226" s="616"/>
      <c r="F226" s="616"/>
      <c r="G226" s="616"/>
      <c r="H226" s="616"/>
      <c r="I226" s="616"/>
      <c r="J226" s="616"/>
      <c r="K226" s="1671">
        <f t="shared" si="19"/>
        <v>357</v>
      </c>
      <c r="L226" s="466">
        <v>400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25324</v>
      </c>
      <c r="E229" s="616"/>
      <c r="F229" s="616"/>
      <c r="G229" s="616"/>
      <c r="H229" s="616"/>
      <c r="I229" s="616"/>
      <c r="J229" s="616"/>
      <c r="K229" s="1670">
        <f>SUM(K215:K228)</f>
        <v>25324</v>
      </c>
      <c r="L229" s="1670">
        <f>SUM(L215:L228)</f>
        <v>26099</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4183</v>
      </c>
      <c r="E233" s="616"/>
      <c r="F233" s="616"/>
      <c r="G233" s="616"/>
      <c r="H233" s="616"/>
      <c r="I233" s="616"/>
      <c r="J233" s="616"/>
      <c r="K233" s="1671">
        <f t="shared" si="20"/>
        <v>4183</v>
      </c>
      <c r="L233" s="466">
        <v>4300</v>
      </c>
    </row>
    <row r="234" spans="1:12" x14ac:dyDescent="0.2">
      <c r="A234" s="1504" t="s">
        <v>198</v>
      </c>
      <c r="B234" s="614">
        <v>2130</v>
      </c>
      <c r="C234" s="616"/>
      <c r="D234" s="466">
        <v>975</v>
      </c>
      <c r="E234" s="616"/>
      <c r="F234" s="616"/>
      <c r="G234" s="616"/>
      <c r="H234" s="616"/>
      <c r="I234" s="616"/>
      <c r="J234" s="616"/>
      <c r="K234" s="1671">
        <f t="shared" si="20"/>
        <v>975</v>
      </c>
      <c r="L234" s="466">
        <v>750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5158</v>
      </c>
      <c r="E238" s="616"/>
      <c r="F238" s="616"/>
      <c r="G238" s="616"/>
      <c r="H238" s="616"/>
      <c r="I238" s="616"/>
      <c r="J238" s="616"/>
      <c r="K238" s="1670">
        <f>SUM(K232:K237)</f>
        <v>5158</v>
      </c>
      <c r="L238" s="1670">
        <f>SUM(L232:L237)</f>
        <v>5050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13</v>
      </c>
      <c r="E240" s="616"/>
      <c r="F240" s="616"/>
      <c r="G240" s="616"/>
      <c r="H240" s="616"/>
      <c r="I240" s="616"/>
      <c r="J240" s="616"/>
      <c r="K240" s="1672">
        <f>D240</f>
        <v>13</v>
      </c>
      <c r="L240" s="481">
        <v>250</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13</v>
      </c>
      <c r="E243" s="616"/>
      <c r="F243" s="616"/>
      <c r="G243" s="616"/>
      <c r="H243" s="616"/>
      <c r="I243" s="616"/>
      <c r="J243" s="616"/>
      <c r="K243" s="1670">
        <f>SUM(K240:K242)</f>
        <v>13</v>
      </c>
      <c r="L243" s="1670">
        <f>SUM(L240:L242)</f>
        <v>250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35</v>
      </c>
    </row>
    <row r="246" spans="1:12" x14ac:dyDescent="0.2">
      <c r="A246" s="1504" t="s">
        <v>818</v>
      </c>
      <c r="B246" s="614">
        <v>2320</v>
      </c>
      <c r="C246" s="616"/>
      <c r="D246" s="466">
        <v>290</v>
      </c>
      <c r="E246" s="616"/>
      <c r="F246" s="616"/>
      <c r="G246" s="616"/>
      <c r="H246" s="616"/>
      <c r="I246" s="616"/>
      <c r="J246" s="616"/>
      <c r="K246" s="1672">
        <f t="shared" ref="K246:K256" si="21">D246</f>
        <v>290</v>
      </c>
      <c r="L246" s="466">
        <v>330</v>
      </c>
    </row>
    <row r="247" spans="1:12" x14ac:dyDescent="0.2">
      <c r="A247" s="1504" t="s">
        <v>819</v>
      </c>
      <c r="B247" s="614">
        <v>2330</v>
      </c>
      <c r="C247" s="616"/>
      <c r="D247" s="466">
        <v>7043</v>
      </c>
      <c r="E247" s="616"/>
      <c r="F247" s="616"/>
      <c r="G247" s="616"/>
      <c r="H247" s="616"/>
      <c r="I247" s="616"/>
      <c r="J247" s="616"/>
      <c r="K247" s="1672">
        <f t="shared" si="21"/>
        <v>7043</v>
      </c>
      <c r="L247" s="466">
        <v>9078</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10070</v>
      </c>
      <c r="E254" s="616"/>
      <c r="F254" s="616"/>
      <c r="G254" s="616"/>
      <c r="H254" s="616"/>
      <c r="I254" s="616"/>
      <c r="J254" s="616"/>
      <c r="K254" s="1672">
        <f t="shared" si="21"/>
        <v>10070</v>
      </c>
      <c r="L254" s="466">
        <v>10825</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17403</v>
      </c>
      <c r="E257" s="616"/>
      <c r="F257" s="616"/>
      <c r="G257" s="616"/>
      <c r="H257" s="616"/>
      <c r="I257" s="616"/>
      <c r="J257" s="616"/>
      <c r="K257" s="1670">
        <f>SUM(K245:K256)</f>
        <v>17403</v>
      </c>
      <c r="L257" s="1670">
        <f>SUM(L245:L256)</f>
        <v>20268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7105</v>
      </c>
      <c r="E259" s="616"/>
      <c r="F259" s="616"/>
      <c r="G259" s="616"/>
      <c r="H259" s="616"/>
      <c r="I259" s="616"/>
      <c r="J259" s="616"/>
      <c r="K259" s="1672">
        <f>D259</f>
        <v>7105</v>
      </c>
      <c r="L259" s="481">
        <v>7300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7105</v>
      </c>
      <c r="E261" s="616"/>
      <c r="F261" s="616"/>
      <c r="G261" s="616"/>
      <c r="H261" s="616"/>
      <c r="I261" s="616"/>
      <c r="J261" s="616"/>
      <c r="K261" s="1670">
        <f>SUM(K259:K260)</f>
        <v>7105</v>
      </c>
      <c r="L261" s="1670">
        <f>SUM(L259:L260)</f>
        <v>7300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7156</v>
      </c>
      <c r="E264" s="616"/>
      <c r="F264" s="616"/>
      <c r="G264" s="616"/>
      <c r="H264" s="616"/>
      <c r="I264" s="616"/>
      <c r="J264" s="616"/>
      <c r="K264" s="1672">
        <f t="shared" ref="K264:K269" si="22">D264</f>
        <v>7156</v>
      </c>
      <c r="L264" s="466">
        <v>7900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29670</v>
      </c>
      <c r="E266" s="616"/>
      <c r="F266" s="616"/>
      <c r="G266" s="616"/>
      <c r="H266" s="616"/>
      <c r="I266" s="616"/>
      <c r="J266" s="616"/>
      <c r="K266" s="1672">
        <f t="shared" si="22"/>
        <v>29670</v>
      </c>
      <c r="L266" s="466">
        <v>28850</v>
      </c>
    </row>
    <row r="267" spans="1:14" x14ac:dyDescent="0.2">
      <c r="A267" s="1504" t="s">
        <v>953</v>
      </c>
      <c r="B267" s="614">
        <v>2550</v>
      </c>
      <c r="C267" s="616"/>
      <c r="D267" s="466">
        <v>31339</v>
      </c>
      <c r="E267" s="616"/>
      <c r="F267" s="616"/>
      <c r="G267" s="616"/>
      <c r="H267" s="616"/>
      <c r="I267" s="616"/>
      <c r="J267" s="616"/>
      <c r="K267" s="1672">
        <f t="shared" si="22"/>
        <v>31339</v>
      </c>
      <c r="L267" s="466">
        <v>39710</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68165</v>
      </c>
      <c r="E270" s="616"/>
      <c r="F270" s="616"/>
      <c r="G270" s="616"/>
      <c r="H270" s="616"/>
      <c r="I270" s="616"/>
      <c r="J270" s="616"/>
      <c r="K270" s="1670">
        <f>SUM(K263:K269)</f>
        <v>68165</v>
      </c>
      <c r="L270" s="1670">
        <f>SUM(L263:L269)</f>
        <v>76460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97844</v>
      </c>
      <c r="E279" s="616"/>
      <c r="F279" s="616"/>
      <c r="G279" s="616"/>
      <c r="H279" s="616"/>
      <c r="I279" s="616"/>
      <c r="J279" s="616"/>
      <c r="K279" s="1677">
        <f>SUM(K238,K243,K257,K261,K270,K277,K278)</f>
        <v>97844</v>
      </c>
      <c r="L279" s="1677">
        <f>SUM(L238,L243,L257,L261,L270,L277,L278)</f>
        <v>109328</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123168</v>
      </c>
      <c r="E295" s="616"/>
      <c r="F295" s="616"/>
      <c r="G295" s="616"/>
      <c r="H295" s="1670">
        <f>H293</f>
        <v>0</v>
      </c>
      <c r="I295" s="616"/>
      <c r="J295" s="616"/>
      <c r="K295" s="1670">
        <f>SUM(K229,K279,K280,K285,K293,K294)</f>
        <v>123168</v>
      </c>
      <c r="L295" s="1670">
        <f>SUM(L229,L279,L280,L285,L293,L294)</f>
        <v>135427</v>
      </c>
    </row>
    <row r="296" spans="1:14" ht="13.5" thickTop="1" x14ac:dyDescent="0.2">
      <c r="A296" s="2185" t="s">
        <v>996</v>
      </c>
      <c r="B296" s="2186"/>
      <c r="C296" s="616"/>
      <c r="D296" s="618"/>
      <c r="E296" s="616"/>
      <c r="F296" s="616"/>
      <c r="G296" s="616"/>
      <c r="H296" s="687"/>
      <c r="I296" s="616"/>
      <c r="J296" s="616"/>
      <c r="K296" s="1684">
        <f>'Revenues 9-14'!G268-'Expenditures 15-22'!K295</f>
        <v>14050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33236</v>
      </c>
      <c r="F320" s="467"/>
      <c r="G320" s="467"/>
      <c r="H320" s="467"/>
      <c r="I320" s="467"/>
      <c r="J320" s="467"/>
      <c r="K320" s="1671">
        <f t="shared" ref="K320:K327" si="24">SUM(C320:J320)</f>
        <v>33236</v>
      </c>
      <c r="L320" s="467">
        <v>33500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37522</v>
      </c>
      <c r="F322" s="467"/>
      <c r="G322" s="467"/>
      <c r="H322" s="467"/>
      <c r="I322" s="467"/>
      <c r="J322" s="467"/>
      <c r="K322" s="1671">
        <f t="shared" si="24"/>
        <v>37522</v>
      </c>
      <c r="L322" s="467">
        <v>38750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136687</v>
      </c>
      <c r="D325" s="467"/>
      <c r="E325" s="467">
        <v>7950</v>
      </c>
      <c r="F325" s="467"/>
      <c r="G325" s="467"/>
      <c r="H325" s="467"/>
      <c r="I325" s="467"/>
      <c r="J325" s="467"/>
      <c r="K325" s="1671">
        <f t="shared" si="24"/>
        <v>144637</v>
      </c>
      <c r="L325" s="467">
        <f>138097+11810</f>
        <v>149907</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136687</v>
      </c>
      <c r="D330" s="1670">
        <f t="shared" ref="D330:J330" si="25">SUM(D319:D329)</f>
        <v>0</v>
      </c>
      <c r="E330" s="1670">
        <f t="shared" si="25"/>
        <v>78708</v>
      </c>
      <c r="F330" s="1670">
        <f t="shared" si="25"/>
        <v>0</v>
      </c>
      <c r="G330" s="1670">
        <f t="shared" si="25"/>
        <v>0</v>
      </c>
      <c r="H330" s="1670">
        <f t="shared" si="25"/>
        <v>0</v>
      </c>
      <c r="I330" s="1670">
        <f t="shared" si="25"/>
        <v>0</v>
      </c>
      <c r="J330" s="1670">
        <f t="shared" si="25"/>
        <v>0</v>
      </c>
      <c r="K330" s="1670">
        <f>SUM(K319:K329)</f>
        <v>215395</v>
      </c>
      <c r="L330" s="1670">
        <f>SUM(L319:L329)</f>
        <v>222157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136687</v>
      </c>
      <c r="D342" s="1670">
        <f>SUM(D330)</f>
        <v>0</v>
      </c>
      <c r="E342" s="1670">
        <f>SUM(E330)</f>
        <v>78708</v>
      </c>
      <c r="F342" s="1670">
        <f>SUM(F330)</f>
        <v>0</v>
      </c>
      <c r="G342" s="1670">
        <f>SUM(G330)</f>
        <v>0</v>
      </c>
      <c r="H342" s="1670">
        <f>SUM(H330,H334,H340)</f>
        <v>0</v>
      </c>
      <c r="I342" s="1670">
        <f>SUM(I330)</f>
        <v>0</v>
      </c>
      <c r="J342" s="1670">
        <f>SUM(J330)</f>
        <v>0</v>
      </c>
      <c r="K342" s="1670">
        <f>SUM(K330,K334,K340)</f>
        <v>215395</v>
      </c>
      <c r="L342" s="1677">
        <f>SUM(L330,L340,L341)</f>
        <v>222157</v>
      </c>
    </row>
    <row r="343" spans="1:14" ht="12.75" customHeight="1" thickTop="1" x14ac:dyDescent="0.2">
      <c r="A343" s="2171" t="s">
        <v>996</v>
      </c>
      <c r="B343" s="2172"/>
      <c r="C343" s="616"/>
      <c r="D343" s="616"/>
      <c r="E343" s="616"/>
      <c r="F343" s="616"/>
      <c r="G343" s="616"/>
      <c r="H343" s="616"/>
      <c r="I343" s="616"/>
      <c r="J343" s="616"/>
      <c r="K343" s="1684">
        <f>'Revenues 9-14'!J268-'Expenditures 15-22'!K342</f>
        <v>-26295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103803</v>
      </c>
      <c r="F348" s="466"/>
      <c r="G348" s="466"/>
      <c r="H348" s="466"/>
      <c r="I348" s="467"/>
      <c r="J348" s="467"/>
      <c r="K348" s="1671">
        <f>SUM(C348:J348)</f>
        <v>103803</v>
      </c>
      <c r="L348" s="466">
        <v>134500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103803</v>
      </c>
      <c r="F350" s="1670">
        <f t="shared" si="26"/>
        <v>0</v>
      </c>
      <c r="G350" s="1670">
        <f t="shared" si="26"/>
        <v>0</v>
      </c>
      <c r="H350" s="1670">
        <f t="shared" si="26"/>
        <v>0</v>
      </c>
      <c r="I350" s="1670">
        <f t="shared" si="26"/>
        <v>0</v>
      </c>
      <c r="J350" s="1670">
        <f t="shared" si="26"/>
        <v>0</v>
      </c>
      <c r="K350" s="1670">
        <f t="shared" si="26"/>
        <v>103803</v>
      </c>
      <c r="L350" s="1670">
        <f t="shared" si="26"/>
        <v>134500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103803</v>
      </c>
      <c r="F352" s="1670">
        <f t="shared" si="27"/>
        <v>0</v>
      </c>
      <c r="G352" s="1670">
        <f t="shared" si="27"/>
        <v>0</v>
      </c>
      <c r="H352" s="1670">
        <f t="shared" si="27"/>
        <v>0</v>
      </c>
      <c r="I352" s="1670">
        <f t="shared" si="27"/>
        <v>0</v>
      </c>
      <c r="J352" s="1670">
        <f t="shared" si="27"/>
        <v>0</v>
      </c>
      <c r="K352" s="1670">
        <f t="shared" si="27"/>
        <v>103803</v>
      </c>
      <c r="L352" s="1670">
        <f t="shared" si="27"/>
        <v>134500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103803</v>
      </c>
      <c r="F367" s="1670">
        <f t="shared" si="28"/>
        <v>0</v>
      </c>
      <c r="G367" s="1670">
        <f t="shared" si="28"/>
        <v>0</v>
      </c>
      <c r="H367" s="1670">
        <f t="shared" si="28"/>
        <v>0</v>
      </c>
      <c r="I367" s="1670">
        <f t="shared" si="28"/>
        <v>0</v>
      </c>
      <c r="J367" s="1670">
        <f t="shared" si="28"/>
        <v>0</v>
      </c>
      <c r="K367" s="1670">
        <f t="shared" si="28"/>
        <v>103803</v>
      </c>
      <c r="L367" s="1670">
        <f t="shared" si="28"/>
        <v>134500</v>
      </c>
    </row>
    <row r="368" spans="1:14" ht="13.5" thickTop="1" x14ac:dyDescent="0.2">
      <c r="A368" s="2185" t="s">
        <v>996</v>
      </c>
      <c r="B368" s="2186"/>
      <c r="C368" s="654"/>
      <c r="D368" s="654"/>
      <c r="E368" s="626"/>
      <c r="F368" s="626"/>
      <c r="G368" s="626"/>
      <c r="H368" s="626"/>
      <c r="I368" s="626"/>
      <c r="J368" s="623"/>
      <c r="K368" s="1671">
        <f>'Revenues 9-14'!K268-'Expenditures 15-22'!K367</f>
        <v>-47164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1882748</v>
      </c>
      <c r="C4" s="1524">
        <v>990810</v>
      </c>
      <c r="D4" s="1752">
        <f>B4-C4</f>
        <v>891938</v>
      </c>
      <c r="E4" s="1524">
        <v>1929951</v>
      </c>
      <c r="F4" s="1752">
        <f>E4-C4</f>
        <v>939141</v>
      </c>
    </row>
    <row r="5" spans="1:6" ht="13.7" customHeight="1" x14ac:dyDescent="0.2">
      <c r="A5" s="715" t="s">
        <v>870</v>
      </c>
      <c r="B5" s="1750">
        <f>'Revenues 9-14'!D5</f>
        <v>281851</v>
      </c>
      <c r="C5" s="585">
        <v>148326</v>
      </c>
      <c r="D5" s="1753">
        <f t="shared" ref="D5:D18" si="0">B5-C5</f>
        <v>133525</v>
      </c>
      <c r="E5" s="585">
        <v>288919</v>
      </c>
      <c r="F5" s="1753">
        <f>E5-C5</f>
        <v>140593</v>
      </c>
    </row>
    <row r="6" spans="1:6" ht="13.7" customHeight="1" x14ac:dyDescent="0.2">
      <c r="A6" s="715" t="s">
        <v>411</v>
      </c>
      <c r="B6" s="1750">
        <f>'Revenues 9-14'!E5</f>
        <v>163679</v>
      </c>
      <c r="C6" s="585">
        <v>85341</v>
      </c>
      <c r="D6" s="1753">
        <f t="shared" si="0"/>
        <v>78338</v>
      </c>
      <c r="E6" s="585">
        <v>166231</v>
      </c>
      <c r="F6" s="1753">
        <f t="shared" ref="F6:F18" si="1">E6-C6</f>
        <v>80890</v>
      </c>
    </row>
    <row r="7" spans="1:6" ht="13.7" customHeight="1" x14ac:dyDescent="0.2">
      <c r="A7" s="715" t="s">
        <v>155</v>
      </c>
      <c r="B7" s="1750">
        <f>'Revenues 9-14'!F5</f>
        <v>135286</v>
      </c>
      <c r="C7" s="585">
        <v>71195</v>
      </c>
      <c r="D7" s="1753">
        <f t="shared" si="0"/>
        <v>64091</v>
      </c>
      <c r="E7" s="585">
        <v>138678</v>
      </c>
      <c r="F7" s="1753">
        <f t="shared" si="1"/>
        <v>67483</v>
      </c>
    </row>
    <row r="8" spans="1:6" ht="13.7" customHeight="1" x14ac:dyDescent="0.2">
      <c r="A8" s="715" t="s">
        <v>1179</v>
      </c>
      <c r="B8" s="1750">
        <f>'Revenues 9-14'!G5</f>
        <v>64565</v>
      </c>
      <c r="C8" s="585">
        <v>34394</v>
      </c>
      <c r="D8" s="1753">
        <f t="shared" si="0"/>
        <v>30171</v>
      </c>
      <c r="E8" s="585">
        <v>66996</v>
      </c>
      <c r="F8" s="1753">
        <f t="shared" si="1"/>
        <v>32602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56375</v>
      </c>
      <c r="C10" s="585">
        <v>29670</v>
      </c>
      <c r="D10" s="1753">
        <f t="shared" si="0"/>
        <v>26705</v>
      </c>
      <c r="E10" s="585">
        <v>57793</v>
      </c>
      <c r="F10" s="1753">
        <f t="shared" si="1"/>
        <v>28123</v>
      </c>
    </row>
    <row r="11" spans="1:6" x14ac:dyDescent="0.2">
      <c r="A11" s="715" t="s">
        <v>409</v>
      </c>
      <c r="B11" s="1750">
        <f>'Revenues 9-14'!J5</f>
        <v>187517</v>
      </c>
      <c r="C11" s="585">
        <v>97016</v>
      </c>
      <c r="D11" s="1753">
        <f t="shared" si="0"/>
        <v>90501</v>
      </c>
      <c r="E11" s="585">
        <v>188975</v>
      </c>
      <c r="F11" s="1753">
        <f t="shared" si="1"/>
        <v>91959</v>
      </c>
    </row>
    <row r="12" spans="1:6" ht="13.7" customHeight="1" x14ac:dyDescent="0.2">
      <c r="A12" s="715" t="s">
        <v>157</v>
      </c>
      <c r="B12" s="1750">
        <f>'Revenues 9-14'!K5</f>
        <v>56375</v>
      </c>
      <c r="C12" s="585">
        <v>29670</v>
      </c>
      <c r="D12" s="1753">
        <f t="shared" si="0"/>
        <v>26705</v>
      </c>
      <c r="E12" s="585">
        <v>57793</v>
      </c>
      <c r="F12" s="1753">
        <f t="shared" si="1"/>
        <v>28123</v>
      </c>
    </row>
    <row r="13" spans="1:6" ht="13.7" customHeight="1" x14ac:dyDescent="0.2">
      <c r="A13" s="715" t="s">
        <v>936</v>
      </c>
      <c r="B13" s="1750">
        <f>SUM('Revenues 9-14'!C6:D6)</f>
        <v>53612</v>
      </c>
      <c r="C13" s="585">
        <v>29670</v>
      </c>
      <c r="D13" s="1753">
        <f t="shared" si="0"/>
        <v>23942</v>
      </c>
      <c r="E13" s="585">
        <v>57793</v>
      </c>
      <c r="F13" s="1753">
        <f t="shared" si="1"/>
        <v>28123</v>
      </c>
    </row>
    <row r="14" spans="1:6" ht="13.7" customHeight="1" x14ac:dyDescent="0.2">
      <c r="A14" s="715" t="s">
        <v>410</v>
      </c>
      <c r="B14" s="1750">
        <f>SUM('Revenues 9-14'!C7:D7,'Revenues 9-14'!F7:H7)</f>
        <v>22548</v>
      </c>
      <c r="C14" s="585">
        <v>11866</v>
      </c>
      <c r="D14" s="1753">
        <f t="shared" si="0"/>
        <v>10682</v>
      </c>
      <c r="E14" s="585">
        <v>23116</v>
      </c>
      <c r="F14" s="1753">
        <f t="shared" si="1"/>
        <v>11250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58270</v>
      </c>
      <c r="C16" s="585">
        <v>33369</v>
      </c>
      <c r="D16" s="1753">
        <f t="shared" si="0"/>
        <v>24901</v>
      </c>
      <c r="E16" s="585">
        <v>64997</v>
      </c>
      <c r="F16" s="1753">
        <f t="shared" si="1"/>
        <v>31628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2962826</v>
      </c>
      <c r="C19" s="1751">
        <f>SUM(C4:C18)</f>
        <v>1561327</v>
      </c>
      <c r="D19" s="1751">
        <f>SUM(D4:D18)</f>
        <v>1401499</v>
      </c>
      <c r="E19" s="1751">
        <f>SUM(E4:E18)</f>
        <v>3041242</v>
      </c>
      <c r="F19" s="1751">
        <f>SUM(F4:F18)</f>
        <v>1479915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90" zoomScaleNormal="90" workbookViewId="0">
      <selection activeCell="B33" sqref="B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42415</v>
      </c>
      <c r="C31" s="734">
        <v>450000</v>
      </c>
      <c r="D31" s="735">
        <v>6</v>
      </c>
      <c r="E31" s="734">
        <v>160000</v>
      </c>
      <c r="F31" s="734"/>
      <c r="G31" s="734"/>
      <c r="H31" s="734">
        <v>160000</v>
      </c>
      <c r="I31" s="1756">
        <f>((E31+F31)-H31)+G31</f>
        <v>0</v>
      </c>
      <c r="J31" s="734"/>
      <c r="K31" s="736"/>
    </row>
    <row r="32" spans="1:11" ht="12" customHeight="1" x14ac:dyDescent="0.2">
      <c r="A32" s="732" t="s">
        <v>2083</v>
      </c>
      <c r="B32" s="733">
        <v>43503</v>
      </c>
      <c r="C32" s="734">
        <v>600000</v>
      </c>
      <c r="D32" s="735">
        <v>6</v>
      </c>
      <c r="E32" s="734"/>
      <c r="F32" s="734">
        <v>600000</v>
      </c>
      <c r="G32" s="734"/>
      <c r="H32" s="734"/>
      <c r="I32" s="1756">
        <f>((E32+F32)-H32)+G32</f>
        <v>600000</v>
      </c>
      <c r="J32" s="734">
        <f>600000-88077</f>
        <v>511923</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1050000</v>
      </c>
      <c r="D49" s="745"/>
      <c r="E49" s="1756">
        <f t="shared" ref="E49:J49" si="2">SUM(E31:E48)</f>
        <v>160000</v>
      </c>
      <c r="F49" s="1756">
        <f t="shared" si="2"/>
        <v>600000</v>
      </c>
      <c r="G49" s="1756">
        <f t="shared" si="2"/>
        <v>0</v>
      </c>
      <c r="H49" s="1756">
        <f t="shared" si="2"/>
        <v>160000</v>
      </c>
      <c r="I49" s="1756">
        <f t="shared" si="2"/>
        <v>600000</v>
      </c>
      <c r="J49" s="1756">
        <f t="shared" si="2"/>
        <v>511923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H31:H48 E31:E48 C32: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90" zoomScaleNormal="9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22548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5400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5446</v>
      </c>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22548</v>
      </c>
      <c r="I12" s="1758">
        <f>SUM(I5:I11)</f>
        <v>0</v>
      </c>
      <c r="J12" s="1758">
        <f>SUM(J5:J11)</f>
        <v>0</v>
      </c>
      <c r="K12" s="1758">
        <f>SUM(K5:K11)</f>
        <v>10846</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22548</v>
      </c>
      <c r="I14" s="771"/>
      <c r="J14" s="773"/>
      <c r="K14" s="765">
        <v>10846</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22548</v>
      </c>
      <c r="I23" s="1758">
        <f>SUM(I14:I16,I21,I22)</f>
        <v>0</v>
      </c>
      <c r="J23" s="1758">
        <f>SUM(J14:J16,J21,J22)</f>
        <v>0</v>
      </c>
      <c r="K23" s="1758">
        <f>SUM(K14:K16,K21,K22)</f>
        <v>10846</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90" zoomScaleNormal="90" workbookViewId="0">
      <selection activeCell="O12" sqref="O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177257</v>
      </c>
      <c r="D5" s="841"/>
      <c r="E5" s="841"/>
      <c r="F5" s="1760">
        <f>(C5+D5)-E5</f>
        <v>177257</v>
      </c>
      <c r="G5" s="837"/>
      <c r="H5" s="842"/>
      <c r="I5" s="842"/>
      <c r="J5" s="842"/>
      <c r="K5" s="793"/>
      <c r="L5" s="1769">
        <f>F5-K5</f>
        <v>177257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3849420</v>
      </c>
      <c r="D8" s="844">
        <v>199520</v>
      </c>
      <c r="E8" s="844"/>
      <c r="F8" s="1760">
        <f>(C8+D8)-E8</f>
        <v>4048940</v>
      </c>
      <c r="G8" s="843">
        <v>50</v>
      </c>
      <c r="H8" s="765">
        <v>1491860</v>
      </c>
      <c r="I8" s="765">
        <v>73033</v>
      </c>
      <c r="J8" s="765"/>
      <c r="K8" s="1769">
        <f>(H8+I8)-J8</f>
        <v>1564893</v>
      </c>
      <c r="L8" s="1769">
        <f>F8-K8</f>
        <v>2484047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352375</v>
      </c>
      <c r="D10" s="846"/>
      <c r="E10" s="846"/>
      <c r="F10" s="1764">
        <f>(C10+D10)-E10</f>
        <v>352375</v>
      </c>
      <c r="G10" s="843">
        <v>20</v>
      </c>
      <c r="H10" s="847">
        <v>257747</v>
      </c>
      <c r="I10" s="847">
        <v>10848</v>
      </c>
      <c r="J10" s="847"/>
      <c r="K10" s="1769">
        <f>(H10+I10)-J10</f>
        <v>268595</v>
      </c>
      <c r="L10" s="1769">
        <f>F10-K10</f>
        <v>83780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778975</v>
      </c>
      <c r="D12" s="844">
        <f>120248+9580</f>
        <v>129828</v>
      </c>
      <c r="E12" s="844"/>
      <c r="F12" s="1760">
        <f>(C12+D12)-E12</f>
        <v>908803</v>
      </c>
      <c r="G12" s="843">
        <v>10</v>
      </c>
      <c r="H12" s="765">
        <v>534967</v>
      </c>
      <c r="I12" s="765">
        <f>78980-2175</f>
        <v>76805</v>
      </c>
      <c r="J12" s="765"/>
      <c r="K12" s="1769">
        <f>(H12+I12)-J12</f>
        <v>611772</v>
      </c>
      <c r="L12" s="1769">
        <f>F12-K12</f>
        <v>297031</v>
      </c>
    </row>
    <row r="13" spans="1:14" ht="14.25" thickTop="1" thickBot="1" x14ac:dyDescent="0.25">
      <c r="A13" s="848" t="s">
        <v>1122</v>
      </c>
      <c r="B13" s="840">
        <v>252</v>
      </c>
      <c r="C13" s="844">
        <v>9756</v>
      </c>
      <c r="D13" s="844">
        <f>15408-9580</f>
        <v>5828</v>
      </c>
      <c r="E13" s="844"/>
      <c r="F13" s="1760">
        <f>(C13+D13)-E13</f>
        <v>15584</v>
      </c>
      <c r="G13" s="843">
        <v>5</v>
      </c>
      <c r="H13" s="765">
        <v>9756</v>
      </c>
      <c r="I13" s="765">
        <v>2175</v>
      </c>
      <c r="J13" s="765"/>
      <c r="K13" s="1769">
        <f>(H13+I13)-J13</f>
        <v>11931</v>
      </c>
      <c r="L13" s="1769">
        <f>F13-K13</f>
        <v>3653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5167783</v>
      </c>
      <c r="D16" s="1760">
        <f>SUM(D3,D5:D6,D8:D10,D12:D15)</f>
        <v>335176</v>
      </c>
      <c r="E16" s="1760">
        <f>SUM(E3,E5:E6,E8:E10,E12:E15)</f>
        <v>0</v>
      </c>
      <c r="F16" s="1760">
        <f>SUM(F3,F5:F6,F8:F10,F12:F15)</f>
        <v>5502959</v>
      </c>
      <c r="G16" s="843"/>
      <c r="H16" s="1760">
        <f>SUM(H3,H6,H8:H10,H12:H14,)</f>
        <v>2294330</v>
      </c>
      <c r="I16" s="1760">
        <f>SUM(I3,I6,I8:I10,I12:I14,)</f>
        <v>162861</v>
      </c>
      <c r="J16" s="1760">
        <f>SUM(J3,J6,J8:J10,J12:J14,)</f>
        <v>0</v>
      </c>
      <c r="K16" s="1760">
        <f>(H16+I16)-J16</f>
        <v>2457191</v>
      </c>
      <c r="L16" s="1760">
        <f>F16-K16</f>
        <v>3045768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162861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2415708</v>
      </c>
      <c r="G8" s="865"/>
    </row>
    <row r="9" spans="1:7" x14ac:dyDescent="0.2">
      <c r="A9" s="869" t="s">
        <v>460</v>
      </c>
      <c r="B9" s="870" t="s">
        <v>1876</v>
      </c>
      <c r="C9" s="871"/>
      <c r="D9" s="869" t="s">
        <v>501</v>
      </c>
      <c r="E9" s="868"/>
      <c r="F9" s="1909">
        <f>'Expenditures 15-22'!K151</f>
        <v>484217</v>
      </c>
      <c r="G9" s="872"/>
    </row>
    <row r="10" spans="1:7" x14ac:dyDescent="0.2">
      <c r="A10" s="869" t="s">
        <v>499</v>
      </c>
      <c r="B10" s="870" t="s">
        <v>1877</v>
      </c>
      <c r="C10" s="871"/>
      <c r="D10" s="869" t="s">
        <v>501</v>
      </c>
      <c r="E10" s="868"/>
      <c r="F10" s="1909">
        <f>'Expenditures 15-22'!K174</f>
        <v>164600</v>
      </c>
      <c r="G10" s="872"/>
    </row>
    <row r="11" spans="1:7" x14ac:dyDescent="0.2">
      <c r="A11" s="869" t="s">
        <v>461</v>
      </c>
      <c r="B11" s="870" t="s">
        <v>1878</v>
      </c>
      <c r="C11" s="871"/>
      <c r="D11" s="869" t="s">
        <v>501</v>
      </c>
      <c r="E11" s="868"/>
      <c r="F11" s="1909">
        <f>'Expenditures 15-22'!K210</f>
        <v>331786</v>
      </c>
      <c r="G11" s="872"/>
    </row>
    <row r="12" spans="1:7" x14ac:dyDescent="0.2">
      <c r="A12" s="869" t="s">
        <v>462</v>
      </c>
      <c r="B12" s="870" t="s">
        <v>1879</v>
      </c>
      <c r="C12" s="871"/>
      <c r="D12" s="869" t="s">
        <v>501</v>
      </c>
      <c r="E12" s="868"/>
      <c r="F12" s="1909">
        <f>'Expenditures 15-22'!K295</f>
        <v>123168</v>
      </c>
      <c r="G12" s="872"/>
    </row>
    <row r="13" spans="1:7" x14ac:dyDescent="0.2">
      <c r="A13" s="869" t="s">
        <v>106</v>
      </c>
      <c r="B13" s="870" t="s">
        <v>1880</v>
      </c>
      <c r="C13" s="871"/>
      <c r="D13" s="869" t="s">
        <v>501</v>
      </c>
      <c r="E13" s="868"/>
      <c r="F13" s="1909">
        <f>'Expenditures 15-22'!K342</f>
        <v>215395</v>
      </c>
      <c r="G13" s="873"/>
    </row>
    <row r="14" spans="1:7" ht="12" customHeight="1" thickBot="1" x14ac:dyDescent="0.25">
      <c r="A14" s="1770"/>
      <c r="B14" s="1771"/>
      <c r="C14" s="1772"/>
      <c r="D14" s="1773" t="s">
        <v>501</v>
      </c>
      <c r="E14" s="1774" t="s">
        <v>958</v>
      </c>
      <c r="F14" s="1775">
        <f>SUM(F8:F13)</f>
        <v>3734874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115617</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297374</v>
      </c>
      <c r="G53" s="865"/>
    </row>
    <row r="54" spans="1:7" x14ac:dyDescent="0.2">
      <c r="A54" s="869" t="s">
        <v>459</v>
      </c>
      <c r="B54" s="869" t="s">
        <v>1476</v>
      </c>
      <c r="C54" s="889" t="s">
        <v>982</v>
      </c>
      <c r="D54" s="885" t="s">
        <v>1095</v>
      </c>
      <c r="E54" s="868"/>
      <c r="F54" s="1913">
        <f>'Expenditures 15-22'!G114</f>
        <v>39481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215688</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828160</v>
      </c>
      <c r="G76" s="865"/>
    </row>
    <row r="77" spans="1:8" s="893" customFormat="1" ht="12" customHeight="1" thickTop="1" thickBot="1" x14ac:dyDescent="0.25">
      <c r="A77" s="1779"/>
      <c r="B77" s="1776"/>
      <c r="C77" s="1772"/>
      <c r="D77" s="1777" t="s">
        <v>1899</v>
      </c>
      <c r="E77" s="1774"/>
      <c r="F77" s="1780">
        <f>(F14-F76)</f>
        <v>2906714</v>
      </c>
      <c r="G77" s="869"/>
    </row>
    <row r="78" spans="1:8" s="893" customFormat="1" ht="12" customHeight="1" thickTop="1" x14ac:dyDescent="0.2">
      <c r="A78" s="1781"/>
      <c r="B78" s="1776"/>
      <c r="C78" s="1772"/>
      <c r="D78" s="1777" t="s">
        <v>2060</v>
      </c>
      <c r="E78" s="1774"/>
      <c r="F78" s="898">
        <v>168</v>
      </c>
      <c r="G78" s="899"/>
      <c r="H78" s="869"/>
    </row>
    <row r="79" spans="1:8" s="893" customFormat="1" ht="12" customHeight="1" thickBot="1" x14ac:dyDescent="0.25">
      <c r="A79" s="1782"/>
      <c r="B79" s="1776"/>
      <c r="C79" s="1772"/>
      <c r="D79" s="1777" t="s">
        <v>1900</v>
      </c>
      <c r="E79" s="1774" t="s">
        <v>958</v>
      </c>
      <c r="F79" s="1783">
        <f>IF(F78&gt;0,F77/F78," Complete Line 78")</f>
        <v>17301.869047619046</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5004</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40954</v>
      </c>
      <c r="G95" s="912"/>
    </row>
    <row r="96" spans="1:7" x14ac:dyDescent="0.2">
      <c r="A96" s="908" t="s">
        <v>459</v>
      </c>
      <c r="B96" s="908" t="s">
        <v>176</v>
      </c>
      <c r="C96" s="910">
        <f>'Revenues 9-14'!B84</f>
        <v>1811</v>
      </c>
      <c r="D96" s="911" t="str">
        <f>'Revenues 9-14'!A84</f>
        <v>Rentals - Regular Textbooks</v>
      </c>
      <c r="E96" s="906"/>
      <c r="F96" s="1789">
        <f>'Revenues 9-14'!C84</f>
        <v>31706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170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52060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8383</v>
      </c>
      <c r="G103" s="912"/>
    </row>
    <row r="104" spans="1:7" x14ac:dyDescent="0.2">
      <c r="A104" s="908" t="s">
        <v>459</v>
      </c>
      <c r="B104" s="908" t="s">
        <v>808</v>
      </c>
      <c r="C104" s="910">
        <f>'Revenues 9-14'!B106</f>
        <v>1993</v>
      </c>
      <c r="D104" s="911" t="str">
        <f>'Revenues 9-14'!A106</f>
        <v>Other Local Fees (Describe &amp; Itemize)</v>
      </c>
      <c r="E104" s="906"/>
      <c r="F104" s="1789">
        <f>('Revenues 9-14'!C106)</f>
        <v>37994</v>
      </c>
      <c r="G104" s="912"/>
    </row>
    <row r="105" spans="1:7" x14ac:dyDescent="0.2">
      <c r="A105" s="908" t="s">
        <v>503</v>
      </c>
      <c r="B105" s="908" t="s">
        <v>2001</v>
      </c>
      <c r="C105" s="913">
        <v>3100</v>
      </c>
      <c r="D105" s="919" t="str">
        <f>'Revenues 9-14'!A132</f>
        <v>Total Special Education</v>
      </c>
      <c r="E105" s="906"/>
      <c r="F105" s="1789">
        <f>SUM('Revenues 9-14'!C132:D132,'Revenues 9-14'!F132)</f>
        <v>10975</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33609</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156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5446</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100979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789</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20963</v>
      </c>
      <c r="G124" s="930"/>
    </row>
    <row r="125" spans="1:7" x14ac:dyDescent="0.2">
      <c r="A125" s="927" t="s">
        <v>664</v>
      </c>
      <c r="B125" s="927" t="s">
        <v>2021</v>
      </c>
      <c r="C125" s="932">
        <v>4200</v>
      </c>
      <c r="D125" s="929" t="str">
        <f>'Revenues 9-14'!A198</f>
        <v>Total Food Service</v>
      </c>
      <c r="E125" s="906"/>
      <c r="F125" s="1789">
        <f>SUM('Revenues 9-14'!C198,'Revenues 9-14'!G198)</f>
        <v>9147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18685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11228</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3931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2449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394628</v>
      </c>
    </row>
    <row r="175" spans="1:7" ht="12" customHeight="1" x14ac:dyDescent="0.2">
      <c r="A175" s="1770"/>
      <c r="B175" s="1784"/>
      <c r="C175" s="1785"/>
      <c r="D175" s="1786" t="s">
        <v>2055</v>
      </c>
      <c r="E175" s="1787"/>
      <c r="F175" s="1789">
        <f>'PCTC-OEPP 27-28'!F77-F174</f>
        <v>2512086</v>
      </c>
    </row>
    <row r="176" spans="1:7" ht="12" customHeight="1" x14ac:dyDescent="0.2">
      <c r="A176" s="1770"/>
      <c r="B176" s="1784"/>
      <c r="C176" s="1785"/>
      <c r="D176" s="1786" t="s">
        <v>1817</v>
      </c>
      <c r="E176" s="1787"/>
      <c r="F176" s="1789">
        <f>'Cap Outlay Deprec 26'!I18</f>
        <v>162861</v>
      </c>
    </row>
    <row r="177" spans="1:7" ht="12" customHeight="1" x14ac:dyDescent="0.2">
      <c r="A177" s="1770"/>
      <c r="B177" s="1784"/>
      <c r="C177" s="1785"/>
      <c r="D177" s="1786" t="s">
        <v>2056</v>
      </c>
      <c r="E177" s="1787"/>
      <c r="F177" s="1789">
        <f>F175+F176</f>
        <v>2674947</v>
      </c>
    </row>
    <row r="178" spans="1:7" ht="12" customHeight="1" x14ac:dyDescent="0.2">
      <c r="A178" s="1770"/>
      <c r="B178" s="1790"/>
      <c r="C178" s="1785"/>
      <c r="D178" s="1786" t="str">
        <f>D78</f>
        <v>9 Month ADA from District Average Daily Attendance/Prior General State Aid Inquiry 2018-2019</v>
      </c>
      <c r="E178" s="1787"/>
      <c r="F178" s="1791">
        <f>'PCTC-OEPP 27-28'!F78</f>
        <v>168</v>
      </c>
      <c r="G178" s="930"/>
    </row>
    <row r="179" spans="1:7" ht="12" customHeight="1" thickBot="1" x14ac:dyDescent="0.25">
      <c r="A179" s="1770"/>
      <c r="B179" s="1790"/>
      <c r="C179" s="1785"/>
      <c r="D179" s="1786" t="s">
        <v>2057</v>
      </c>
      <c r="E179" s="1787" t="s">
        <v>1545</v>
      </c>
      <c r="F179" s="1792">
        <f>F177/F178</f>
        <v>15922.303571428571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B30" sqref="B3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1931</v>
      </c>
      <c r="B7" s="2281"/>
      <c r="C7" s="2281"/>
      <c r="D7" s="2281"/>
      <c r="E7" s="2281"/>
      <c r="F7" s="2281"/>
      <c r="G7" s="2282"/>
    </row>
    <row r="8" spans="1:7" ht="15.75" customHeight="1" x14ac:dyDescent="0.25">
      <c r="A8" s="2283" t="s">
        <v>1906</v>
      </c>
      <c r="B8" s="2284"/>
      <c r="C8" s="2284"/>
      <c r="D8" s="2284"/>
      <c r="E8" s="2284"/>
      <c r="F8" s="2284"/>
      <c r="G8" s="2285"/>
    </row>
    <row r="9" spans="1:7" ht="35.25" customHeight="1" x14ac:dyDescent="0.25">
      <c r="A9" s="2280" t="s">
        <v>2063</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1933</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1974</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2099</v>
      </c>
      <c r="B17" s="1940" t="s">
        <v>2102</v>
      </c>
      <c r="C17" s="1941" t="s">
        <v>2100</v>
      </c>
      <c r="D17" s="1942">
        <v>5005</v>
      </c>
      <c r="E17" s="1540">
        <f t="shared" ref="E17:E141" si="0">IF(D17&lt;=25000,D17,IF(D17&gt;25000,25000,0))</f>
        <v>5005</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5005</v>
      </c>
      <c r="G17" s="1793">
        <f>IF(F17=0,0,D17-F17)</f>
        <v>0</v>
      </c>
      <c r="H17" s="1647"/>
    </row>
    <row r="18" spans="1:8" x14ac:dyDescent="0.25">
      <c r="A18" s="1939" t="s">
        <v>2101</v>
      </c>
      <c r="B18" s="1940" t="s">
        <v>2125</v>
      </c>
      <c r="C18" s="1941" t="s">
        <v>2103</v>
      </c>
      <c r="D18" s="1942">
        <v>1337</v>
      </c>
      <c r="E18" s="1540">
        <f t="shared" ref="E18:E140" si="2">IF(D18&lt;=25000,D18,IF(D18&gt;25000,25000,0))</f>
        <v>1337</v>
      </c>
      <c r="F18" s="1932">
        <f t="shared" si="1"/>
        <v>1337</v>
      </c>
      <c r="G18" s="1793">
        <f t="shared" ref="G18:G140" si="3">IF(F18=0,0,D18-F18)</f>
        <v>0</v>
      </c>
    </row>
    <row r="19" spans="1:8" x14ac:dyDescent="0.25">
      <c r="A19" s="1939" t="s">
        <v>2104</v>
      </c>
      <c r="B19" s="1940" t="s">
        <v>2126</v>
      </c>
      <c r="C19" s="1941" t="s">
        <v>2105</v>
      </c>
      <c r="D19" s="1942">
        <v>840</v>
      </c>
      <c r="E19" s="1540">
        <f t="shared" si="2"/>
        <v>840</v>
      </c>
      <c r="F19" s="1932">
        <f t="shared" si="1"/>
        <v>840</v>
      </c>
      <c r="G19" s="1793">
        <f t="shared" si="3"/>
        <v>0</v>
      </c>
    </row>
    <row r="20" spans="1:8" x14ac:dyDescent="0.25">
      <c r="A20" s="1939" t="s">
        <v>2099</v>
      </c>
      <c r="B20" s="1940" t="s">
        <v>2102</v>
      </c>
      <c r="C20" s="1941" t="s">
        <v>2106</v>
      </c>
      <c r="D20" s="1942">
        <v>58796</v>
      </c>
      <c r="E20" s="1540">
        <f t="shared" si="2"/>
        <v>25000</v>
      </c>
      <c r="F20" s="1932">
        <f t="shared" si="1"/>
        <v>25000</v>
      </c>
      <c r="G20" s="1793">
        <f t="shared" si="3"/>
        <v>33796</v>
      </c>
    </row>
    <row r="21" spans="1:8" x14ac:dyDescent="0.25">
      <c r="A21" s="1939" t="s">
        <v>2107</v>
      </c>
      <c r="B21" s="1940" t="s">
        <v>2126</v>
      </c>
      <c r="C21" s="1941" t="s">
        <v>2108</v>
      </c>
      <c r="D21" s="1942">
        <v>29942</v>
      </c>
      <c r="E21" s="1540">
        <f t="shared" si="2"/>
        <v>25000</v>
      </c>
      <c r="F21" s="1932">
        <f t="shared" si="1"/>
        <v>25000</v>
      </c>
      <c r="G21" s="1793">
        <f t="shared" si="3"/>
        <v>4942</v>
      </c>
    </row>
    <row r="22" spans="1:8" x14ac:dyDescent="0.25">
      <c r="A22" s="1939" t="s">
        <v>2099</v>
      </c>
      <c r="B22" s="1940" t="s">
        <v>2102</v>
      </c>
      <c r="C22" s="1941" t="s">
        <v>2109</v>
      </c>
      <c r="D22" s="1942">
        <v>2730</v>
      </c>
      <c r="E22" s="1540">
        <f t="shared" si="2"/>
        <v>2730</v>
      </c>
      <c r="F22" s="1932">
        <f t="shared" si="1"/>
        <v>2730</v>
      </c>
      <c r="G22" s="1793">
        <f t="shared" si="3"/>
        <v>0</v>
      </c>
    </row>
    <row r="23" spans="1:8" x14ac:dyDescent="0.25">
      <c r="A23" s="1939" t="s">
        <v>2110</v>
      </c>
      <c r="B23" s="1940" t="s">
        <v>2127</v>
      </c>
      <c r="C23" s="1941" t="s">
        <v>2111</v>
      </c>
      <c r="D23" s="1942">
        <v>7312</v>
      </c>
      <c r="E23" s="1540">
        <f t="shared" si="2"/>
        <v>7312</v>
      </c>
      <c r="F23" s="1932">
        <f t="shared" si="1"/>
        <v>7312</v>
      </c>
      <c r="G23" s="1793">
        <f t="shared" si="3"/>
        <v>0</v>
      </c>
    </row>
    <row r="24" spans="1:8" x14ac:dyDescent="0.25">
      <c r="A24" s="1939" t="s">
        <v>2112</v>
      </c>
      <c r="B24" s="1940" t="s">
        <v>2113</v>
      </c>
      <c r="C24" s="1941" t="s">
        <v>2114</v>
      </c>
      <c r="D24" s="1942">
        <v>2000</v>
      </c>
      <c r="E24" s="1540">
        <f t="shared" si="2"/>
        <v>2000</v>
      </c>
      <c r="F24" s="1932">
        <f t="shared" si="1"/>
        <v>2000</v>
      </c>
      <c r="G24" s="1793">
        <f t="shared" si="3"/>
        <v>0</v>
      </c>
    </row>
    <row r="25" spans="1:8" x14ac:dyDescent="0.25">
      <c r="A25" s="1939" t="s">
        <v>2115</v>
      </c>
      <c r="B25" s="1940" t="s">
        <v>2128</v>
      </c>
      <c r="C25" s="1941" t="s">
        <v>2116</v>
      </c>
      <c r="D25" s="1942">
        <v>2896</v>
      </c>
      <c r="E25" s="1540">
        <f t="shared" si="2"/>
        <v>2896</v>
      </c>
      <c r="F25" s="1932">
        <f t="shared" si="1"/>
        <v>2896</v>
      </c>
      <c r="G25" s="1793">
        <f t="shared" si="3"/>
        <v>0</v>
      </c>
    </row>
    <row r="26" spans="1:8" x14ac:dyDescent="0.25">
      <c r="A26" s="1939" t="s">
        <v>2117</v>
      </c>
      <c r="B26" s="1940" t="s">
        <v>2127</v>
      </c>
      <c r="C26" s="1941" t="s">
        <v>2118</v>
      </c>
      <c r="D26" s="1942">
        <v>9834</v>
      </c>
      <c r="E26" s="1540">
        <f t="shared" si="2"/>
        <v>9834</v>
      </c>
      <c r="F26" s="1932">
        <f t="shared" si="1"/>
        <v>9834</v>
      </c>
      <c r="G26" s="1793">
        <f t="shared" si="3"/>
        <v>0</v>
      </c>
    </row>
    <row r="27" spans="1:8" x14ac:dyDescent="0.25">
      <c r="A27" s="1939" t="s">
        <v>2119</v>
      </c>
      <c r="B27" s="1940" t="s">
        <v>2126</v>
      </c>
      <c r="C27" s="1941" t="s">
        <v>2120</v>
      </c>
      <c r="D27" s="1942">
        <v>28613</v>
      </c>
      <c r="E27" s="1540">
        <f t="shared" si="2"/>
        <v>25000</v>
      </c>
      <c r="F27" s="1932">
        <f t="shared" si="1"/>
        <v>25000</v>
      </c>
      <c r="G27" s="1793">
        <f t="shared" si="3"/>
        <v>3613</v>
      </c>
    </row>
    <row r="28" spans="1:8" x14ac:dyDescent="0.25">
      <c r="A28" s="1939" t="s">
        <v>2121</v>
      </c>
      <c r="B28" s="1940" t="s">
        <v>2122</v>
      </c>
      <c r="C28" s="1941" t="s">
        <v>2120</v>
      </c>
      <c r="D28" s="1942">
        <v>10184</v>
      </c>
      <c r="E28" s="1540">
        <f t="shared" si="2"/>
        <v>10184</v>
      </c>
      <c r="F28" s="1932">
        <f t="shared" si="1"/>
        <v>10184</v>
      </c>
      <c r="G28" s="1793">
        <f t="shared" si="3"/>
        <v>0</v>
      </c>
    </row>
    <row r="29" spans="1:8" x14ac:dyDescent="0.25">
      <c r="A29" s="1939" t="s">
        <v>2123</v>
      </c>
      <c r="B29" s="1940" t="s">
        <v>2127</v>
      </c>
      <c r="C29" s="1941" t="s">
        <v>2124</v>
      </c>
      <c r="D29" s="1942">
        <v>7950</v>
      </c>
      <c r="E29" s="1540">
        <f t="shared" si="2"/>
        <v>7950</v>
      </c>
      <c r="F29" s="1932">
        <f t="shared" si="1"/>
        <v>7950</v>
      </c>
      <c r="G29" s="1793">
        <f t="shared" si="3"/>
        <v>0</v>
      </c>
    </row>
    <row r="30" spans="1:8" x14ac:dyDescent="0.25">
      <c r="A30" s="1939"/>
      <c r="B30" s="1940"/>
      <c r="C30" s="1941"/>
      <c r="D30" s="1942"/>
      <c r="E30" s="1540">
        <f t="shared" si="2"/>
        <v>0</v>
      </c>
      <c r="F30" s="1932">
        <f t="shared" si="1"/>
        <v>0</v>
      </c>
      <c r="G30" s="1793">
        <f t="shared" si="3"/>
        <v>0</v>
      </c>
    </row>
    <row r="31" spans="1:8" x14ac:dyDescent="0.25">
      <c r="A31" s="1939"/>
      <c r="B31" s="1940"/>
      <c r="C31" s="1941"/>
      <c r="D31" s="1942"/>
      <c r="E31" s="1540">
        <f t="shared" si="2"/>
        <v>0</v>
      </c>
      <c r="F31" s="1932">
        <f t="shared" si="1"/>
        <v>0</v>
      </c>
      <c r="G31" s="1793">
        <f t="shared" si="3"/>
        <v>0</v>
      </c>
    </row>
    <row r="32" spans="1:8" x14ac:dyDescent="0.25">
      <c r="A32" s="1939"/>
      <c r="B32" s="1940"/>
      <c r="C32" s="1941"/>
      <c r="D32" s="1942"/>
      <c r="E32" s="1540">
        <f t="shared" si="2"/>
        <v>0</v>
      </c>
      <c r="F32" s="1932">
        <f t="shared" si="1"/>
        <v>0</v>
      </c>
      <c r="G32" s="1793">
        <f t="shared" si="3"/>
        <v>0</v>
      </c>
    </row>
    <row r="33" spans="1:7" x14ac:dyDescent="0.25">
      <c r="A33" s="1939"/>
      <c r="B33" s="1940"/>
      <c r="C33" s="1941"/>
      <c r="D33" s="1942"/>
      <c r="E33" s="1540">
        <f t="shared" si="2"/>
        <v>0</v>
      </c>
      <c r="F33" s="1932">
        <f t="shared" si="1"/>
        <v>0</v>
      </c>
      <c r="G33" s="1793">
        <f t="shared" si="3"/>
        <v>0</v>
      </c>
    </row>
    <row r="34" spans="1:7" x14ac:dyDescent="0.25">
      <c r="A34" s="1939"/>
      <c r="B34" s="1940"/>
      <c r="C34" s="1941"/>
      <c r="D34" s="1942"/>
      <c r="E34" s="1540">
        <f t="shared" si="2"/>
        <v>0</v>
      </c>
      <c r="F34" s="1932">
        <f t="shared" si="1"/>
        <v>0</v>
      </c>
      <c r="G34" s="1793">
        <f t="shared" si="3"/>
        <v>0</v>
      </c>
    </row>
    <row r="35" spans="1:7" x14ac:dyDescent="0.25">
      <c r="A35" s="1939"/>
      <c r="B35" s="1940"/>
      <c r="C35" s="1941"/>
      <c r="D35" s="1942"/>
      <c r="E35" s="1540">
        <f t="shared" si="2"/>
        <v>0</v>
      </c>
      <c r="F35" s="1932">
        <f t="shared" si="1"/>
        <v>0</v>
      </c>
      <c r="G35" s="1793">
        <f t="shared" si="3"/>
        <v>0</v>
      </c>
    </row>
    <row r="36" spans="1:7" x14ac:dyDescent="0.25">
      <c r="A36" s="1939"/>
      <c r="B36" s="1940"/>
      <c r="C36" s="1941"/>
      <c r="D36" s="1942"/>
      <c r="E36" s="1540">
        <f t="shared" si="2"/>
        <v>0</v>
      </c>
      <c r="F36" s="1932">
        <f t="shared" si="1"/>
        <v>0</v>
      </c>
      <c r="G36" s="1793">
        <f t="shared" si="3"/>
        <v>0</v>
      </c>
    </row>
    <row r="37" spans="1:7" x14ac:dyDescent="0.25">
      <c r="A37" s="1939"/>
      <c r="B37" s="1940"/>
      <c r="C37" s="1941"/>
      <c r="D37" s="1942"/>
      <c r="E37" s="1540">
        <f t="shared" si="2"/>
        <v>0</v>
      </c>
      <c r="F37" s="1932">
        <f t="shared" si="1"/>
        <v>0</v>
      </c>
      <c r="G37" s="1793">
        <f t="shared" si="3"/>
        <v>0</v>
      </c>
    </row>
    <row r="38" spans="1:7" x14ac:dyDescent="0.25">
      <c r="A38" s="1939"/>
      <c r="B38" s="1943"/>
      <c r="C38" s="1941"/>
      <c r="D38" s="1942"/>
      <c r="E38" s="1540">
        <f t="shared" si="2"/>
        <v>0</v>
      </c>
      <c r="F38" s="1932">
        <f t="shared" si="1"/>
        <v>0</v>
      </c>
      <c r="G38" s="1793">
        <f t="shared" si="3"/>
        <v>0</v>
      </c>
    </row>
    <row r="39" spans="1:7" x14ac:dyDescent="0.25">
      <c r="A39" s="1939"/>
      <c r="B39" s="1943"/>
      <c r="C39" s="1941"/>
      <c r="D39" s="1942"/>
      <c r="E39" s="1540">
        <f t="shared" si="2"/>
        <v>0</v>
      </c>
      <c r="F39" s="1932">
        <f t="shared" si="1"/>
        <v>0</v>
      </c>
      <c r="G39" s="1793">
        <f t="shared" si="3"/>
        <v>0</v>
      </c>
    </row>
    <row r="40" spans="1:7" x14ac:dyDescent="0.25">
      <c r="A40" s="1653"/>
      <c r="B40" s="1934"/>
      <c r="C40" s="1654"/>
      <c r="D40" s="1844"/>
      <c r="E40" s="1540">
        <f t="shared" si="2"/>
        <v>0</v>
      </c>
      <c r="F40" s="1932">
        <f t="shared" si="1"/>
        <v>0</v>
      </c>
      <c r="G40" s="1793">
        <f t="shared" si="3"/>
        <v>0</v>
      </c>
    </row>
    <row r="41" spans="1:7" x14ac:dyDescent="0.25">
      <c r="A41" s="1653"/>
      <c r="B41" s="1934"/>
      <c r="C41" s="1654"/>
      <c r="D41" s="1844"/>
      <c r="E41" s="1540">
        <f t="shared" si="2"/>
        <v>0</v>
      </c>
      <c r="F41" s="1932">
        <f t="shared" si="1"/>
        <v>0</v>
      </c>
      <c r="G41" s="1793">
        <f t="shared" si="3"/>
        <v>0</v>
      </c>
    </row>
    <row r="42" spans="1:7" x14ac:dyDescent="0.25">
      <c r="A42" s="1653"/>
      <c r="B42" s="1934"/>
      <c r="C42" s="1654"/>
      <c r="D42" s="1844"/>
      <c r="E42" s="1540">
        <f t="shared" si="2"/>
        <v>0</v>
      </c>
      <c r="F42" s="1932">
        <f t="shared" si="1"/>
        <v>0</v>
      </c>
      <c r="G42" s="1793">
        <f t="shared" si="3"/>
        <v>0</v>
      </c>
    </row>
    <row r="43" spans="1:7" x14ac:dyDescent="0.25">
      <c r="A43" s="1653"/>
      <c r="B43" s="1934"/>
      <c r="C43" s="1654"/>
      <c r="D43" s="1844"/>
      <c r="E43" s="1540">
        <f t="shared" si="2"/>
        <v>0</v>
      </c>
      <c r="F43" s="1932">
        <f t="shared" si="1"/>
        <v>0</v>
      </c>
      <c r="G43" s="1793">
        <f t="shared" si="3"/>
        <v>0</v>
      </c>
    </row>
    <row r="44" spans="1:7" x14ac:dyDescent="0.25">
      <c r="A44" s="1653"/>
      <c r="B44" s="1934"/>
      <c r="C44" s="1654"/>
      <c r="D44" s="1844"/>
      <c r="E44" s="1540">
        <f t="shared" si="2"/>
        <v>0</v>
      </c>
      <c r="F44" s="1932">
        <f t="shared" si="1"/>
        <v>0</v>
      </c>
      <c r="G44" s="1793">
        <f t="shared" si="3"/>
        <v>0</v>
      </c>
    </row>
    <row r="45" spans="1:7" x14ac:dyDescent="0.25">
      <c r="A45" s="1653"/>
      <c r="B45" s="1934"/>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167439</v>
      </c>
      <c r="E141" s="1541">
        <f t="shared" si="0"/>
        <v>25000</v>
      </c>
      <c r="F141" s="1933">
        <f>SUM(F17:F140)</f>
        <v>125088</v>
      </c>
      <c r="G141" s="1795">
        <f>SUM(G17:G140)</f>
        <v>42351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7333</v>
      </c>
      <c r="F10" s="974"/>
      <c r="G10" s="975"/>
      <c r="H10" s="162"/>
      <c r="I10" s="162"/>
    </row>
    <row r="11" spans="1:9" s="668" customFormat="1" ht="22.5" customHeight="1" x14ac:dyDescent="0.2">
      <c r="A11" s="2291" t="s">
        <v>1975</v>
      </c>
      <c r="B11" s="2292"/>
      <c r="C11" s="2292"/>
      <c r="D11" s="2293"/>
      <c r="E11" s="977">
        <v>1629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1409405</v>
      </c>
      <c r="F19" s="1799"/>
      <c r="G19" s="1801">
        <f>'Expenditures 15-22'!K33-SUM('Expenditures 15-22'!G33,'Expenditures 15-22'!I33)+'Expenditures 15-22'!D229</f>
        <v>1409405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168521</v>
      </c>
      <c r="F21" s="1802"/>
      <c r="G21" s="1805">
        <f>'Expenditures 15-22'!K42-SUM('Expenditures 15-22'!G42,'Expenditures 15-22'!I42)+'Expenditures 15-22'!K120-SUM('Expenditures 15-22'!G120,'Expenditures 15-22'!I120)+'Expenditures 15-22'!K180-SUM('Expenditures 15-22'!G180,'Expenditures 15-22'!I180)+'Expenditures 15-22'!D238</f>
        <v>168521</v>
      </c>
      <c r="H21" s="987"/>
      <c r="I21" s="162"/>
    </row>
    <row r="22" spans="1:9" s="668" customFormat="1" ht="12" customHeight="1" x14ac:dyDescent="0.2">
      <c r="A22" s="994" t="s">
        <v>564</v>
      </c>
      <c r="B22" s="995"/>
      <c r="C22" s="993">
        <v>2200</v>
      </c>
      <c r="D22" s="1802"/>
      <c r="E22" s="1804">
        <f>'Expenditures 15-22'!K47-SUM('Expenditures 15-22'!G47,'Expenditures 15-22'!I47)+'Expenditures 15-22'!D243</f>
        <v>20766</v>
      </c>
      <c r="F22" s="1802"/>
      <c r="G22" s="1805">
        <f>'Expenditures 15-22'!K47-SUM('Expenditures 15-22'!G47,'Expenditures 15-22'!I47)+'Expenditures 15-22'!D243</f>
        <v>20766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449209</v>
      </c>
      <c r="F23" s="1802"/>
      <c r="G23" s="1804">
        <f>'Expenditures 15-22'!K53-SUM('Expenditures 15-22'!G53,'Expenditures 15-22'!I53)+'Expenditures 15-22'!D257+'Expenditures 15-22'!K330-SUM('Expenditures 15-22'!G330,'Expenditures 15-22'!I330)</f>
        <v>449209</v>
      </c>
      <c r="H23" s="987"/>
      <c r="I23" s="162"/>
    </row>
    <row r="24" spans="1:9" s="668" customFormat="1" ht="12" customHeight="1" x14ac:dyDescent="0.2">
      <c r="A24" s="994" t="s">
        <v>566</v>
      </c>
      <c r="B24" s="995"/>
      <c r="C24" s="993">
        <v>2400</v>
      </c>
      <c r="D24" s="1802"/>
      <c r="E24" s="1804">
        <f>'Expenditures 15-22'!K57-SUM('Expenditures 15-22'!G57,'Expenditures 15-22'!I57)+'Expenditures 15-22'!D261</f>
        <v>140208</v>
      </c>
      <c r="F24" s="1802"/>
      <c r="G24" s="1805">
        <f>'Expenditures 15-22'!K57-SUM('Expenditures 15-22'!G57,'Expenditures 15-22'!I57)+'Expenditures 15-22'!D261</f>
        <v>140208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46517</v>
      </c>
      <c r="E27" s="1804">
        <f>E8</f>
        <v>0</v>
      </c>
      <c r="F27" s="1804">
        <f>'Expenditures 15-22'!K60-SUM('Expenditures 15-22'!G60,'Expenditures 15-22'!I60)+'Expenditures 15-22'!D264-E8</f>
        <v>46517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366462</v>
      </c>
      <c r="F28" s="1806">
        <f>'Expenditures 15-22'!K61-SUM('Expenditures 15-22'!G61,'Expenditures 15-22'!I61)+'Expenditures 15-22'!K124-SUM('Expenditures 15-22'!G124,'Expenditures 15-22'!I124)+'Expenditures 15-22'!D266-E9</f>
        <v>366462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363125</v>
      </c>
      <c r="F29" s="1802"/>
      <c r="G29" s="1805">
        <f>'Expenditures 15-22'!K62-SUM('Expenditures 15-22'!G62,'Expenditures 15-22'!I62)+'Expenditures 15-22'!K125-SUM('Expenditures 15-22'!G125,'Expenditures 15-22'!I125)+'Expenditures 15-22'!K182-SUM('Expenditures 15-22'!G182,'Expenditures 15-22'!I182)+'Expenditures 15-22'!D267</f>
        <v>363125</v>
      </c>
      <c r="H29" s="985"/>
    </row>
    <row r="30" spans="1:9" ht="12" customHeight="1" x14ac:dyDescent="0.2">
      <c r="A30" s="994" t="s">
        <v>100</v>
      </c>
      <c r="B30" s="997"/>
      <c r="C30" s="993">
        <v>2560</v>
      </c>
      <c r="D30" s="1802"/>
      <c r="E30" s="1804">
        <f>'Expenditures 15-22'!K63-SUM('Expenditures 15-22'!G63,'Expenditures 15-22'!I63)+'Expenditures 15-22'!D268-E10</f>
        <v>-7333</v>
      </c>
      <c r="F30" s="1802"/>
      <c r="G30" s="1804">
        <f>'Expenditures 15-22'!K63-SUM('Expenditures 15-22'!G63,'Expenditures 15-22'!I63)+'Expenditures 15-22'!D268-E10</f>
        <v>-7333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41697</v>
      </c>
      <c r="F35" s="1802"/>
      <c r="G35" s="1804">
        <f>'Expenditures 15-22'!K69-SUM('Expenditures 15-22'!G69,'Expenditures 15-22'!I69)+'Expenditures 15-22'!D274</f>
        <v>41697</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11821</v>
      </c>
      <c r="F38" s="1802"/>
      <c r="G38" s="1804">
        <f>'Expenditures 15-22'!K73-SUM('Expenditures 15-22'!G73,'Expenditures 15-22'!I73)+'Expenditures 15-22'!K128-SUM('Expenditures 15-22'!G128,'Expenditures 15-22'!I128)+'Expenditures 15-22'!K183-SUM('Expenditures 15-22'!G183,'Expenditures 15-22'!I183)+'Expenditures 15-22'!D278</f>
        <v>11821</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-42351</v>
      </c>
      <c r="F40" s="1802"/>
      <c r="G40" s="1806">
        <f>-'Contracts Paid in CY 29'!G141</f>
        <v>-42351</v>
      </c>
    </row>
    <row r="41" spans="1:7" ht="12" customHeight="1" x14ac:dyDescent="0.2">
      <c r="A41" s="998" t="s">
        <v>156</v>
      </c>
      <c r="B41" s="999"/>
      <c r="C41" s="1000"/>
      <c r="D41" s="1806">
        <f>SUM(D19:D39)</f>
        <v>46517</v>
      </c>
      <c r="E41" s="1806">
        <f>SUM(E19:E40)</f>
        <v>2921530</v>
      </c>
      <c r="F41" s="1806">
        <f>SUM(F19:F39)</f>
        <v>412979</v>
      </c>
      <c r="G41" s="1806">
        <f>SUM(G19:G40)</f>
        <v>2555068</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46517</v>
      </c>
      <c r="F43" s="1807" t="s">
        <v>473</v>
      </c>
      <c r="G43" s="1808">
        <f>F41</f>
        <v>412979</v>
      </c>
    </row>
    <row r="44" spans="1:7" ht="12" customHeight="1" x14ac:dyDescent="0.2">
      <c r="A44" s="987"/>
      <c r="B44" s="162"/>
      <c r="C44" s="1001"/>
      <c r="D44" s="1807" t="s">
        <v>474</v>
      </c>
      <c r="E44" s="1808">
        <f>E41</f>
        <v>2921530</v>
      </c>
      <c r="F44" s="1807" t="s">
        <v>474</v>
      </c>
      <c r="G44" s="1808">
        <f>G41</f>
        <v>2555068</v>
      </c>
    </row>
    <row r="45" spans="1:7" ht="12" customHeight="1" x14ac:dyDescent="0.2">
      <c r="A45" s="987"/>
      <c r="B45" s="162"/>
      <c r="C45" s="162"/>
      <c r="D45" s="1809" t="s">
        <v>1006</v>
      </c>
      <c r="E45" s="1810">
        <f>(E43/E44)</f>
        <v>1.5922136688652864E-2</v>
      </c>
      <c r="F45" s="1809" t="s">
        <v>1006</v>
      </c>
      <c r="G45" s="1810">
        <f>(G43/G44)</f>
        <v>0.16163131470473585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Normal="10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Newark CHSD 18</v>
      </c>
      <c r="D6" s="2301"/>
      <c r="E6" s="2301"/>
      <c r="F6" s="1852"/>
    </row>
    <row r="7" spans="1:10" ht="11.25" customHeight="1" thickBot="1" x14ac:dyDescent="0.3">
      <c r="A7" s="1850"/>
      <c r="B7" s="1851"/>
      <c r="C7" s="2302">
        <f>COVER!A13</f>
        <v>24047018016</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936" t="s">
        <v>2073</v>
      </c>
      <c r="D13" s="1936" t="s">
        <v>2073</v>
      </c>
      <c r="E13" s="1937"/>
      <c r="F13" s="1938" t="s">
        <v>2084</v>
      </c>
      <c r="H13" s="1878">
        <f t="shared" si="0"/>
        <v>5</v>
      </c>
      <c r="I13" s="1878">
        <f t="shared" si="1"/>
        <v>5</v>
      </c>
      <c r="J13" s="1878">
        <f t="shared" si="2"/>
        <v>0</v>
      </c>
    </row>
    <row r="14" spans="1:10" ht="12" customHeight="1" x14ac:dyDescent="0.2">
      <c r="A14" s="1863" t="s">
        <v>1386</v>
      </c>
      <c r="B14" s="1864"/>
      <c r="C14" s="1936" t="s">
        <v>2073</v>
      </c>
      <c r="D14" s="1936" t="s">
        <v>2073</v>
      </c>
      <c r="E14" s="1937"/>
      <c r="F14" s="1938" t="s">
        <v>2084</v>
      </c>
      <c r="H14" s="1878">
        <f t="shared" si="0"/>
        <v>5</v>
      </c>
      <c r="I14" s="1878">
        <f t="shared" si="1"/>
        <v>5</v>
      </c>
      <c r="J14" s="1878">
        <f t="shared" si="2"/>
        <v>0</v>
      </c>
    </row>
    <row r="15" spans="1:10" ht="12" customHeight="1" x14ac:dyDescent="0.2">
      <c r="A15" s="1863" t="s">
        <v>1387</v>
      </c>
      <c r="B15" s="1864"/>
      <c r="C15" s="1936" t="s">
        <v>2073</v>
      </c>
      <c r="D15" s="1936" t="s">
        <v>2073</v>
      </c>
      <c r="E15" s="1937"/>
      <c r="F15" s="1938" t="s">
        <v>2085</v>
      </c>
      <c r="H15" s="1878">
        <f t="shared" si="0"/>
        <v>5</v>
      </c>
      <c r="I15" s="1878">
        <f t="shared" si="1"/>
        <v>5</v>
      </c>
      <c r="J15" s="1878">
        <f t="shared" si="2"/>
        <v>0</v>
      </c>
    </row>
    <row r="16" spans="1:10" ht="12" customHeight="1" x14ac:dyDescent="0.2">
      <c r="A16" s="1863" t="s">
        <v>1388</v>
      </c>
      <c r="B16" s="1864"/>
      <c r="C16" s="1936" t="s">
        <v>2073</v>
      </c>
      <c r="D16" s="1936" t="s">
        <v>2073</v>
      </c>
      <c r="E16" s="1937"/>
      <c r="F16" s="1938" t="s">
        <v>2086</v>
      </c>
      <c r="H16" s="1878">
        <f t="shared" si="0"/>
        <v>5</v>
      </c>
      <c r="I16" s="1878">
        <f t="shared" si="1"/>
        <v>5</v>
      </c>
      <c r="J16" s="1878">
        <f t="shared" si="2"/>
        <v>0</v>
      </c>
    </row>
    <row r="17" spans="1:12" ht="12" customHeight="1" x14ac:dyDescent="0.2">
      <c r="A17" s="1863" t="s">
        <v>1389</v>
      </c>
      <c r="B17" s="1864"/>
      <c r="C17" s="1936" t="s">
        <v>2073</v>
      </c>
      <c r="D17" s="1936" t="s">
        <v>2073</v>
      </c>
      <c r="E17" s="1937"/>
      <c r="F17" s="1938" t="s">
        <v>2087</v>
      </c>
      <c r="H17" s="1878">
        <f t="shared" si="0"/>
        <v>5</v>
      </c>
      <c r="I17" s="1878">
        <f t="shared" si="1"/>
        <v>5</v>
      </c>
      <c r="J17" s="1878">
        <f t="shared" si="2"/>
        <v>0</v>
      </c>
    </row>
    <row r="18" spans="1:12" ht="12" customHeight="1" x14ac:dyDescent="0.2">
      <c r="A18" s="1863" t="s">
        <v>1390</v>
      </c>
      <c r="B18" s="1864"/>
      <c r="C18" s="1936" t="s">
        <v>2073</v>
      </c>
      <c r="D18" s="1936" t="s">
        <v>2073</v>
      </c>
      <c r="E18" s="1937"/>
      <c r="F18" s="1938" t="s">
        <v>2088</v>
      </c>
      <c r="H18" s="1878">
        <f t="shared" si="0"/>
        <v>5</v>
      </c>
      <c r="I18" s="1878">
        <f t="shared" si="1"/>
        <v>5</v>
      </c>
      <c r="J18" s="1878">
        <f t="shared" si="2"/>
        <v>0</v>
      </c>
    </row>
    <row r="19" spans="1:12" ht="12" customHeight="1" x14ac:dyDescent="0.2">
      <c r="A19" s="1863" t="s">
        <v>1527</v>
      </c>
      <c r="B19" s="1864"/>
      <c r="C19" s="1936"/>
      <c r="D19" s="1936"/>
      <c r="E19" s="1937"/>
      <c r="F19" s="1938"/>
      <c r="H19" s="1878">
        <f t="shared" si="0"/>
        <v>0</v>
      </c>
      <c r="I19" s="1878">
        <f t="shared" si="1"/>
        <v>0</v>
      </c>
      <c r="J19" s="1878">
        <f t="shared" si="2"/>
        <v>0</v>
      </c>
    </row>
    <row r="20" spans="1:12" ht="12" customHeight="1" x14ac:dyDescent="0.2">
      <c r="A20" s="1863" t="s">
        <v>1528</v>
      </c>
      <c r="B20" s="1864"/>
      <c r="C20" s="1936"/>
      <c r="D20" s="1936"/>
      <c r="E20" s="1937"/>
      <c r="F20" s="1938"/>
      <c r="H20" s="1878">
        <f t="shared" si="0"/>
        <v>0</v>
      </c>
      <c r="I20" s="1878">
        <f t="shared" si="1"/>
        <v>0</v>
      </c>
      <c r="J20" s="1878">
        <f t="shared" si="2"/>
        <v>0</v>
      </c>
    </row>
    <row r="21" spans="1:12" ht="12" customHeight="1" x14ac:dyDescent="0.2">
      <c r="A21" s="1863" t="s">
        <v>1529</v>
      </c>
      <c r="B21" s="1864"/>
      <c r="C21" s="1936" t="s">
        <v>2073</v>
      </c>
      <c r="D21" s="1936" t="s">
        <v>2073</v>
      </c>
      <c r="E21" s="1937"/>
      <c r="F21" s="1938" t="s">
        <v>2089</v>
      </c>
      <c r="H21" s="1878">
        <f t="shared" si="0"/>
        <v>5</v>
      </c>
      <c r="I21" s="1878">
        <f t="shared" si="1"/>
        <v>5</v>
      </c>
      <c r="J21" s="1878">
        <f t="shared" si="2"/>
        <v>0</v>
      </c>
    </row>
    <row r="22" spans="1:12" ht="12" customHeight="1" x14ac:dyDescent="0.2">
      <c r="A22" s="1863" t="s">
        <v>1530</v>
      </c>
      <c r="B22" s="1864"/>
      <c r="C22" s="1936"/>
      <c r="D22" s="1936"/>
      <c r="E22" s="1937"/>
      <c r="F22" s="1938"/>
      <c r="H22" s="1878">
        <f t="shared" si="0"/>
        <v>0</v>
      </c>
      <c r="I22" s="1878">
        <f t="shared" si="1"/>
        <v>0</v>
      </c>
      <c r="J22" s="1878">
        <f t="shared" si="2"/>
        <v>0</v>
      </c>
    </row>
    <row r="23" spans="1:12" ht="12" customHeight="1" x14ac:dyDescent="0.2">
      <c r="A23" s="1863" t="s">
        <v>1531</v>
      </c>
      <c r="B23" s="1864"/>
      <c r="C23" s="1936" t="s">
        <v>2073</v>
      </c>
      <c r="D23" s="1936" t="s">
        <v>2073</v>
      </c>
      <c r="E23" s="1937"/>
      <c r="F23" s="1938" t="s">
        <v>2090</v>
      </c>
      <c r="H23" s="1878">
        <f t="shared" si="0"/>
        <v>5</v>
      </c>
      <c r="I23" s="1878">
        <f t="shared" si="1"/>
        <v>5</v>
      </c>
      <c r="J23" s="1878">
        <f t="shared" si="2"/>
        <v>0</v>
      </c>
    </row>
    <row r="24" spans="1:12" ht="12" customHeight="1" x14ac:dyDescent="0.2">
      <c r="A24" s="1863" t="s">
        <v>1532</v>
      </c>
      <c r="B24" s="1864"/>
      <c r="C24" s="1936" t="s">
        <v>2073</v>
      </c>
      <c r="D24" s="1936" t="s">
        <v>2073</v>
      </c>
      <c r="E24" s="1937"/>
      <c r="F24" s="1938" t="s">
        <v>2091</v>
      </c>
      <c r="H24" s="1878">
        <f t="shared" si="0"/>
        <v>5</v>
      </c>
      <c r="I24" s="1878">
        <f t="shared" si="1"/>
        <v>5</v>
      </c>
      <c r="J24" s="1878">
        <f t="shared" si="2"/>
        <v>0</v>
      </c>
    </row>
    <row r="25" spans="1:12" ht="12" customHeight="1" x14ac:dyDescent="0.2">
      <c r="A25" s="1863" t="s">
        <v>1533</v>
      </c>
      <c r="B25" s="1864"/>
      <c r="C25" s="1936" t="s">
        <v>2073</v>
      </c>
      <c r="D25" s="1936" t="s">
        <v>2073</v>
      </c>
      <c r="E25" s="1937"/>
      <c r="F25" s="1938" t="s">
        <v>2092</v>
      </c>
      <c r="H25" s="1878">
        <f t="shared" si="0"/>
        <v>5</v>
      </c>
      <c r="I25" s="1878">
        <f t="shared" si="1"/>
        <v>5</v>
      </c>
      <c r="J25" s="1878">
        <f t="shared" si="2"/>
        <v>0</v>
      </c>
    </row>
    <row r="26" spans="1:12" ht="12" customHeight="1" x14ac:dyDescent="0.2">
      <c r="A26" s="1863" t="s">
        <v>1534</v>
      </c>
      <c r="B26" s="1864"/>
      <c r="C26" s="1936" t="s">
        <v>2073</v>
      </c>
      <c r="D26" s="1936" t="s">
        <v>2073</v>
      </c>
      <c r="E26" s="1937"/>
      <c r="F26" s="1938" t="s">
        <v>2093</v>
      </c>
      <c r="H26" s="1878">
        <f t="shared" si="0"/>
        <v>5</v>
      </c>
      <c r="I26" s="1878">
        <f t="shared" si="1"/>
        <v>5</v>
      </c>
      <c r="J26" s="1878">
        <f t="shared" si="2"/>
        <v>0</v>
      </c>
    </row>
    <row r="27" spans="1:12" ht="18.75" x14ac:dyDescent="0.2">
      <c r="A27" s="1863" t="s">
        <v>1535</v>
      </c>
      <c r="B27" s="1864"/>
      <c r="C27" s="1936" t="s">
        <v>2073</v>
      </c>
      <c r="D27" s="1936" t="s">
        <v>2073</v>
      </c>
      <c r="E27" s="1937"/>
      <c r="F27" s="1938" t="s">
        <v>2094</v>
      </c>
      <c r="H27" s="1878">
        <f t="shared" si="0"/>
        <v>5</v>
      </c>
      <c r="I27" s="1878">
        <f t="shared" si="1"/>
        <v>5</v>
      </c>
      <c r="J27" s="1878">
        <f t="shared" si="2"/>
        <v>0</v>
      </c>
    </row>
    <row r="28" spans="1:12" ht="12" customHeight="1" x14ac:dyDescent="0.2">
      <c r="A28" s="1863" t="s">
        <v>1536</v>
      </c>
      <c r="B28" s="1864"/>
      <c r="C28" s="1936"/>
      <c r="D28" s="1936"/>
      <c r="E28" s="1937"/>
      <c r="F28" s="1938"/>
      <c r="H28" s="1878">
        <f t="shared" si="0"/>
        <v>0</v>
      </c>
      <c r="I28" s="1878">
        <f t="shared" si="1"/>
        <v>0</v>
      </c>
      <c r="J28" s="1878">
        <f t="shared" si="2"/>
        <v>0</v>
      </c>
    </row>
    <row r="29" spans="1:12" ht="12" customHeight="1" x14ac:dyDescent="0.2">
      <c r="A29" s="1863" t="s">
        <v>1537</v>
      </c>
      <c r="B29" s="1864"/>
      <c r="C29" s="1936" t="s">
        <v>2073</v>
      </c>
      <c r="D29" s="1936" t="s">
        <v>2073</v>
      </c>
      <c r="E29" s="1937"/>
      <c r="F29" s="1938" t="s">
        <v>2095</v>
      </c>
      <c r="H29" s="1878">
        <f t="shared" si="0"/>
        <v>5</v>
      </c>
      <c r="I29" s="1878">
        <f t="shared" si="1"/>
        <v>5</v>
      </c>
      <c r="J29" s="1878">
        <f t="shared" si="2"/>
        <v>0</v>
      </c>
    </row>
    <row r="30" spans="1:12" ht="12" customHeight="1" x14ac:dyDescent="0.2">
      <c r="A30" s="1863" t="s">
        <v>1538</v>
      </c>
      <c r="B30" s="1864"/>
      <c r="C30" s="1936" t="s">
        <v>2073</v>
      </c>
      <c r="D30" s="1936" t="s">
        <v>2073</v>
      </c>
      <c r="E30" s="1937"/>
      <c r="F30" s="1938" t="s">
        <v>2096</v>
      </c>
      <c r="H30" s="1878">
        <f t="shared" si="0"/>
        <v>5</v>
      </c>
      <c r="I30" s="1878">
        <f t="shared" si="1"/>
        <v>5</v>
      </c>
      <c r="J30" s="1878">
        <f t="shared" si="2"/>
        <v>0</v>
      </c>
    </row>
    <row r="31" spans="1:12" ht="12" customHeight="1" x14ac:dyDescent="0.2">
      <c r="A31" s="1863" t="s">
        <v>1539</v>
      </c>
      <c r="B31" s="1864"/>
      <c r="C31" s="1936" t="s">
        <v>2073</v>
      </c>
      <c r="D31" s="1936" t="s">
        <v>2073</v>
      </c>
      <c r="E31" s="1937"/>
      <c r="F31" s="1938" t="s">
        <v>2097</v>
      </c>
      <c r="H31" s="1878">
        <f t="shared" si="0"/>
        <v>5</v>
      </c>
      <c r="I31" s="1878">
        <f t="shared" si="1"/>
        <v>5</v>
      </c>
      <c r="J31" s="1878">
        <f t="shared" si="2"/>
        <v>0</v>
      </c>
      <c r="L31" s="1869"/>
    </row>
    <row r="32" spans="1:12" ht="12" customHeight="1" x14ac:dyDescent="0.2">
      <c r="A32" s="1863" t="s">
        <v>1540</v>
      </c>
      <c r="B32" s="1864"/>
      <c r="C32" s="1936" t="s">
        <v>2073</v>
      </c>
      <c r="D32" s="1936" t="s">
        <v>2073</v>
      </c>
      <c r="E32" s="1937"/>
      <c r="F32" s="1938" t="s">
        <v>2098</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80</v>
      </c>
      <c r="I34" s="1878">
        <f>SUM(I11:I32)</f>
        <v>80</v>
      </c>
      <c r="J34" s="1878">
        <f>SUM(J11:J32)</f>
        <v>0</v>
      </c>
      <c r="K34" s="1878">
        <f>SUM(H34:J34)</f>
        <v>160</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Newark CHSD 18</v>
      </c>
      <c r="J6" s="2322"/>
      <c r="Q6" s="1664"/>
    </row>
    <row r="7" spans="1:17" x14ac:dyDescent="0.2">
      <c r="A7" s="2323" t="s">
        <v>869</v>
      </c>
      <c r="B7" s="2324"/>
      <c r="C7" s="2324"/>
      <c r="D7" s="2324"/>
      <c r="E7" s="2325"/>
      <c r="F7" s="1017"/>
      <c r="G7" s="1009"/>
      <c r="H7" s="1016" t="s">
        <v>372</v>
      </c>
      <c r="I7" s="2326">
        <f>COVER!A13</f>
        <v>24047018016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194749</v>
      </c>
      <c r="F12" s="1039"/>
      <c r="G12" s="1811">
        <f t="shared" ref="G12:G18" si="0">SUM(E12:F12)</f>
        <v>194749</v>
      </c>
      <c r="H12" s="1040">
        <v>197610</v>
      </c>
      <c r="I12" s="1039"/>
      <c r="J12" s="1811">
        <f t="shared" ref="J12:J18" si="1">SUM(H12:I12)</f>
        <v>197610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194749</v>
      </c>
      <c r="F19" s="1813">
        <f t="shared" si="2"/>
        <v>0</v>
      </c>
      <c r="G19" s="1813">
        <f t="shared" si="2"/>
        <v>194749</v>
      </c>
      <c r="H19" s="1813">
        <f t="shared" si="2"/>
        <v>197610</v>
      </c>
      <c r="I19" s="1813">
        <f t="shared" si="2"/>
        <v>0</v>
      </c>
      <c r="J19" s="1813">
        <f t="shared" si="2"/>
        <v>197610</v>
      </c>
    </row>
    <row r="20" spans="1:10" ht="13.5" thickTop="1" x14ac:dyDescent="0.2">
      <c r="A20" s="1035">
        <v>9</v>
      </c>
      <c r="B20" s="2333" t="s">
        <v>1979</v>
      </c>
      <c r="C20" s="2333"/>
      <c r="D20" s="2334"/>
      <c r="E20" s="1046"/>
      <c r="F20" s="1046"/>
      <c r="G20" s="1046"/>
      <c r="H20" s="1046"/>
      <c r="I20" s="1046"/>
      <c r="J20" s="1814">
        <f>IF(AND(G19&gt;0,J19&gt;0),(((J19-G19)/G19)),"Enter Budget Data")</f>
        <v>1.4690704445208961E-2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9" sqref="A9:A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4" t="s">
        <v>2129</v>
      </c>
    </row>
    <row r="6" spans="1:2" x14ac:dyDescent="0.2">
      <c r="A6" s="1068">
        <v>2</v>
      </c>
      <c r="B6" s="1944" t="s">
        <v>2130</v>
      </c>
    </row>
    <row r="7" spans="1:2" x14ac:dyDescent="0.2">
      <c r="A7" s="1068">
        <v>3</v>
      </c>
      <c r="B7" s="1944" t="s">
        <v>2131</v>
      </c>
    </row>
    <row r="8" spans="1:2" x14ac:dyDescent="0.2">
      <c r="A8" s="1068">
        <v>4</v>
      </c>
      <c r="B8" s="1944" t="s">
        <v>2132</v>
      </c>
    </row>
    <row r="9" spans="1:2" x14ac:dyDescent="0.2">
      <c r="A9" s="1068">
        <v>5</v>
      </c>
      <c r="B9" s="1944" t="s">
        <v>2133</v>
      </c>
    </row>
    <row r="10" spans="1:2" x14ac:dyDescent="0.2">
      <c r="A10" s="1068">
        <v>6</v>
      </c>
      <c r="B10" s="329" t="s">
        <v>2134</v>
      </c>
    </row>
    <row r="11" spans="1:2" x14ac:dyDescent="0.2">
      <c r="A11" s="1068">
        <v>7</v>
      </c>
      <c r="B11" s="329" t="s">
        <v>2135</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Newark CHSD 18</v>
      </c>
    </row>
    <row r="65" spans="2:2" x14ac:dyDescent="0.2">
      <c r="B65" s="1070">
        <f>COVER!A13</f>
        <v>24047018016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20:F27"/>
  <sheetViews>
    <sheetView showGridLines="0" zoomScale="110" zoomScaleNormal="110" workbookViewId="0">
      <selection activeCell="B17" sqref="B17"/>
    </sheetView>
  </sheetViews>
  <sheetFormatPr defaultRowHeight="12.75" x14ac:dyDescent="0.2"/>
  <cols>
    <col min="1" max="1" width="1.85546875" style="329" customWidth="1"/>
    <col min="2" max="2" width="59.7109375" style="329" customWidth="1"/>
    <col min="3" max="16384" width="9.140625" style="329"/>
  </cols>
  <sheetData>
    <row r="20" spans="1:6" x14ac:dyDescent="0.2">
      <c r="B20" s="1071"/>
      <c r="C20" s="1071"/>
      <c r="D20" s="1071"/>
      <c r="E20" s="1071"/>
      <c r="F20" s="1071"/>
    </row>
    <row r="22" spans="1:6" x14ac:dyDescent="0.2">
      <c r="A22" s="1072" t="s">
        <v>1493</v>
      </c>
    </row>
    <row r="24" spans="1:6" x14ac:dyDescent="0.2">
      <c r="A24" s="389" t="s">
        <v>857</v>
      </c>
    </row>
    <row r="25" spans="1:6" s="1071" customFormat="1" ht="45" customHeight="1" x14ac:dyDescent="0.2">
      <c r="A25" s="1073"/>
      <c r="B25" s="1073" t="s">
        <v>1684</v>
      </c>
    </row>
    <row r="26" spans="1:6" ht="6" customHeight="1" x14ac:dyDescent="0.2"/>
    <row r="27" spans="1:6" ht="24.75" customHeight="1" x14ac:dyDescent="0.2">
      <c r="A27" s="2340" t="s">
        <v>1685</v>
      </c>
      <c r="B27" s="2340"/>
    </row>
  </sheetData>
  <sheetProtection selectLockedCells="1"/>
  <mergeCells count="1">
    <mergeCell ref="A27:B27"/>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0"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2502503</v>
      </c>
      <c r="C8" s="1815">
        <f>'Acct Summary 7-8'!D8</f>
        <v>287820</v>
      </c>
      <c r="D8" s="1815">
        <f>'Acct Summary 7-8'!F8</f>
        <v>357535</v>
      </c>
      <c r="E8" s="1815">
        <f>'Acct Summary 7-8'!I8</f>
        <v>66783</v>
      </c>
      <c r="F8" s="1815">
        <f>SUM(B8:E8)</f>
        <v>3214641</v>
      </c>
    </row>
    <row r="9" spans="1:8" s="1079" customFormat="1" ht="14.25" customHeight="1" thickBot="1" x14ac:dyDescent="0.25">
      <c r="A9" s="1078" t="s">
        <v>1369</v>
      </c>
      <c r="B9" s="1816">
        <f>'Acct Summary 7-8'!C17</f>
        <v>2415708</v>
      </c>
      <c r="C9" s="1816">
        <f>'Acct Summary 7-8'!D17</f>
        <v>484217</v>
      </c>
      <c r="D9" s="1816">
        <f>'Acct Summary 7-8'!F17</f>
        <v>331786</v>
      </c>
      <c r="E9" s="1815"/>
      <c r="F9" s="1815">
        <f>SUM(B9:E9)</f>
        <v>3231711</v>
      </c>
    </row>
    <row r="10" spans="1:8" s="1079" customFormat="1" ht="14.25" thickTop="1" thickBot="1" x14ac:dyDescent="0.25">
      <c r="A10" s="1080" t="s">
        <v>1370</v>
      </c>
      <c r="B10" s="1817">
        <f>(B8-B9)</f>
        <v>86795</v>
      </c>
      <c r="C10" s="1817">
        <f>(C8-C9)</f>
        <v>-196397</v>
      </c>
      <c r="D10" s="1817">
        <f>(D8-D9)</f>
        <v>25749</v>
      </c>
      <c r="E10" s="1816">
        <f>(E8-E9)</f>
        <v>66783</v>
      </c>
      <c r="F10" s="1818">
        <f>SUM(F8-F9)</f>
        <v>-17070</v>
      </c>
    </row>
    <row r="11" spans="1:8" s="1079" customFormat="1" ht="14.25" thickTop="1" thickBot="1" x14ac:dyDescent="0.25">
      <c r="A11" s="1081" t="s">
        <v>1983</v>
      </c>
      <c r="B11" s="1819">
        <f>'Acct Summary 7-8'!C81</f>
        <v>2603224</v>
      </c>
      <c r="C11" s="1819">
        <f>'Acct Summary 7-8'!D81</f>
        <v>570381</v>
      </c>
      <c r="D11" s="1819">
        <f>'Acct Summary 7-8'!F81</f>
        <v>346222</v>
      </c>
      <c r="E11" s="1819">
        <f>'Acct Summary 7-8'!I81</f>
        <v>1698341</v>
      </c>
      <c r="F11" s="1820">
        <f>SUM(B11:E11)</f>
        <v>5218168</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53" colorId="8" zoomScale="110" zoomScaleNormal="110" workbookViewId="0">
      <selection activeCell="D64" sqref="D6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24047018016</v>
      </c>
    </row>
    <row r="3" spans="1:2" x14ac:dyDescent="0.2">
      <c r="A3" t="s">
        <v>956</v>
      </c>
      <c r="B3" s="138" t="str">
        <f>COVER!A15</f>
        <v>Kendall</v>
      </c>
    </row>
    <row r="4" spans="1:2" x14ac:dyDescent="0.2">
      <c r="A4" t="s">
        <v>1007</v>
      </c>
      <c r="B4" s="138" t="str">
        <f>COVER!A17</f>
        <v>Newark CHSD 18</v>
      </c>
    </row>
    <row r="5" spans="1:2" x14ac:dyDescent="0.2">
      <c r="A5" t="s">
        <v>704</v>
      </c>
      <c r="B5" s="138" t="str">
        <f>COVER!A38</f>
        <v>Amy 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36100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1852786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2603224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2364346</v>
      </c>
      <c r="D92" s="2" t="str">
        <f t="shared" si="0"/>
        <v>Error?</v>
      </c>
    </row>
    <row r="93" spans="1:4" x14ac:dyDescent="0.2">
      <c r="A93" s="5">
        <v>32</v>
      </c>
      <c r="B93" s="138">
        <f>'Assets-Liab 5-6'!C41</f>
        <v>2603224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246700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570381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570381</v>
      </c>
      <c r="D123" s="2" t="str">
        <f t="shared" si="0"/>
        <v>Error?</v>
      </c>
    </row>
    <row r="124" spans="1:4" x14ac:dyDescent="0.2">
      <c r="A124" s="5">
        <v>63</v>
      </c>
      <c r="B124" s="138">
        <f>'Assets-Liab 5-6'!D41</f>
        <v>570381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88077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88077</v>
      </c>
      <c r="D140" s="2" t="str">
        <f t="shared" si="1"/>
        <v>Error?</v>
      </c>
    </row>
    <row r="141" spans="1:4" x14ac:dyDescent="0.2">
      <c r="A141" s="5">
        <v>80</v>
      </c>
      <c r="B141" s="138">
        <f>'Assets-Liab 5-6'!E41</f>
        <v>88077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247500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346222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346222</v>
      </c>
      <c r="D170" s="2" t="str">
        <f t="shared" si="1"/>
        <v>Error?</v>
      </c>
    </row>
    <row r="171" spans="1:4" x14ac:dyDescent="0.2">
      <c r="A171" s="5">
        <v>110</v>
      </c>
      <c r="B171" s="138">
        <f>'Assets-Liab 5-6'!F41</f>
        <v>346222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108120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78584</v>
      </c>
      <c r="D189" s="2" t="str">
        <f t="shared" si="1"/>
        <v>Error?</v>
      </c>
    </row>
    <row r="190" spans="1:4" x14ac:dyDescent="0.2">
      <c r="A190" s="5">
        <v>129</v>
      </c>
      <c r="B190" s="138">
        <f>'Assets-Liab 5-6'!G41</f>
        <v>108120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177257</v>
      </c>
      <c r="D273" s="2" t="str">
        <f t="shared" si="3"/>
        <v>Error?</v>
      </c>
    </row>
    <row r="274" spans="1:4" x14ac:dyDescent="0.2">
      <c r="A274" s="5">
        <v>213</v>
      </c>
      <c r="B274" s="138">
        <f>'Assets-Liab 5-6'!M17</f>
        <v>2484047</v>
      </c>
      <c r="D274" s="2" t="str">
        <f t="shared" si="3"/>
        <v>Error?</v>
      </c>
    </row>
    <row r="275" spans="1:4" x14ac:dyDescent="0.2">
      <c r="A275" s="5">
        <v>214</v>
      </c>
      <c r="B275" s="138">
        <f>'Assets-Liab 5-6'!M18</f>
        <v>83780</v>
      </c>
      <c r="D275" s="2" t="str">
        <f t="shared" si="3"/>
        <v>Error?</v>
      </c>
    </row>
    <row r="276" spans="1:4" x14ac:dyDescent="0.2">
      <c r="A276" s="5">
        <v>215</v>
      </c>
      <c r="B276" s="138">
        <f>'Assets-Liab 5-6'!M19</f>
        <v>300684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3045768</v>
      </c>
      <c r="C279" s="2" t="s">
        <v>573</v>
      </c>
      <c r="D279" s="2" t="str">
        <f t="shared" si="3"/>
        <v>Error?</v>
      </c>
    </row>
    <row r="280" spans="1:4" x14ac:dyDescent="0.2">
      <c r="A280" s="5">
        <v>219</v>
      </c>
      <c r="B280" s="138">
        <f>'Assets-Liab 5-6'!M40</f>
        <v>3045768</v>
      </c>
      <c r="D280" s="2" t="str">
        <f t="shared" si="3"/>
        <v>Error?</v>
      </c>
    </row>
    <row r="281" spans="1:4" x14ac:dyDescent="0.2">
      <c r="A281" s="5">
        <v>220</v>
      </c>
      <c r="B281" s="138">
        <f>'Assets-Liab 5-6'!M41</f>
        <v>3045768</v>
      </c>
      <c r="C281" s="2" t="s">
        <v>573</v>
      </c>
      <c r="D281" s="2" t="str">
        <f t="shared" si="3"/>
        <v>Error?</v>
      </c>
    </row>
    <row r="282" spans="1:4" x14ac:dyDescent="0.2">
      <c r="A282" s="5">
        <v>221</v>
      </c>
      <c r="B282" s="138">
        <f>'Assets-Liab 5-6'!N21</f>
        <v>88077</v>
      </c>
      <c r="D282" s="2" t="str">
        <f t="shared" si="3"/>
        <v>Error?</v>
      </c>
    </row>
    <row r="283" spans="1:4" x14ac:dyDescent="0.2">
      <c r="A283" s="5">
        <v>222</v>
      </c>
      <c r="B283" s="138">
        <f>'Assets-Liab 5-6'!N22</f>
        <v>511923</v>
      </c>
      <c r="D283" s="2" t="str">
        <f t="shared" si="3"/>
        <v>Error?</v>
      </c>
    </row>
    <row r="284" spans="1:4" x14ac:dyDescent="0.2">
      <c r="A284" s="5">
        <v>223</v>
      </c>
      <c r="B284" s="138">
        <f>'Assets-Liab 5-6'!N23</f>
        <v>600000</v>
      </c>
      <c r="C284" s="2" t="s">
        <v>573</v>
      </c>
      <c r="D284" s="2" t="str">
        <f t="shared" si="3"/>
        <v>Error?</v>
      </c>
    </row>
    <row r="285" spans="1:4" x14ac:dyDescent="0.2">
      <c r="A285" s="5">
        <v>224</v>
      </c>
      <c r="B285" s="138">
        <f>'Assets-Liab 5-6'!N36</f>
        <v>600000</v>
      </c>
      <c r="D285" s="2" t="str">
        <f t="shared" si="3"/>
        <v>Error?</v>
      </c>
    </row>
    <row r="286" spans="1:4" x14ac:dyDescent="0.2">
      <c r="A286" s="10">
        <v>225</v>
      </c>
      <c r="D286" s="2" t="str">
        <f t="shared" si="3"/>
        <v>OK</v>
      </c>
    </row>
    <row r="287" spans="1:4" x14ac:dyDescent="0.2">
      <c r="A287" s="5">
        <v>226</v>
      </c>
      <c r="B287" s="138">
        <f>'Assets-Liab 5-6'!N37</f>
        <v>600000</v>
      </c>
      <c r="C287" s="2" t="s">
        <v>573</v>
      </c>
      <c r="D287" s="2" t="str">
        <f t="shared" si="3"/>
        <v>Error?</v>
      </c>
    </row>
    <row r="288" spans="1:4" x14ac:dyDescent="0.2">
      <c r="A288" s="5">
        <v>227</v>
      </c>
      <c r="B288" s="138">
        <f>'Assets-Liab 5-6'!N41</f>
        <v>600000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600000</v>
      </c>
      <c r="D651" s="2" t="str">
        <f t="shared" si="9"/>
        <v>Error?</v>
      </c>
    </row>
    <row r="652" spans="1:4" x14ac:dyDescent="0.2">
      <c r="A652" s="5">
        <v>591</v>
      </c>
      <c r="B652" s="138">
        <f>'Acct Summary 7-8'!I34</f>
        <v>15000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688623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171798</v>
      </c>
      <c r="D717" s="2" t="str">
        <f t="shared" si="10"/>
        <v>Error?</v>
      </c>
    </row>
    <row r="718" spans="1:4" x14ac:dyDescent="0.2">
      <c r="A718" s="5">
        <v>657</v>
      </c>
      <c r="B718" s="138">
        <f>'Expenditures 15-22'!C14</f>
        <v>68980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1032366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122674</v>
      </c>
      <c r="D722" s="2" t="str">
        <f t="shared" si="10"/>
        <v>Error?</v>
      </c>
    </row>
    <row r="723" spans="1:4" x14ac:dyDescent="0.2">
      <c r="A723" s="5">
        <v>662</v>
      </c>
      <c r="B723" s="138">
        <f>'Expenditures 15-22'!C38</f>
        <v>6563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129237</v>
      </c>
      <c r="C727" s="2" t="s">
        <v>573</v>
      </c>
      <c r="D727" s="2" t="str">
        <f t="shared" si="10"/>
        <v>Error?</v>
      </c>
    </row>
    <row r="728" spans="1:4" x14ac:dyDescent="0.2">
      <c r="A728" s="5">
        <v>667</v>
      </c>
      <c r="B728" s="138">
        <f>'Expenditures 15-22'!C44</f>
        <v>5550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5550</v>
      </c>
      <c r="C731" s="2" t="s">
        <v>573</v>
      </c>
      <c r="D731" s="2" t="str">
        <f t="shared" si="10"/>
        <v>Error?</v>
      </c>
    </row>
    <row r="732" spans="1:4" x14ac:dyDescent="0.2">
      <c r="A732" s="5">
        <v>671</v>
      </c>
      <c r="B732" s="138">
        <f>'Expenditures 15-22'!C49</f>
        <v>2865</v>
      </c>
      <c r="D732" s="2" t="str">
        <f t="shared" si="10"/>
        <v>Error?</v>
      </c>
    </row>
    <row r="733" spans="1:4" x14ac:dyDescent="0.2">
      <c r="A733" s="5">
        <v>672</v>
      </c>
      <c r="B733" s="138">
        <f>'Expenditures 15-22'!C50</f>
        <v>118253</v>
      </c>
      <c r="D733" s="2" t="str">
        <f t="shared" si="10"/>
        <v>Error?</v>
      </c>
    </row>
    <row r="734" spans="1:4" x14ac:dyDescent="0.2">
      <c r="A734" s="5">
        <v>673</v>
      </c>
      <c r="B734" s="138">
        <f>'Expenditures 15-22'!C53</f>
        <v>121118</v>
      </c>
      <c r="C734" s="2" t="s">
        <v>573</v>
      </c>
      <c r="D734" s="2" t="str">
        <f t="shared" si="10"/>
        <v>Error?</v>
      </c>
    </row>
    <row r="735" spans="1:4" x14ac:dyDescent="0.2">
      <c r="A735" s="5">
        <v>674</v>
      </c>
      <c r="B735" s="138">
        <f>'Expenditures 15-22'!C55</f>
        <v>99539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99539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34221</v>
      </c>
      <c r="D739" s="2" t="str">
        <f t="shared" si="10"/>
        <v>Error?</v>
      </c>
    </row>
    <row r="740" spans="1:4" x14ac:dyDescent="0.2">
      <c r="A740" s="5">
        <v>679</v>
      </c>
      <c r="B740" s="138">
        <f>'Expenditures 15-22'!C61</f>
        <v>59256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93477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448921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1481287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164886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37330</v>
      </c>
      <c r="D775" s="2" t="str">
        <f t="shared" si="11"/>
        <v>Error?</v>
      </c>
    </row>
    <row r="776" spans="1:4" x14ac:dyDescent="0.2">
      <c r="A776" s="5">
        <v>715</v>
      </c>
      <c r="B776" s="138">
        <f>'Expenditures 15-22'!D14</f>
        <v>4982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232843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24078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24078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16641</v>
      </c>
      <c r="D790" s="2" t="str">
        <f t="shared" si="11"/>
        <v>Error?</v>
      </c>
    </row>
    <row r="791" spans="1:4" x14ac:dyDescent="0.2">
      <c r="A791" s="5">
        <v>730</v>
      </c>
      <c r="B791" s="138">
        <f>'Expenditures 15-22'!D50</f>
        <v>44200</v>
      </c>
      <c r="D791" s="2" t="str">
        <f t="shared" si="11"/>
        <v>Error?</v>
      </c>
    </row>
    <row r="792" spans="1:4" x14ac:dyDescent="0.2">
      <c r="A792" s="5">
        <v>731</v>
      </c>
      <c r="B792" s="138">
        <f>'Expenditures 15-22'!D53</f>
        <v>62433</v>
      </c>
      <c r="C792" s="2" t="s">
        <v>573</v>
      </c>
      <c r="D792" s="2" t="str">
        <f t="shared" si="11"/>
        <v>Error?</v>
      </c>
    </row>
    <row r="793" spans="1:4" x14ac:dyDescent="0.2">
      <c r="A793" s="5">
        <v>732</v>
      </c>
      <c r="B793" s="138">
        <f>'Expenditures 15-22'!D55</f>
        <v>26676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26676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1500</v>
      </c>
      <c r="D797" s="2" t="str">
        <f t="shared" si="11"/>
        <v>Error?</v>
      </c>
    </row>
    <row r="798" spans="1:4" x14ac:dyDescent="0.2">
      <c r="A798" s="5">
        <v>737</v>
      </c>
      <c r="B798" s="138">
        <f>'Expenditures 15-22'!D61</f>
        <v>9007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10507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123694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356537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12252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952</v>
      </c>
      <c r="D833" s="2" t="str">
        <f t="shared" si="12"/>
        <v>Error?</v>
      </c>
    </row>
    <row r="834" spans="1:4" x14ac:dyDescent="0.2">
      <c r="A834" s="5">
        <v>773</v>
      </c>
      <c r="B834" s="138">
        <f>'Expenditures 15-22'!E14</f>
        <v>14186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32656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6209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6209</v>
      </c>
      <c r="C843" s="2" t="s">
        <v>573</v>
      </c>
      <c r="D843" s="2" t="str">
        <f t="shared" si="12"/>
        <v>Error?</v>
      </c>
    </row>
    <row r="844" spans="1:4" x14ac:dyDescent="0.2">
      <c r="A844" s="5">
        <v>783</v>
      </c>
      <c r="B844" s="138">
        <f>'Expenditures 15-22'!E44</f>
        <v>605</v>
      </c>
      <c r="D844" s="2" t="str">
        <f t="shared" si="12"/>
        <v>Error?</v>
      </c>
    </row>
    <row r="845" spans="1:4" x14ac:dyDescent="0.2">
      <c r="A845" s="5">
        <v>784</v>
      </c>
      <c r="B845" s="138">
        <f>'Expenditures 15-22'!E45</f>
        <v>3921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4526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14650</v>
      </c>
      <c r="D849" s="2" t="str">
        <f t="shared" si="12"/>
        <v>Error?</v>
      </c>
    </row>
    <row r="850" spans="1:4" x14ac:dyDescent="0.2">
      <c r="A850" s="5">
        <v>789</v>
      </c>
      <c r="B850" s="138">
        <f>'Expenditures 15-22'!E53</f>
        <v>14650</v>
      </c>
      <c r="C850" s="2" t="s">
        <v>573</v>
      </c>
      <c r="D850" s="2" t="str">
        <f t="shared" si="12"/>
        <v>Error?</v>
      </c>
    </row>
    <row r="851" spans="1:4" x14ac:dyDescent="0.2">
      <c r="A851" s="5">
        <v>790</v>
      </c>
      <c r="B851" s="138">
        <f>'Expenditures 15-22'!E55</f>
        <v>1204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2705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2705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36214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36214</v>
      </c>
      <c r="C869" s="2" t="s">
        <v>573</v>
      </c>
      <c r="D869" s="2" t="str">
        <f t="shared" si="12"/>
        <v>Error?</v>
      </c>
    </row>
    <row r="870" spans="1:4" x14ac:dyDescent="0.2">
      <c r="A870" s="5">
        <v>809</v>
      </c>
      <c r="B870" s="138">
        <f>'Expenditures 15-22'!E73</f>
        <v>11821</v>
      </c>
      <c r="D870" s="2" t="str">
        <f t="shared" si="12"/>
        <v>Error?</v>
      </c>
    </row>
    <row r="871" spans="1:4" x14ac:dyDescent="0.2">
      <c r="A871" s="5">
        <v>810</v>
      </c>
      <c r="B871" s="138">
        <f>'Expenditures 15-22'!E74</f>
        <v>77329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323363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45930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12833</v>
      </c>
      <c r="D891" s="2" t="str">
        <f t="shared" si="12"/>
        <v>Error?</v>
      </c>
    </row>
    <row r="892" spans="1:4" x14ac:dyDescent="0.2">
      <c r="A892" s="5">
        <v>831</v>
      </c>
      <c r="B892" s="138">
        <f>'Expenditures 15-22'!F14</f>
        <v>18428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77688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3491</v>
      </c>
      <c r="D896" s="2" t="str">
        <f t="shared" si="13"/>
        <v>Error?</v>
      </c>
    </row>
    <row r="897" spans="1:4" x14ac:dyDescent="0.2">
      <c r="A897" s="5">
        <v>836</v>
      </c>
      <c r="B897" s="138">
        <f>'Expenditures 15-22'!F38</f>
        <v>348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3839</v>
      </c>
      <c r="C901" s="2" t="s">
        <v>573</v>
      </c>
      <c r="D901" s="2" t="str">
        <f t="shared" si="13"/>
        <v>Error?</v>
      </c>
    </row>
    <row r="902" spans="1:4" x14ac:dyDescent="0.2">
      <c r="A902" s="5">
        <v>841</v>
      </c>
      <c r="B902" s="138">
        <f>'Expenditures 15-22'!F44</f>
        <v>1616</v>
      </c>
      <c r="D902" s="2" t="str">
        <f t="shared" si="13"/>
        <v>Error?</v>
      </c>
    </row>
    <row r="903" spans="1:4" x14ac:dyDescent="0.2">
      <c r="A903" s="5">
        <v>842</v>
      </c>
      <c r="B903" s="138">
        <f>'Expenditures 15-22'!F45</f>
        <v>9061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10677</v>
      </c>
      <c r="C905" s="2" t="s">
        <v>573</v>
      </c>
      <c r="D905" s="2" t="str">
        <f t="shared" si="13"/>
        <v>Error?</v>
      </c>
    </row>
    <row r="906" spans="1:4" x14ac:dyDescent="0.2">
      <c r="A906" s="5">
        <v>845</v>
      </c>
      <c r="B906" s="138">
        <f>'Expenditures 15-22'!F49</f>
        <v>370</v>
      </c>
      <c r="D906" s="2" t="str">
        <f t="shared" si="13"/>
        <v>Error?</v>
      </c>
    </row>
    <row r="907" spans="1:4" x14ac:dyDescent="0.2">
      <c r="A907" s="5">
        <v>846</v>
      </c>
      <c r="B907" s="138">
        <f>'Expenditures 15-22'!F50</f>
        <v>4176</v>
      </c>
      <c r="D907" s="2" t="str">
        <f t="shared" si="13"/>
        <v>Error?</v>
      </c>
    </row>
    <row r="908" spans="1:4" x14ac:dyDescent="0.2">
      <c r="A908" s="5">
        <v>847</v>
      </c>
      <c r="B908" s="138">
        <f>'Expenditures 15-22'!F53</f>
        <v>4546</v>
      </c>
      <c r="C908" s="2" t="s">
        <v>573</v>
      </c>
      <c r="D908" s="2" t="str">
        <f t="shared" si="13"/>
        <v>Error?</v>
      </c>
    </row>
    <row r="909" spans="1:4" x14ac:dyDescent="0.2">
      <c r="A909" s="5">
        <v>848</v>
      </c>
      <c r="B909" s="138">
        <f>'Expenditures 15-22'!F55</f>
        <v>4720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4720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5483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5483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30200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107888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11473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5435</v>
      </c>
      <c r="D949" s="2" t="str">
        <f t="shared" si="13"/>
        <v>Error?</v>
      </c>
    </row>
    <row r="950" spans="1:4" x14ac:dyDescent="0.2">
      <c r="A950" s="5">
        <v>889</v>
      </c>
      <c r="B950" s="138">
        <f>'Expenditures 15-22'!G14</f>
        <v>1610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18518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20963</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20963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20963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39481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275</v>
      </c>
      <c r="D1007" s="2" t="str">
        <f t="shared" si="14"/>
        <v>Error?</v>
      </c>
    </row>
    <row r="1008" spans="1:4" x14ac:dyDescent="0.2">
      <c r="A1008" s="5">
        <v>947</v>
      </c>
      <c r="B1008" s="138">
        <f>'Expenditures 15-22'!H14</f>
        <v>8055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8528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194</v>
      </c>
      <c r="D1022" s="2" t="str">
        <f t="shared" si="14"/>
        <v>Error?</v>
      </c>
    </row>
    <row r="1023" spans="1:4" x14ac:dyDescent="0.2">
      <c r="A1023" s="5">
        <v>962</v>
      </c>
      <c r="B1023" s="138">
        <f>'Expenditures 15-22'!H50</f>
        <v>13470</v>
      </c>
      <c r="D1023" s="2" t="str">
        <f t="shared" ref="D1023:D1086" si="15">IF(ISBLANK(B1023),"OK",IF(A1023-B1023=0,"OK","Error?"))</f>
        <v>Error?</v>
      </c>
    </row>
    <row r="1024" spans="1:4" x14ac:dyDescent="0.2">
      <c r="A1024" s="5">
        <v>963</v>
      </c>
      <c r="B1024" s="138">
        <f>'Expenditures 15-22'!H53</f>
        <v>13664</v>
      </c>
      <c r="C1024" s="2" t="s">
        <v>573</v>
      </c>
      <c r="D1024" s="2" t="str">
        <f t="shared" si="15"/>
        <v>Error?</v>
      </c>
    </row>
    <row r="1025" spans="1:4" x14ac:dyDescent="0.2">
      <c r="A1025" s="5">
        <v>964</v>
      </c>
      <c r="B1025" s="138">
        <f>'Expenditures 15-22'!H55</f>
        <v>964</v>
      </c>
      <c r="D1025" s="2" t="str">
        <f t="shared" si="15"/>
        <v>OK</v>
      </c>
    </row>
    <row r="1026" spans="1:4" x14ac:dyDescent="0.2">
      <c r="A1026" s="5">
        <v>965</v>
      </c>
      <c r="B1026" s="138">
        <f>'Expenditures 15-22'!H56</f>
        <v>0</v>
      </c>
      <c r="D1026" s="2" t="str">
        <f t="shared" si="15"/>
        <v>Error?</v>
      </c>
    </row>
    <row r="1027" spans="1:4" x14ac:dyDescent="0.2">
      <c r="A1027" s="5">
        <v>966</v>
      </c>
      <c r="B1027" s="138">
        <f>'Expenditures 15-22'!H57</f>
        <v>964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14628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83996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107152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923362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228623</v>
      </c>
      <c r="C1105" s="2" t="s">
        <v>573</v>
      </c>
      <c r="D1105" s="2" t="str">
        <f t="shared" si="16"/>
        <v>Error?</v>
      </c>
    </row>
    <row r="1106" spans="1:4" x14ac:dyDescent="0.2">
      <c r="A1106" s="5">
        <v>1045</v>
      </c>
      <c r="B1106" s="138">
        <f>'Expenditures 15-22'!K14</f>
        <v>116241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1402599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156452</v>
      </c>
      <c r="C1110" s="2" t="s">
        <v>573</v>
      </c>
      <c r="D1110" s="2" t="str">
        <f t="shared" si="16"/>
        <v>Error?</v>
      </c>
    </row>
    <row r="1111" spans="1:4" x14ac:dyDescent="0.2">
      <c r="A1111" s="5">
        <v>1050</v>
      </c>
      <c r="B1111" s="138">
        <f>'Expenditures 15-22'!K38</f>
        <v>6911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163363</v>
      </c>
      <c r="C1115" s="2" t="s">
        <v>573</v>
      </c>
      <c r="D1115" s="2" t="str">
        <f t="shared" si="16"/>
        <v>Error?</v>
      </c>
    </row>
    <row r="1116" spans="1:4" x14ac:dyDescent="0.2">
      <c r="A1116" s="5">
        <v>1055</v>
      </c>
      <c r="B1116" s="138">
        <f>'Expenditures 15-22'!K44</f>
        <v>28734</v>
      </c>
      <c r="C1116" s="2" t="s">
        <v>573</v>
      </c>
      <c r="D1116" s="2" t="str">
        <f t="shared" si="16"/>
        <v>Error?</v>
      </c>
    </row>
    <row r="1117" spans="1:4" x14ac:dyDescent="0.2">
      <c r="A1117" s="5">
        <v>1056</v>
      </c>
      <c r="B1117" s="138">
        <f>'Expenditures 15-22'!K45</f>
        <v>12982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41716</v>
      </c>
      <c r="C1119" s="2" t="s">
        <v>573</v>
      </c>
      <c r="D1119" s="2" t="str">
        <f t="shared" si="16"/>
        <v>Error?</v>
      </c>
    </row>
    <row r="1120" spans="1:4" x14ac:dyDescent="0.2">
      <c r="A1120" s="5">
        <v>1059</v>
      </c>
      <c r="B1120" s="138">
        <f>'Expenditures 15-22'!K49</f>
        <v>20070</v>
      </c>
      <c r="C1120" s="2" t="s">
        <v>573</v>
      </c>
      <c r="D1120" s="2" t="str">
        <f t="shared" si="16"/>
        <v>Error?</v>
      </c>
    </row>
    <row r="1121" spans="1:4" x14ac:dyDescent="0.2">
      <c r="A1121" s="5">
        <v>1060</v>
      </c>
      <c r="B1121" s="138">
        <f>'Expenditures 15-22'!K50</f>
        <v>194749</v>
      </c>
      <c r="C1121" s="2" t="s">
        <v>573</v>
      </c>
      <c r="D1121" s="2" t="str">
        <f t="shared" si="16"/>
        <v>Error?</v>
      </c>
    </row>
    <row r="1122" spans="1:4" x14ac:dyDescent="0.2">
      <c r="A1122" s="5">
        <v>1061</v>
      </c>
      <c r="B1122" s="138">
        <f>'Expenditures 15-22'!K53</f>
        <v>216411</v>
      </c>
      <c r="C1122" s="2" t="s">
        <v>573</v>
      </c>
      <c r="D1122" s="2" t="str">
        <f t="shared" si="16"/>
        <v>Error?</v>
      </c>
    </row>
    <row r="1123" spans="1:4" x14ac:dyDescent="0.2">
      <c r="A1123" s="5">
        <v>1062</v>
      </c>
      <c r="B1123" s="138">
        <f>'Expenditures 15-22'!K55</f>
        <v>133103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133103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39361</v>
      </c>
      <c r="C1127" s="2" t="s">
        <v>573</v>
      </c>
      <c r="D1127" s="2" t="str">
        <f t="shared" si="16"/>
        <v>Error?</v>
      </c>
    </row>
    <row r="1128" spans="1:4" x14ac:dyDescent="0.2">
      <c r="A1128" s="5">
        <v>1067</v>
      </c>
      <c r="B1128" s="138">
        <f>'Expenditures 15-22'!K61</f>
        <v>68263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107624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41697</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41697</v>
      </c>
      <c r="C1141" s="2" t="s">
        <v>573</v>
      </c>
      <c r="D1141" s="2" t="str">
        <f t="shared" si="16"/>
        <v>Error?</v>
      </c>
    </row>
    <row r="1142" spans="1:4" x14ac:dyDescent="0.2">
      <c r="A1142" s="5">
        <v>1081</v>
      </c>
      <c r="B1142" s="138">
        <f>'Expenditures 15-22'!K73</f>
        <v>11821</v>
      </c>
      <c r="C1142" s="2" t="s">
        <v>573</v>
      </c>
      <c r="D1142" s="2" t="str">
        <f t="shared" si="16"/>
        <v>Error?</v>
      </c>
    </row>
    <row r="1143" spans="1:4" x14ac:dyDescent="0.2">
      <c r="A1143" s="5">
        <v>1082</v>
      </c>
      <c r="B1143" s="138">
        <f>'Expenditures 15-22'!K74</f>
        <v>715735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297374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2415708</v>
      </c>
      <c r="C1152" s="2" t="s">
        <v>573</v>
      </c>
      <c r="D1152" s="2" t="str">
        <f t="shared" si="17"/>
        <v>Error?</v>
      </c>
    </row>
    <row r="1153" spans="1:4" x14ac:dyDescent="0.2">
      <c r="A1153" s="5">
        <v>1092</v>
      </c>
      <c r="B1153" s="138">
        <f>'Expenditures 15-22'!K115</f>
        <v>86795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90830</v>
      </c>
      <c r="D1221" s="2" t="str">
        <f t="shared" si="18"/>
        <v>Error?</v>
      </c>
    </row>
    <row r="1222" spans="1:4" x14ac:dyDescent="0.2">
      <c r="A1222" s="10">
        <v>1161</v>
      </c>
      <c r="D1222" s="2" t="str">
        <f t="shared" si="18"/>
        <v>OK</v>
      </c>
    </row>
    <row r="1223" spans="1:4" x14ac:dyDescent="0.2">
      <c r="A1223" s="5">
        <v>1162</v>
      </c>
      <c r="B1223" s="138">
        <f>'Expenditures 15-22'!C127</f>
        <v>90830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90830</v>
      </c>
      <c r="C1225" s="2" t="s">
        <v>573</v>
      </c>
      <c r="D1225" s="2" t="str">
        <f t="shared" si="18"/>
        <v>Error?</v>
      </c>
    </row>
    <row r="1226" spans="1:4" x14ac:dyDescent="0.2">
      <c r="A1226" s="5">
        <v>1165</v>
      </c>
      <c r="B1226" s="138">
        <f>'Expenditures 15-22'!C151</f>
        <v>90830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13557</v>
      </c>
      <c r="D1229" s="2" t="str">
        <f t="shared" si="18"/>
        <v>Error?</v>
      </c>
    </row>
    <row r="1230" spans="1:4" x14ac:dyDescent="0.2">
      <c r="A1230" s="10">
        <v>1169</v>
      </c>
      <c r="D1230" s="2" t="str">
        <f t="shared" si="18"/>
        <v>OK</v>
      </c>
    </row>
    <row r="1231" spans="1:4" x14ac:dyDescent="0.2">
      <c r="A1231" s="5">
        <v>1170</v>
      </c>
      <c r="B1231" s="138">
        <f>'Expenditures 15-22'!D127</f>
        <v>13557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13557</v>
      </c>
      <c r="C1233" s="2" t="s">
        <v>573</v>
      </c>
      <c r="D1233" s="2" t="str">
        <f t="shared" si="18"/>
        <v>Error?</v>
      </c>
    </row>
    <row r="1234" spans="1:4" x14ac:dyDescent="0.2">
      <c r="A1234" s="5">
        <v>1173</v>
      </c>
      <c r="B1234" s="138">
        <f>'Expenditures 15-22'!D151</f>
        <v>13557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106711</v>
      </c>
      <c r="D1237" s="2" t="str">
        <f t="shared" si="18"/>
        <v>Error?</v>
      </c>
    </row>
    <row r="1238" spans="1:4" x14ac:dyDescent="0.2">
      <c r="A1238" s="10">
        <v>1177</v>
      </c>
      <c r="D1238" s="2" t="str">
        <f t="shared" si="18"/>
        <v>OK</v>
      </c>
    </row>
    <row r="1239" spans="1:4" x14ac:dyDescent="0.2">
      <c r="A1239" s="5">
        <v>1178</v>
      </c>
      <c r="B1239" s="138">
        <f>'Expenditures 15-22'!E127</f>
        <v>106711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106711</v>
      </c>
      <c r="C1241" s="2" t="s">
        <v>573</v>
      </c>
      <c r="D1241" s="2" t="str">
        <f t="shared" si="18"/>
        <v>Error?</v>
      </c>
    </row>
    <row r="1242" spans="1:4" x14ac:dyDescent="0.2">
      <c r="A1242" s="5">
        <v>1181</v>
      </c>
      <c r="B1242" s="138">
        <f>'Expenditures 15-22'!E151</f>
        <v>106711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53431</v>
      </c>
      <c r="D1245" s="2" t="str">
        <f t="shared" si="18"/>
        <v>Error?</v>
      </c>
    </row>
    <row r="1246" spans="1:4" x14ac:dyDescent="0.2">
      <c r="A1246" s="10">
        <v>1185</v>
      </c>
      <c r="D1246" s="2" t="str">
        <f t="shared" si="18"/>
        <v>OK</v>
      </c>
    </row>
    <row r="1247" spans="1:4" x14ac:dyDescent="0.2">
      <c r="A1247" s="5">
        <v>1186</v>
      </c>
      <c r="B1247" s="138">
        <f>'Expenditures 15-22'!F127</f>
        <v>53431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53431</v>
      </c>
      <c r="C1249" s="2" t="s">
        <v>573</v>
      </c>
      <c r="D1249" s="2" t="str">
        <f t="shared" si="18"/>
        <v>Error?</v>
      </c>
    </row>
    <row r="1250" spans="1:4" x14ac:dyDescent="0.2">
      <c r="A1250" s="5">
        <v>1189</v>
      </c>
      <c r="B1250" s="138">
        <f>'Expenditures 15-22'!F151</f>
        <v>53431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215688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215688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215688</v>
      </c>
      <c r="C1258" s="2" t="s">
        <v>573</v>
      </c>
      <c r="D1258" s="2" t="str">
        <f t="shared" si="18"/>
        <v>Error?</v>
      </c>
    </row>
    <row r="1259" spans="1:4" x14ac:dyDescent="0.2">
      <c r="A1259" s="5">
        <v>1198</v>
      </c>
      <c r="B1259" s="138">
        <f>'Expenditures 15-22'!G151</f>
        <v>215688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4000</v>
      </c>
      <c r="D1262" s="2" t="str">
        <f t="shared" si="18"/>
        <v>Error?</v>
      </c>
    </row>
    <row r="1263" spans="1:4" x14ac:dyDescent="0.2">
      <c r="A1263" s="10">
        <v>1202</v>
      </c>
      <c r="D1263" s="2" t="str">
        <f t="shared" si="18"/>
        <v>OK</v>
      </c>
    </row>
    <row r="1264" spans="1:4" x14ac:dyDescent="0.2">
      <c r="A1264" s="5">
        <v>1203</v>
      </c>
      <c r="B1264" s="138">
        <f>'Expenditures 15-22'!H127</f>
        <v>4000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4000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4000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484217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484217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484217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484217</v>
      </c>
      <c r="C1288" s="2" t="s">
        <v>573</v>
      </c>
      <c r="D1288" s="2" t="str">
        <f t="shared" si="19"/>
        <v>Error?</v>
      </c>
    </row>
    <row r="1289" spans="1:4" x14ac:dyDescent="0.2">
      <c r="A1289" s="5">
        <v>1228</v>
      </c>
      <c r="B1289" s="138">
        <f>'Expenditures 15-22'!K152</f>
        <v>-196397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4550</v>
      </c>
      <c r="D1312" s="2" t="str">
        <f t="shared" si="19"/>
        <v>Error?</v>
      </c>
    </row>
    <row r="1313" spans="1:4" x14ac:dyDescent="0.2">
      <c r="A1313" s="5">
        <v>1252</v>
      </c>
      <c r="B1313" s="138">
        <f>'Expenditures 15-22'!H167</f>
        <v>50</v>
      </c>
      <c r="D1313" s="2" t="str">
        <f t="shared" si="19"/>
        <v>Error?</v>
      </c>
    </row>
    <row r="1314" spans="1:4" x14ac:dyDescent="0.2">
      <c r="A1314" s="5">
        <v>1253</v>
      </c>
      <c r="B1314" s="138">
        <f>'Expenditures 15-22'!H168</f>
        <v>50</v>
      </c>
      <c r="C1314" s="2" t="s">
        <v>573</v>
      </c>
      <c r="D1314" s="2" t="str">
        <f t="shared" si="19"/>
        <v>Error?</v>
      </c>
    </row>
    <row r="1315" spans="1:4" x14ac:dyDescent="0.2">
      <c r="A1315" s="5">
        <v>1254</v>
      </c>
      <c r="B1315" s="138">
        <f>'Expenditures 15-22'!H170</f>
        <v>160000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164600</v>
      </c>
      <c r="C1317" s="2" t="s">
        <v>573</v>
      </c>
      <c r="D1317" s="2" t="str">
        <f t="shared" si="19"/>
        <v>Error?</v>
      </c>
    </row>
    <row r="1318" spans="1:4" x14ac:dyDescent="0.2">
      <c r="A1318" s="5">
        <v>1257</v>
      </c>
      <c r="B1318" s="138">
        <f>'Expenditures 15-22'!H174</f>
        <v>164600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4550</v>
      </c>
      <c r="C1326" s="2" t="s">
        <v>573</v>
      </c>
      <c r="D1326" s="2" t="str">
        <f t="shared" si="19"/>
        <v>Error?</v>
      </c>
    </row>
    <row r="1327" spans="1:4" x14ac:dyDescent="0.2">
      <c r="A1327" s="5">
        <v>1266</v>
      </c>
      <c r="B1327" s="138">
        <f>'Expenditures 15-22'!K167</f>
        <v>50</v>
      </c>
      <c r="C1327" s="2" t="s">
        <v>573</v>
      </c>
      <c r="D1327" s="2" t="str">
        <f t="shared" si="19"/>
        <v>Error?</v>
      </c>
    </row>
    <row r="1328" spans="1:4" x14ac:dyDescent="0.2">
      <c r="A1328" s="5">
        <v>1267</v>
      </c>
      <c r="B1328" s="138">
        <f>'Expenditures 15-22'!K168</f>
        <v>50</v>
      </c>
      <c r="C1328" s="2" t="s">
        <v>573</v>
      </c>
      <c r="D1328" s="2" t="str">
        <f t="shared" si="19"/>
        <v>Error?</v>
      </c>
    </row>
    <row r="1329" spans="1:4" x14ac:dyDescent="0.2">
      <c r="A1329" s="5">
        <v>1268</v>
      </c>
      <c r="B1329" s="138">
        <f>'Expenditures 15-22'!K170</f>
        <v>160000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164600</v>
      </c>
      <c r="C1331" s="2" t="s">
        <v>573</v>
      </c>
      <c r="D1331" s="2" t="str">
        <f t="shared" si="19"/>
        <v>Error?</v>
      </c>
    </row>
    <row r="1332" spans="1:4" x14ac:dyDescent="0.2">
      <c r="A1332" s="5">
        <v>1271</v>
      </c>
      <c r="B1332" s="138">
        <f>'Expenditures 15-22'!K174</f>
        <v>164600</v>
      </c>
      <c r="C1332" s="2" t="s">
        <v>573</v>
      </c>
      <c r="D1332" s="2" t="str">
        <f t="shared" si="19"/>
        <v>Error?</v>
      </c>
    </row>
    <row r="1333" spans="1:4" x14ac:dyDescent="0.2">
      <c r="A1333" s="5">
        <v>1272</v>
      </c>
      <c r="B1333" s="138">
        <f>'Expenditures 15-22'!K175</f>
        <v>-921</v>
      </c>
      <c r="C1333" s="2" t="s">
        <v>573</v>
      </c>
      <c r="D1333" s="2" t="str">
        <f t="shared" si="19"/>
        <v>Error?</v>
      </c>
    </row>
    <row r="1334" spans="1:4" x14ac:dyDescent="0.2">
      <c r="A1334" s="10">
        <v>1273</v>
      </c>
      <c r="D1334" s="2" t="str">
        <f t="shared" si="19"/>
        <v>OK</v>
      </c>
    </row>
    <row r="1335" spans="1:4" x14ac:dyDescent="0.2">
      <c r="A1335" s="5">
        <v>1274</v>
      </c>
      <c r="B1335" s="138">
        <f>'Expenditures 15-22'!C182</f>
        <v>173864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173864</v>
      </c>
      <c r="C1339" s="2" t="s">
        <v>573</v>
      </c>
      <c r="D1339" s="2" t="str">
        <f t="shared" si="19"/>
        <v>Error?</v>
      </c>
    </row>
    <row r="1340" spans="1:4" x14ac:dyDescent="0.2">
      <c r="A1340" s="5">
        <v>1279</v>
      </c>
      <c r="B1340" s="138">
        <f>'Expenditures 15-22'!C210</f>
        <v>173864</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118988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118988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118988</v>
      </c>
      <c r="C1353" s="2" t="s">
        <v>573</v>
      </c>
      <c r="D1353" s="2" t="str">
        <f t="shared" si="20"/>
        <v>Error?</v>
      </c>
    </row>
    <row r="1354" spans="1:4" x14ac:dyDescent="0.2">
      <c r="A1354" s="5">
        <v>1293</v>
      </c>
      <c r="B1354" s="138">
        <f>'Expenditures 15-22'!F182</f>
        <v>38934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38934</v>
      </c>
      <c r="C1358" s="2" t="s">
        <v>573</v>
      </c>
      <c r="D1358" s="2" t="str">
        <f t="shared" si="20"/>
        <v>Error?</v>
      </c>
    </row>
    <row r="1359" spans="1:4" x14ac:dyDescent="0.2">
      <c r="A1359" s="5">
        <v>1298</v>
      </c>
      <c r="B1359" s="138">
        <f>'Expenditures 15-22'!F210</f>
        <v>38934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331786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331786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331786</v>
      </c>
      <c r="C1388" s="2" t="s">
        <v>573</v>
      </c>
      <c r="D1388" s="2" t="str">
        <f t="shared" si="20"/>
        <v>Error?</v>
      </c>
    </row>
    <row r="1389" spans="1:4" x14ac:dyDescent="0.2">
      <c r="A1389" s="5">
        <v>1328</v>
      </c>
      <c r="B1389" s="138">
        <f>'Expenditures 15-22'!K211</f>
        <v>25749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2465</v>
      </c>
      <c r="D1407" s="2" t="str">
        <f t="shared" ref="D1407:D1470" si="21">IF(ISBLANK(B1407),"OK",IF(A1407-B1407=0,"OK","Error?"))</f>
        <v>Error?</v>
      </c>
    </row>
    <row r="1408" spans="1:4" x14ac:dyDescent="0.2">
      <c r="A1408" s="5">
        <v>1347</v>
      </c>
      <c r="B1408" s="138">
        <f>'Expenditures 15-22'!D223</f>
        <v>5387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25324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4183</v>
      </c>
      <c r="D1412" s="2" t="str">
        <f t="shared" si="21"/>
        <v>Error?</v>
      </c>
    </row>
    <row r="1413" spans="1:4" x14ac:dyDescent="0.2">
      <c r="A1413" s="5">
        <v>1352</v>
      </c>
      <c r="B1413" s="138">
        <f>'Expenditures 15-22'!D234</f>
        <v>975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5158</v>
      </c>
      <c r="C1417" s="2" t="s">
        <v>573</v>
      </c>
      <c r="D1417" s="2" t="str">
        <f t="shared" si="21"/>
        <v>Error?</v>
      </c>
    </row>
    <row r="1418" spans="1:4" x14ac:dyDescent="0.2">
      <c r="A1418" s="5">
        <v>1357</v>
      </c>
      <c r="B1418" s="138">
        <f>'Expenditures 15-22'!D240</f>
        <v>13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290</v>
      </c>
      <c r="D1423" s="2" t="str">
        <f t="shared" si="21"/>
        <v>Error?</v>
      </c>
    </row>
    <row r="1424" spans="1:4" x14ac:dyDescent="0.2">
      <c r="A1424" s="5">
        <v>1363</v>
      </c>
      <c r="B1424" s="138">
        <f>'Expenditures 15-22'!D257</f>
        <v>17403</v>
      </c>
      <c r="C1424" s="2" t="s">
        <v>573</v>
      </c>
      <c r="D1424" s="2" t="str">
        <f t="shared" si="21"/>
        <v>Error?</v>
      </c>
    </row>
    <row r="1425" spans="1:4" x14ac:dyDescent="0.2">
      <c r="A1425" s="5">
        <v>1364</v>
      </c>
      <c r="B1425" s="138">
        <f>'Expenditures 15-22'!D259</f>
        <v>7105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7105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7156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29670</v>
      </c>
      <c r="D1431" s="2" t="str">
        <f t="shared" si="21"/>
        <v>Error?</v>
      </c>
    </row>
    <row r="1432" spans="1:4" x14ac:dyDescent="0.2">
      <c r="A1432" s="5">
        <v>1371</v>
      </c>
      <c r="B1432" s="138">
        <f>'Expenditures 15-22'!D267</f>
        <v>31339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68165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97844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123168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2465</v>
      </c>
      <c r="C1471" s="2" t="s">
        <v>573</v>
      </c>
      <c r="D1471" s="2" t="str">
        <f t="shared" ref="D1471:D1534" si="22">IF(ISBLANK(B1471),"OK",IF(A1471-B1471=0,"OK","Error?"))</f>
        <v>Error?</v>
      </c>
    </row>
    <row r="1472" spans="1:4" x14ac:dyDescent="0.2">
      <c r="A1472" s="5">
        <v>1411</v>
      </c>
      <c r="B1472" s="138">
        <f>'Expenditures 15-22'!K223</f>
        <v>5387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25324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4183</v>
      </c>
      <c r="C1476" s="2" t="s">
        <v>573</v>
      </c>
      <c r="D1476" s="2" t="str">
        <f t="shared" si="22"/>
        <v>Error?</v>
      </c>
    </row>
    <row r="1477" spans="1:4" x14ac:dyDescent="0.2">
      <c r="A1477" s="5">
        <v>1416</v>
      </c>
      <c r="B1477" s="138">
        <f>'Expenditures 15-22'!K234</f>
        <v>975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5158</v>
      </c>
      <c r="C1481" s="2" t="s">
        <v>573</v>
      </c>
      <c r="D1481" s="2" t="str">
        <f t="shared" si="22"/>
        <v>Error?</v>
      </c>
    </row>
    <row r="1482" spans="1:4" x14ac:dyDescent="0.2">
      <c r="A1482" s="5">
        <v>1421</v>
      </c>
      <c r="B1482" s="138">
        <f>'Expenditures 15-22'!K240</f>
        <v>13</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290</v>
      </c>
      <c r="C1487" s="2" t="s">
        <v>573</v>
      </c>
      <c r="D1487" s="2" t="str">
        <f t="shared" si="22"/>
        <v>Error?</v>
      </c>
    </row>
    <row r="1488" spans="1:4" x14ac:dyDescent="0.2">
      <c r="A1488" s="5">
        <v>1427</v>
      </c>
      <c r="B1488" s="138">
        <f>'Expenditures 15-22'!K257</f>
        <v>17403</v>
      </c>
      <c r="C1488" s="2" t="s">
        <v>573</v>
      </c>
      <c r="D1488" s="2" t="str">
        <f t="shared" si="22"/>
        <v>Error?</v>
      </c>
    </row>
    <row r="1489" spans="1:4" x14ac:dyDescent="0.2">
      <c r="A1489" s="5">
        <v>1428</v>
      </c>
      <c r="B1489" s="138">
        <f>'Expenditures 15-22'!K259</f>
        <v>7105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7105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7156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29670</v>
      </c>
      <c r="C1495" s="2" t="s">
        <v>573</v>
      </c>
      <c r="D1495" s="2" t="str">
        <f t="shared" si="22"/>
        <v>Error?</v>
      </c>
    </row>
    <row r="1496" spans="1:4" x14ac:dyDescent="0.2">
      <c r="A1496" s="5">
        <v>1435</v>
      </c>
      <c r="B1496" s="138">
        <f>'Expenditures 15-22'!K267</f>
        <v>31339</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68165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97844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123168</v>
      </c>
      <c r="C1517" s="2" t="s">
        <v>573</v>
      </c>
      <c r="D1517" s="2" t="str">
        <f t="shared" si="22"/>
        <v>Error?</v>
      </c>
    </row>
    <row r="1518" spans="1:4" x14ac:dyDescent="0.2">
      <c r="A1518" s="5">
        <v>1457</v>
      </c>
      <c r="B1518" s="138">
        <f>'Expenditures 15-22'!K296</f>
        <v>14050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2516429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2603224</v>
      </c>
      <c r="C1630" s="2" t="s">
        <v>573</v>
      </c>
      <c r="D1630" s="2" t="str">
        <f t="shared" si="24"/>
        <v>Error?</v>
      </c>
    </row>
    <row r="1631" spans="1:4" x14ac:dyDescent="0.2">
      <c r="A1631" s="5">
        <v>1570</v>
      </c>
      <c r="B1631" s="138">
        <f>'Acct Summary 7-8'!D79</f>
        <v>575578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570381</v>
      </c>
      <c r="C1644" s="2" t="s">
        <v>573</v>
      </c>
      <c r="D1644" s="2" t="str">
        <f t="shared" si="24"/>
        <v>Error?</v>
      </c>
    </row>
    <row r="1645" spans="1:4" x14ac:dyDescent="0.2">
      <c r="A1645" s="5">
        <v>1584</v>
      </c>
      <c r="B1645" s="138">
        <f>'Acct Summary 7-8'!E79</f>
        <v>88998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88077</v>
      </c>
      <c r="C1658" s="2" t="s">
        <v>573</v>
      </c>
      <c r="D1658" s="2" t="str">
        <f t="shared" si="24"/>
        <v>Error?</v>
      </c>
    </row>
    <row r="1659" spans="1:4" x14ac:dyDescent="0.2">
      <c r="A1659" s="5">
        <v>1598</v>
      </c>
      <c r="B1659" s="138">
        <f>'Acct Summary 7-8'!F79</f>
        <v>320473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346222</v>
      </c>
      <c r="C1672" s="2" t="s">
        <v>573</v>
      </c>
      <c r="D1672" s="2" t="str">
        <f t="shared" si="25"/>
        <v>Error?</v>
      </c>
    </row>
    <row r="1673" spans="1:4" x14ac:dyDescent="0.2">
      <c r="A1673" s="5">
        <v>1612</v>
      </c>
      <c r="B1673" s="138">
        <f>'Acct Summary 7-8'!G79</f>
        <v>94070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108120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1882748</v>
      </c>
      <c r="C1744" s="2" t="s">
        <v>573</v>
      </c>
      <c r="D1744" s="2" t="str">
        <f t="shared" si="26"/>
        <v>Error?</v>
      </c>
    </row>
    <row r="1745" spans="1:5" x14ac:dyDescent="0.2">
      <c r="A1745" s="5">
        <v>1684</v>
      </c>
      <c r="B1745" s="138">
        <f>'Tax Sched 23'!B5</f>
        <v>281851</v>
      </c>
      <c r="C1745" s="2" t="s">
        <v>573</v>
      </c>
      <c r="D1745" s="2" t="str">
        <f t="shared" si="26"/>
        <v>Error?</v>
      </c>
    </row>
    <row r="1746" spans="1:5" x14ac:dyDescent="0.2">
      <c r="A1746" s="5">
        <v>1685</v>
      </c>
      <c r="B1746" s="138">
        <f>'Tax Sched 23'!B6</f>
        <v>163679</v>
      </c>
      <c r="C1746" s="2" t="s">
        <v>573</v>
      </c>
      <c r="D1746" s="2" t="str">
        <f t="shared" si="26"/>
        <v>Error?</v>
      </c>
    </row>
    <row r="1747" spans="1:5" x14ac:dyDescent="0.2">
      <c r="A1747" s="5">
        <v>1686</v>
      </c>
      <c r="B1747" s="138">
        <f>'Tax Sched 23'!B7</f>
        <v>135286</v>
      </c>
      <c r="C1747" s="2" t="s">
        <v>573</v>
      </c>
      <c r="D1747" s="2" t="str">
        <f t="shared" si="26"/>
        <v>Error?</v>
      </c>
    </row>
    <row r="1748" spans="1:5" x14ac:dyDescent="0.2">
      <c r="A1748" s="5">
        <v>1687</v>
      </c>
      <c r="B1748" s="138">
        <f>'Tax Sched 23'!B8</f>
        <v>64565</v>
      </c>
      <c r="C1748" s="2" t="s">
        <v>573</v>
      </c>
      <c r="D1748" s="2" t="str">
        <f t="shared" si="26"/>
        <v>Error?</v>
      </c>
    </row>
    <row r="1749" spans="1:5" x14ac:dyDescent="0.2">
      <c r="A1749" s="5">
        <v>1688</v>
      </c>
      <c r="B1749" s="138">
        <f>'Tax Sched 23'!B10</f>
        <v>56375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187517</v>
      </c>
      <c r="C1752" s="2" t="s">
        <v>573</v>
      </c>
      <c r="D1752" s="2" t="str">
        <f t="shared" si="26"/>
        <v>Error?</v>
      </c>
    </row>
    <row r="1753" spans="1:5" x14ac:dyDescent="0.2">
      <c r="A1753" s="5">
        <v>1692</v>
      </c>
      <c r="B1753" s="138">
        <f>'Tax Sched 23'!B12</f>
        <v>56375</v>
      </c>
      <c r="C1753" s="2" t="s">
        <v>573</v>
      </c>
      <c r="D1753" s="2" t="str">
        <f t="shared" si="26"/>
        <v>Error?</v>
      </c>
    </row>
    <row r="1754" spans="1:5" x14ac:dyDescent="0.2">
      <c r="A1754" s="5">
        <v>1693</v>
      </c>
      <c r="B1754" s="138">
        <f>'Tax Sched 23'!B14</f>
        <v>22548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2962826</v>
      </c>
      <c r="C1759" s="2" t="s">
        <v>573</v>
      </c>
      <c r="D1759" s="2" t="str">
        <f t="shared" si="26"/>
        <v>Error?</v>
      </c>
    </row>
    <row r="1760" spans="1:5" x14ac:dyDescent="0.2">
      <c r="A1760" s="5">
        <v>1699</v>
      </c>
      <c r="B1760" s="138">
        <f>'Tax Sched 23'!D4</f>
        <v>891938</v>
      </c>
      <c r="C1760" s="2" t="s">
        <v>573</v>
      </c>
      <c r="D1760" s="2" t="str">
        <f t="shared" si="26"/>
        <v>Error?</v>
      </c>
    </row>
    <row r="1761" spans="1:5" x14ac:dyDescent="0.2">
      <c r="A1761" s="5">
        <v>1700</v>
      </c>
      <c r="B1761" s="138">
        <f>'Tax Sched 23'!D5</f>
        <v>133525</v>
      </c>
      <c r="C1761" s="2" t="s">
        <v>573</v>
      </c>
      <c r="D1761" s="2" t="str">
        <f t="shared" si="26"/>
        <v>Error?</v>
      </c>
    </row>
    <row r="1762" spans="1:5" s="8" customFormat="1" x14ac:dyDescent="0.2">
      <c r="A1762" s="5">
        <v>1701</v>
      </c>
      <c r="B1762" s="138">
        <f>'Tax Sched 23'!D6</f>
        <v>78338</v>
      </c>
      <c r="C1762" s="2" t="s">
        <v>573</v>
      </c>
      <c r="D1762" s="2" t="str">
        <f t="shared" si="26"/>
        <v>Error?</v>
      </c>
      <c r="E1762" s="9"/>
    </row>
    <row r="1763" spans="1:5" x14ac:dyDescent="0.2">
      <c r="A1763" s="5">
        <v>1702</v>
      </c>
      <c r="B1763" s="138">
        <f>'Tax Sched 23'!D7</f>
        <v>64091</v>
      </c>
      <c r="C1763" s="2" t="s">
        <v>573</v>
      </c>
      <c r="D1763" s="2" t="str">
        <f t="shared" si="26"/>
        <v>Error?</v>
      </c>
    </row>
    <row r="1764" spans="1:5" x14ac:dyDescent="0.2">
      <c r="A1764" s="5">
        <v>1703</v>
      </c>
      <c r="B1764" s="138">
        <f>'Tax Sched 23'!D8</f>
        <v>30171</v>
      </c>
      <c r="C1764" s="2" t="s">
        <v>573</v>
      </c>
      <c r="D1764" s="2" t="str">
        <f t="shared" si="26"/>
        <v>Error?</v>
      </c>
    </row>
    <row r="1765" spans="1:5" x14ac:dyDescent="0.2">
      <c r="A1765" s="5">
        <v>1704</v>
      </c>
      <c r="B1765" s="138">
        <f>'Tax Sched 23'!D10</f>
        <v>26705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90501</v>
      </c>
      <c r="C1768" s="2" t="s">
        <v>573</v>
      </c>
      <c r="D1768" s="2" t="str">
        <f t="shared" si="26"/>
        <v>Error?</v>
      </c>
    </row>
    <row r="1769" spans="1:5" x14ac:dyDescent="0.2">
      <c r="A1769" s="5">
        <v>1708</v>
      </c>
      <c r="B1769" s="138">
        <f>'Tax Sched 23'!D12</f>
        <v>26705</v>
      </c>
      <c r="C1769" s="2" t="s">
        <v>573</v>
      </c>
      <c r="D1769" s="2" t="str">
        <f t="shared" si="26"/>
        <v>Error?</v>
      </c>
    </row>
    <row r="1770" spans="1:5" x14ac:dyDescent="0.2">
      <c r="A1770" s="5">
        <v>1709</v>
      </c>
      <c r="B1770" s="138">
        <f>'Tax Sched 23'!D14</f>
        <v>10682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1401499</v>
      </c>
      <c r="C1775" s="2" t="s">
        <v>573</v>
      </c>
      <c r="D1775" s="2" t="str">
        <f t="shared" si="26"/>
        <v>Error?</v>
      </c>
    </row>
    <row r="1776" spans="1:5" x14ac:dyDescent="0.2">
      <c r="A1776" s="5">
        <v>1715</v>
      </c>
      <c r="B1776" s="138">
        <f>'Tax Sched 23'!C4</f>
        <v>990810</v>
      </c>
      <c r="D1776" s="2" t="str">
        <f t="shared" si="26"/>
        <v>Error?</v>
      </c>
    </row>
    <row r="1777" spans="1:4" x14ac:dyDescent="0.2">
      <c r="A1777" s="5">
        <v>1716</v>
      </c>
      <c r="B1777" s="138">
        <f>'Tax Sched 23'!C5</f>
        <v>148326</v>
      </c>
      <c r="D1777" s="2" t="str">
        <f t="shared" si="26"/>
        <v>Error?</v>
      </c>
    </row>
    <row r="1778" spans="1:4" x14ac:dyDescent="0.2">
      <c r="A1778" s="5">
        <v>1717</v>
      </c>
      <c r="B1778" s="138">
        <f>'Tax Sched 23'!C6</f>
        <v>85341</v>
      </c>
      <c r="D1778" s="2" t="str">
        <f t="shared" si="26"/>
        <v>Error?</v>
      </c>
    </row>
    <row r="1779" spans="1:4" x14ac:dyDescent="0.2">
      <c r="A1779" s="5">
        <v>1718</v>
      </c>
      <c r="B1779" s="138">
        <f>'Tax Sched 23'!C7</f>
        <v>71195</v>
      </c>
      <c r="D1779" s="2" t="str">
        <f t="shared" si="26"/>
        <v>Error?</v>
      </c>
    </row>
    <row r="1780" spans="1:4" x14ac:dyDescent="0.2">
      <c r="A1780" s="5">
        <v>1719</v>
      </c>
      <c r="B1780" s="138">
        <f>'Tax Sched 23'!C8</f>
        <v>34394</v>
      </c>
      <c r="D1780" s="2" t="str">
        <f t="shared" si="26"/>
        <v>Error?</v>
      </c>
    </row>
    <row r="1781" spans="1:4" x14ac:dyDescent="0.2">
      <c r="A1781" s="5">
        <v>1720</v>
      </c>
      <c r="B1781" s="138">
        <f>'Tax Sched 23'!C10</f>
        <v>29670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97016</v>
      </c>
      <c r="D1784" s="2" t="str">
        <f t="shared" si="26"/>
        <v>Error?</v>
      </c>
    </row>
    <row r="1785" spans="1:4" x14ac:dyDescent="0.2">
      <c r="A1785" s="5">
        <v>1724</v>
      </c>
      <c r="B1785" s="138">
        <f>'Tax Sched 23'!C12</f>
        <v>29670</v>
      </c>
      <c r="D1785" s="2" t="str">
        <f t="shared" si="26"/>
        <v>Error?</v>
      </c>
    </row>
    <row r="1786" spans="1:4" x14ac:dyDescent="0.2">
      <c r="A1786" s="5">
        <v>1725</v>
      </c>
      <c r="B1786" s="138">
        <f>'Tax Sched 23'!C14</f>
        <v>11866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1561327</v>
      </c>
      <c r="C1791" s="2" t="s">
        <v>573</v>
      </c>
      <c r="D1791" s="2" t="str">
        <f t="shared" ref="D1791:D1854" si="27">IF(ISBLANK(B1791),"OK",IF(A1791-B1791=0,"OK","Error?"))</f>
        <v>Error?</v>
      </c>
    </row>
    <row r="1792" spans="1:4" x14ac:dyDescent="0.2">
      <c r="A1792" s="5">
        <v>1731</v>
      </c>
      <c r="B1792" s="138">
        <f>'Tax Sched 23'!F4</f>
        <v>939141</v>
      </c>
      <c r="C1792" s="2" t="s">
        <v>573</v>
      </c>
      <c r="D1792" s="2" t="str">
        <f t="shared" si="27"/>
        <v>Error?</v>
      </c>
    </row>
    <row r="1793" spans="1:4" x14ac:dyDescent="0.2">
      <c r="A1793" s="5">
        <v>1732</v>
      </c>
      <c r="B1793" s="138">
        <f>'Tax Sched 23'!F5</f>
        <v>140593</v>
      </c>
      <c r="C1793" s="2" t="s">
        <v>573</v>
      </c>
      <c r="D1793" s="2" t="str">
        <f t="shared" si="27"/>
        <v>Error?</v>
      </c>
    </row>
    <row r="1794" spans="1:4" x14ac:dyDescent="0.2">
      <c r="A1794" s="5">
        <v>1733</v>
      </c>
      <c r="B1794" s="138">
        <f>'Tax Sched 23'!F6</f>
        <v>80890</v>
      </c>
      <c r="C1794" s="2" t="s">
        <v>573</v>
      </c>
      <c r="D1794" s="2" t="str">
        <f t="shared" si="27"/>
        <v>Error?</v>
      </c>
    </row>
    <row r="1795" spans="1:4" x14ac:dyDescent="0.2">
      <c r="A1795" s="5">
        <v>1734</v>
      </c>
      <c r="B1795" s="138">
        <f>'Tax Sched 23'!F7</f>
        <v>67483</v>
      </c>
      <c r="C1795" s="2" t="s">
        <v>573</v>
      </c>
      <c r="D1795" s="2" t="str">
        <f t="shared" si="27"/>
        <v>Error?</v>
      </c>
    </row>
    <row r="1796" spans="1:4" x14ac:dyDescent="0.2">
      <c r="A1796" s="5">
        <v>1735</v>
      </c>
      <c r="B1796" s="138">
        <f>'Tax Sched 23'!F8</f>
        <v>32602</v>
      </c>
      <c r="C1796" s="2" t="s">
        <v>573</v>
      </c>
      <c r="D1796" s="2" t="str">
        <f t="shared" si="27"/>
        <v>Error?</v>
      </c>
    </row>
    <row r="1797" spans="1:4" x14ac:dyDescent="0.2">
      <c r="A1797" s="5">
        <v>1736</v>
      </c>
      <c r="B1797" s="138">
        <f>'Tax Sched 23'!F10</f>
        <v>28123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91959</v>
      </c>
      <c r="C1800" s="2" t="s">
        <v>573</v>
      </c>
      <c r="D1800" s="2" t="str">
        <f t="shared" si="27"/>
        <v>Error?</v>
      </c>
    </row>
    <row r="1801" spans="1:4" x14ac:dyDescent="0.2">
      <c r="A1801" s="5">
        <v>1740</v>
      </c>
      <c r="B1801" s="138">
        <f>'Tax Sched 23'!F12</f>
        <v>28123</v>
      </c>
      <c r="C1801" s="2" t="s">
        <v>573</v>
      </c>
      <c r="D1801" s="2" t="str">
        <f t="shared" si="27"/>
        <v>Error?</v>
      </c>
    </row>
    <row r="1802" spans="1:4" x14ac:dyDescent="0.2">
      <c r="A1802" s="5">
        <v>1741</v>
      </c>
      <c r="B1802" s="138">
        <f>'Tax Sched 23'!F14</f>
        <v>11250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1479915</v>
      </c>
      <c r="C1807" s="2" t="s">
        <v>573</v>
      </c>
      <c r="D1807" s="2" t="str">
        <f t="shared" si="27"/>
        <v>Error?</v>
      </c>
    </row>
    <row r="1808" spans="1:4" x14ac:dyDescent="0.2">
      <c r="A1808" s="5">
        <v>1747</v>
      </c>
      <c r="B1808" s="138">
        <f>'Tax Sched 23'!E4</f>
        <v>1929951</v>
      </c>
      <c r="D1808" s="2" t="str">
        <f t="shared" si="27"/>
        <v>Error?</v>
      </c>
    </row>
    <row r="1809" spans="1:4" x14ac:dyDescent="0.2">
      <c r="A1809" s="5">
        <v>1748</v>
      </c>
      <c r="B1809" s="138">
        <f>'Tax Sched 23'!E5</f>
        <v>288919</v>
      </c>
      <c r="D1809" s="2" t="str">
        <f t="shared" si="27"/>
        <v>Error?</v>
      </c>
    </row>
    <row r="1810" spans="1:4" x14ac:dyDescent="0.2">
      <c r="A1810" s="5">
        <v>1749</v>
      </c>
      <c r="B1810" s="138">
        <f>'Tax Sched 23'!E6</f>
        <v>166231</v>
      </c>
      <c r="D1810" s="2" t="str">
        <f t="shared" si="27"/>
        <v>Error?</v>
      </c>
    </row>
    <row r="1811" spans="1:4" x14ac:dyDescent="0.2">
      <c r="A1811" s="5">
        <v>1750</v>
      </c>
      <c r="B1811" s="138">
        <f>'Tax Sched 23'!E7</f>
        <v>138678</v>
      </c>
      <c r="D1811" s="2" t="str">
        <f t="shared" si="27"/>
        <v>Error?</v>
      </c>
    </row>
    <row r="1812" spans="1:4" x14ac:dyDescent="0.2">
      <c r="A1812" s="5">
        <v>1751</v>
      </c>
      <c r="B1812" s="138">
        <f>'Tax Sched 23'!E8</f>
        <v>66996</v>
      </c>
      <c r="D1812" s="2" t="str">
        <f t="shared" si="27"/>
        <v>Error?</v>
      </c>
    </row>
    <row r="1813" spans="1:4" x14ac:dyDescent="0.2">
      <c r="A1813" s="5">
        <v>1752</v>
      </c>
      <c r="B1813" s="138">
        <f>'Tax Sched 23'!E10</f>
        <v>57793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188975</v>
      </c>
      <c r="D1816" s="2" t="str">
        <f t="shared" si="27"/>
        <v>Error?</v>
      </c>
    </row>
    <row r="1817" spans="1:4" x14ac:dyDescent="0.2">
      <c r="A1817" s="5">
        <v>1756</v>
      </c>
      <c r="B1817" s="138">
        <f>'Tax Sched 23'!E12</f>
        <v>57793</v>
      </c>
      <c r="D1817" s="2" t="str">
        <f t="shared" si="27"/>
        <v>Error?</v>
      </c>
    </row>
    <row r="1818" spans="1:4" x14ac:dyDescent="0.2">
      <c r="A1818" s="5">
        <v>1757</v>
      </c>
      <c r="B1818" s="138">
        <f>'Tax Sched 23'!E14</f>
        <v>23116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3041242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160000</v>
      </c>
      <c r="C1939" s="2" t="s">
        <v>573</v>
      </c>
      <c r="D1939" s="2" t="str">
        <f t="shared" si="29"/>
        <v>Error?</v>
      </c>
    </row>
    <row r="1940" spans="1:5" x14ac:dyDescent="0.2">
      <c r="A1940" s="5">
        <v>1879</v>
      </c>
      <c r="B1940" s="138">
        <f>'Short-Term Long-Term Debt 24'!F49</f>
        <v>600000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22548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22548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22548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177257</v>
      </c>
      <c r="D2008" s="2" t="str">
        <f t="shared" si="30"/>
        <v>Error?</v>
      </c>
    </row>
    <row r="2009" spans="1:4" x14ac:dyDescent="0.2">
      <c r="A2009" s="5">
        <v>1948</v>
      </c>
      <c r="B2009" s="138">
        <f>'Cap Outlay Deprec 26'!C8</f>
        <v>3849420</v>
      </c>
      <c r="D2009" s="2" t="str">
        <f t="shared" si="30"/>
        <v>Error?</v>
      </c>
    </row>
    <row r="2010" spans="1:4" x14ac:dyDescent="0.2">
      <c r="A2010" s="5">
        <v>1949</v>
      </c>
      <c r="B2010" s="138">
        <f>'Cap Outlay Deprec 26'!C10</f>
        <v>352375</v>
      </c>
      <c r="D2010" s="2" t="str">
        <f t="shared" si="30"/>
        <v>Error?</v>
      </c>
    </row>
    <row r="2011" spans="1:4" x14ac:dyDescent="0.2">
      <c r="A2011" s="5">
        <v>1950</v>
      </c>
      <c r="B2011" s="138">
        <f>'Cap Outlay Deprec 26'!C12</f>
        <v>778975</v>
      </c>
      <c r="D2011" s="2" t="str">
        <f t="shared" si="30"/>
        <v>Error?</v>
      </c>
    </row>
    <row r="2012" spans="1:4" x14ac:dyDescent="0.2">
      <c r="A2012" s="5">
        <v>1951</v>
      </c>
      <c r="B2012" s="138">
        <f>'Cap Outlay Deprec 26'!C13</f>
        <v>9756</v>
      </c>
      <c r="D2012" s="2" t="str">
        <f t="shared" si="30"/>
        <v>Error?</v>
      </c>
    </row>
    <row r="2013" spans="1:4" x14ac:dyDescent="0.2">
      <c r="A2013" s="5">
        <v>1952</v>
      </c>
      <c r="B2013" s="138">
        <f>'Cap Outlay Deprec 26'!C16</f>
        <v>5167783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199520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129828</v>
      </c>
      <c r="D2017" s="2" t="str">
        <f t="shared" si="30"/>
        <v>Error?</v>
      </c>
    </row>
    <row r="2018" spans="1:4" x14ac:dyDescent="0.2">
      <c r="A2018" s="5">
        <v>1957</v>
      </c>
      <c r="B2018" s="138">
        <f>'Cap Outlay Deprec 26'!D13</f>
        <v>5828</v>
      </c>
      <c r="D2018" s="2" t="str">
        <f t="shared" si="30"/>
        <v>Error?</v>
      </c>
    </row>
    <row r="2019" spans="1:4" x14ac:dyDescent="0.2">
      <c r="A2019" s="5">
        <v>1958</v>
      </c>
      <c r="B2019" s="138">
        <f>'Cap Outlay Deprec 26'!D16</f>
        <v>335176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177257</v>
      </c>
      <c r="C2026" s="2" t="s">
        <v>573</v>
      </c>
      <c r="D2026" s="2" t="str">
        <f t="shared" si="30"/>
        <v>Error?</v>
      </c>
    </row>
    <row r="2027" spans="1:4" x14ac:dyDescent="0.2">
      <c r="A2027" s="5">
        <v>1966</v>
      </c>
      <c r="B2027" s="138">
        <f>'Cap Outlay Deprec 26'!F8</f>
        <v>4048940</v>
      </c>
      <c r="C2027" s="2" t="s">
        <v>573</v>
      </c>
      <c r="D2027" s="2" t="str">
        <f t="shared" si="30"/>
        <v>Error?</v>
      </c>
    </row>
    <row r="2028" spans="1:4" x14ac:dyDescent="0.2">
      <c r="A2028" s="5">
        <v>1967</v>
      </c>
      <c r="B2028" s="138">
        <f>'Cap Outlay Deprec 26'!F10</f>
        <v>352375</v>
      </c>
      <c r="C2028" s="2" t="s">
        <v>573</v>
      </c>
      <c r="D2028" s="2" t="str">
        <f t="shared" si="30"/>
        <v>Error?</v>
      </c>
    </row>
    <row r="2029" spans="1:4" x14ac:dyDescent="0.2">
      <c r="A2029" s="5">
        <v>1968</v>
      </c>
      <c r="B2029" s="138">
        <f>'Cap Outlay Deprec 26'!F12</f>
        <v>908803</v>
      </c>
      <c r="C2029" s="2" t="s">
        <v>573</v>
      </c>
      <c r="D2029" s="2" t="str">
        <f t="shared" si="30"/>
        <v>Error?</v>
      </c>
    </row>
    <row r="2030" spans="1:4" x14ac:dyDescent="0.2">
      <c r="A2030" s="5">
        <v>1969</v>
      </c>
      <c r="B2030" s="138">
        <f>'Cap Outlay Deprec 26'!F13</f>
        <v>15584</v>
      </c>
      <c r="C2030" s="2" t="s">
        <v>573</v>
      </c>
      <c r="D2030" s="2" t="str">
        <f t="shared" si="30"/>
        <v>Error?</v>
      </c>
    </row>
    <row r="2031" spans="1:4" x14ac:dyDescent="0.2">
      <c r="A2031" s="5">
        <v>1970</v>
      </c>
      <c r="B2031" s="138">
        <f>'Cap Outlay Deprec 26'!F16</f>
        <v>5502959</v>
      </c>
      <c r="C2031" s="2" t="s">
        <v>573</v>
      </c>
      <c r="D2031" s="2" t="str">
        <f t="shared" si="30"/>
        <v>Error?</v>
      </c>
    </row>
    <row r="2032" spans="1:4" x14ac:dyDescent="0.2">
      <c r="A2032" s="10">
        <v>1971</v>
      </c>
      <c r="D2032" s="2" t="str">
        <f t="shared" si="30"/>
        <v>OK</v>
      </c>
    </row>
    <row r="2033" spans="1:4" x14ac:dyDescent="0.2">
      <c r="A2033" s="5">
        <v>1972</v>
      </c>
      <c r="B2033" s="138">
        <f>'Cap Outlay Deprec 26'!H8</f>
        <v>1491860</v>
      </c>
      <c r="D2033" s="2" t="str">
        <f t="shared" si="30"/>
        <v>Error?</v>
      </c>
    </row>
    <row r="2034" spans="1:4" x14ac:dyDescent="0.2">
      <c r="A2034" s="5">
        <v>1973</v>
      </c>
      <c r="B2034" s="138">
        <f>'Cap Outlay Deprec 26'!H10</f>
        <v>257747</v>
      </c>
      <c r="D2034" s="2" t="str">
        <f t="shared" si="30"/>
        <v>Error?</v>
      </c>
    </row>
    <row r="2035" spans="1:4" x14ac:dyDescent="0.2">
      <c r="A2035" s="5">
        <v>1974</v>
      </c>
      <c r="B2035" s="138">
        <f>'Cap Outlay Deprec 26'!H12</f>
        <v>534967</v>
      </c>
      <c r="D2035" s="2" t="str">
        <f t="shared" si="30"/>
        <v>Error?</v>
      </c>
    </row>
    <row r="2036" spans="1:4" x14ac:dyDescent="0.2">
      <c r="A2036" s="5">
        <v>1975</v>
      </c>
      <c r="B2036" s="138">
        <f>'Cap Outlay Deprec 26'!H13</f>
        <v>9756</v>
      </c>
      <c r="D2036" s="2" t="str">
        <f t="shared" si="30"/>
        <v>Error?</v>
      </c>
    </row>
    <row r="2037" spans="1:4" x14ac:dyDescent="0.2">
      <c r="A2037" s="5">
        <v>1976</v>
      </c>
      <c r="B2037" s="138">
        <f>'Cap Outlay Deprec 26'!H16</f>
        <v>2294330</v>
      </c>
      <c r="C2037" s="2" t="s">
        <v>573</v>
      </c>
      <c r="D2037" s="2" t="str">
        <f t="shared" si="30"/>
        <v>Error?</v>
      </c>
    </row>
    <row r="2038" spans="1:4" x14ac:dyDescent="0.2">
      <c r="A2038" s="10">
        <v>1977</v>
      </c>
      <c r="D2038" s="2" t="str">
        <f t="shared" si="30"/>
        <v>OK</v>
      </c>
    </row>
    <row r="2039" spans="1:4" x14ac:dyDescent="0.2">
      <c r="A2039" s="5">
        <v>1978</v>
      </c>
      <c r="B2039" s="138">
        <f>'Cap Outlay Deprec 26'!I8</f>
        <v>73033</v>
      </c>
      <c r="D2039" s="2" t="str">
        <f t="shared" si="30"/>
        <v>Error?</v>
      </c>
    </row>
    <row r="2040" spans="1:4" x14ac:dyDescent="0.2">
      <c r="A2040" s="5">
        <v>1979</v>
      </c>
      <c r="B2040" s="138">
        <f>'Cap Outlay Deprec 26'!I10</f>
        <v>10848</v>
      </c>
      <c r="D2040" s="2" t="str">
        <f t="shared" si="30"/>
        <v>Error?</v>
      </c>
    </row>
    <row r="2041" spans="1:4" x14ac:dyDescent="0.2">
      <c r="A2041" s="5">
        <v>1980</v>
      </c>
      <c r="B2041" s="138">
        <f>'Cap Outlay Deprec 26'!I12</f>
        <v>76805</v>
      </c>
      <c r="D2041" s="2" t="str">
        <f t="shared" si="30"/>
        <v>Error?</v>
      </c>
    </row>
    <row r="2042" spans="1:4" x14ac:dyDescent="0.2">
      <c r="A2042" s="5">
        <v>1981</v>
      </c>
      <c r="B2042" s="138">
        <f>'Cap Outlay Deprec 26'!I13</f>
        <v>2175</v>
      </c>
      <c r="D2042" s="2" t="str">
        <f t="shared" si="30"/>
        <v>Error?</v>
      </c>
    </row>
    <row r="2043" spans="1:4" x14ac:dyDescent="0.2">
      <c r="A2043" s="5">
        <v>1982</v>
      </c>
      <c r="B2043" s="138">
        <f>'Cap Outlay Deprec 26'!I16</f>
        <v>162861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1564893</v>
      </c>
      <c r="C2051" s="2" t="s">
        <v>573</v>
      </c>
      <c r="D2051" s="2" t="str">
        <f t="shared" si="31"/>
        <v>Error?</v>
      </c>
    </row>
    <row r="2052" spans="1:4" x14ac:dyDescent="0.2">
      <c r="A2052" s="5">
        <v>1991</v>
      </c>
      <c r="B2052" s="138">
        <f>'Cap Outlay Deprec 26'!K10</f>
        <v>268595</v>
      </c>
      <c r="C2052" s="2" t="s">
        <v>573</v>
      </c>
      <c r="D2052" s="2" t="str">
        <f t="shared" si="31"/>
        <v>Error?</v>
      </c>
    </row>
    <row r="2053" spans="1:4" x14ac:dyDescent="0.2">
      <c r="A2053" s="5">
        <v>1992</v>
      </c>
      <c r="B2053" s="138">
        <f>'Cap Outlay Deprec 26'!K12</f>
        <v>611772</v>
      </c>
      <c r="C2053" s="2" t="s">
        <v>573</v>
      </c>
      <c r="D2053" s="2" t="str">
        <f t="shared" si="31"/>
        <v>Error?</v>
      </c>
    </row>
    <row r="2054" spans="1:4" x14ac:dyDescent="0.2">
      <c r="A2054" s="5">
        <v>1993</v>
      </c>
      <c r="B2054" s="138">
        <f>'Cap Outlay Deprec 26'!K13</f>
        <v>11931</v>
      </c>
      <c r="C2054" s="2" t="s">
        <v>573</v>
      </c>
      <c r="D2054" s="2" t="str">
        <f t="shared" si="31"/>
        <v>Error?</v>
      </c>
    </row>
    <row r="2055" spans="1:4" x14ac:dyDescent="0.2">
      <c r="A2055" s="5">
        <v>1994</v>
      </c>
      <c r="B2055" s="138">
        <f>'Cap Outlay Deprec 26'!K16</f>
        <v>2457191</v>
      </c>
      <c r="C2055" s="2" t="s">
        <v>573</v>
      </c>
      <c r="D2055" s="2" t="str">
        <f t="shared" si="31"/>
        <v>Error?</v>
      </c>
    </row>
    <row r="2056" spans="1:4" x14ac:dyDescent="0.2">
      <c r="A2056" s="5">
        <v>1995</v>
      </c>
      <c r="B2056" s="138">
        <f>'Cap Outlay Deprec 26'!L5</f>
        <v>177257</v>
      </c>
      <c r="C2056" s="2" t="s">
        <v>573</v>
      </c>
      <c r="D2056" s="2" t="str">
        <f t="shared" si="31"/>
        <v>Error?</v>
      </c>
    </row>
    <row r="2057" spans="1:4" x14ac:dyDescent="0.2">
      <c r="A2057" s="5">
        <v>1996</v>
      </c>
      <c r="B2057" s="138">
        <f>'Cap Outlay Deprec 26'!L8</f>
        <v>2484047</v>
      </c>
      <c r="C2057" s="2" t="s">
        <v>573</v>
      </c>
      <c r="D2057" s="2" t="str">
        <f t="shared" si="31"/>
        <v>Error?</v>
      </c>
    </row>
    <row r="2058" spans="1:4" x14ac:dyDescent="0.2">
      <c r="A2058" s="5">
        <v>1997</v>
      </c>
      <c r="B2058" s="138">
        <f>'Cap Outlay Deprec 26'!L10</f>
        <v>83780</v>
      </c>
      <c r="C2058" s="2" t="s">
        <v>573</v>
      </c>
      <c r="D2058" s="2" t="str">
        <f t="shared" si="31"/>
        <v>Error?</v>
      </c>
    </row>
    <row r="2059" spans="1:4" x14ac:dyDescent="0.2">
      <c r="A2059" s="5">
        <v>1998</v>
      </c>
      <c r="B2059" s="138">
        <f>'Cap Outlay Deprec 26'!L12</f>
        <v>297031</v>
      </c>
      <c r="C2059" s="2" t="s">
        <v>573</v>
      </c>
      <c r="D2059" s="2" t="str">
        <f t="shared" si="31"/>
        <v>Error?</v>
      </c>
    </row>
    <row r="2060" spans="1:4" x14ac:dyDescent="0.2">
      <c r="A2060" s="5">
        <v>1999</v>
      </c>
      <c r="B2060" s="138">
        <f>'Cap Outlay Deprec 26'!L13</f>
        <v>3653</v>
      </c>
      <c r="C2060" s="2" t="s">
        <v>573</v>
      </c>
      <c r="D2060" s="2" t="str">
        <f t="shared" si="31"/>
        <v>Error?</v>
      </c>
    </row>
    <row r="2061" spans="1:4" x14ac:dyDescent="0.2">
      <c r="A2061" s="5">
        <v>2000</v>
      </c>
      <c r="B2061" s="138">
        <f>'Cap Outlay Deprec 26'!L16</f>
        <v>3045768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213378</v>
      </c>
      <c r="C2088" s="2" t="s">
        <v>573</v>
      </c>
      <c r="D2088" s="2" t="str">
        <f t="shared" si="31"/>
        <v>Error?</v>
      </c>
    </row>
    <row r="2089" spans="1:4" x14ac:dyDescent="0.2">
      <c r="A2089" s="5">
        <v>2028</v>
      </c>
      <c r="B2089" s="138">
        <f>'Expenditures 15-22'!K92</f>
        <v>83996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191200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238878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29536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2254535</v>
      </c>
      <c r="C2551" s="2" t="s">
        <v>573</v>
      </c>
      <c r="D2551" s="2" t="str">
        <f t="shared" si="38"/>
        <v>Error?</v>
      </c>
    </row>
    <row r="2552" spans="1:4" x14ac:dyDescent="0.2">
      <c r="A2552" s="10">
        <v>2491</v>
      </c>
      <c r="D2552" s="2" t="str">
        <f t="shared" si="38"/>
        <v>OK</v>
      </c>
    </row>
    <row r="2553" spans="1:4" x14ac:dyDescent="0.2">
      <c r="A2553" s="5">
        <v>2492</v>
      </c>
      <c r="B2553" s="138">
        <f>'Acct Summary 7-8'!C6</f>
        <v>180815</v>
      </c>
      <c r="C2553" s="2" t="s">
        <v>573</v>
      </c>
      <c r="D2553" s="2" t="str">
        <f t="shared" si="38"/>
        <v>Error?</v>
      </c>
    </row>
    <row r="2554" spans="1:4" x14ac:dyDescent="0.2">
      <c r="A2554" s="5">
        <v>2493</v>
      </c>
      <c r="B2554" s="138">
        <f>'Acct Summary 7-8'!C7</f>
        <v>66403</v>
      </c>
      <c r="C2554" s="2" t="s">
        <v>573</v>
      </c>
      <c r="D2554" s="2" t="str">
        <f t="shared" si="38"/>
        <v>Error?</v>
      </c>
    </row>
    <row r="2555" spans="1:4" x14ac:dyDescent="0.2">
      <c r="A2555" s="5">
        <v>2494</v>
      </c>
      <c r="B2555" s="138">
        <f>'Acct Summary 7-8'!C8</f>
        <v>2502503</v>
      </c>
      <c r="C2555" s="2" t="s">
        <v>573</v>
      </c>
      <c r="D2555" s="2" t="str">
        <f t="shared" si="38"/>
        <v>Error?</v>
      </c>
    </row>
    <row r="2556" spans="1:4" x14ac:dyDescent="0.2">
      <c r="A2556" s="5">
        <v>2495</v>
      </c>
      <c r="B2556" s="138">
        <f>'Acct Summary 7-8'!C12</f>
        <v>1402599</v>
      </c>
      <c r="C2556" s="2" t="s">
        <v>573</v>
      </c>
      <c r="D2556" s="2" t="str">
        <f t="shared" si="38"/>
        <v>Error?</v>
      </c>
    </row>
    <row r="2557" spans="1:4" x14ac:dyDescent="0.2">
      <c r="A2557" s="5">
        <v>2496</v>
      </c>
      <c r="B2557" s="138">
        <f>'Acct Summary 7-8'!C13</f>
        <v>715735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297374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2415708</v>
      </c>
      <c r="C2561" s="2" t="s">
        <v>573</v>
      </c>
      <c r="D2561" s="2" t="str">
        <f t="shared" si="39"/>
        <v>Error?</v>
      </c>
    </row>
    <row r="2562" spans="1:4" x14ac:dyDescent="0.2">
      <c r="A2562" s="5">
        <v>2501</v>
      </c>
      <c r="B2562" s="138">
        <f>'Acct Summary 7-8'!C20</f>
        <v>86795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287820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287820</v>
      </c>
      <c r="C2568" s="2" t="s">
        <v>573</v>
      </c>
      <c r="D2568" s="2" t="str">
        <f t="shared" si="39"/>
        <v>Error?</v>
      </c>
    </row>
    <row r="2569" spans="1:4" x14ac:dyDescent="0.2">
      <c r="A2569" s="5">
        <v>2508</v>
      </c>
      <c r="B2569" s="138">
        <f>'Acct Summary 7-8'!D13</f>
        <v>484217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484217</v>
      </c>
      <c r="C2573" s="2" t="s">
        <v>573</v>
      </c>
      <c r="D2573" s="2" t="str">
        <f t="shared" si="39"/>
        <v>Error?</v>
      </c>
    </row>
    <row r="2574" spans="1:4" x14ac:dyDescent="0.2">
      <c r="A2574" s="5">
        <v>2513</v>
      </c>
      <c r="B2574" s="138">
        <f>'Acct Summary 7-8'!D20</f>
        <v>-196397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256556</v>
      </c>
      <c r="C2591" s="2" t="s">
        <v>573</v>
      </c>
      <c r="D2591" s="2" t="str">
        <f t="shared" si="39"/>
        <v>Error?</v>
      </c>
    </row>
    <row r="2592" spans="1:4" x14ac:dyDescent="0.2">
      <c r="A2592" s="10">
        <v>2531</v>
      </c>
      <c r="D2592" s="2" t="str">
        <f t="shared" si="39"/>
        <v>OK</v>
      </c>
    </row>
    <row r="2593" spans="1:4" x14ac:dyDescent="0.2">
      <c r="A2593" s="5">
        <v>2532</v>
      </c>
      <c r="B2593" s="138">
        <f>'Acct Summary 7-8'!F6</f>
        <v>100979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357535</v>
      </c>
      <c r="C2595" s="2" t="s">
        <v>573</v>
      </c>
      <c r="D2595" s="2" t="str">
        <f t="shared" si="39"/>
        <v>Error?</v>
      </c>
    </row>
    <row r="2596" spans="1:4" x14ac:dyDescent="0.2">
      <c r="A2596" s="5">
        <v>2535</v>
      </c>
      <c r="B2596" s="138">
        <f>'Acct Summary 7-8'!F13</f>
        <v>331786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331786</v>
      </c>
      <c r="C2600" s="2" t="s">
        <v>573</v>
      </c>
      <c r="D2600" s="2" t="str">
        <f t="shared" si="39"/>
        <v>Error?</v>
      </c>
    </row>
    <row r="2601" spans="1:4" x14ac:dyDescent="0.2">
      <c r="A2601" s="5">
        <v>2540</v>
      </c>
      <c r="B2601" s="138">
        <f>'Acct Summary 7-8'!F20</f>
        <v>25749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137218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137218</v>
      </c>
      <c r="C2606" s="2" t="s">
        <v>573</v>
      </c>
      <c r="D2606" s="2" t="str">
        <f t="shared" si="39"/>
        <v>Error?</v>
      </c>
    </row>
    <row r="2607" spans="1:4" x14ac:dyDescent="0.2">
      <c r="A2607" s="5">
        <v>2546</v>
      </c>
      <c r="B2607" s="138">
        <f>'Acct Summary 7-8'!G12</f>
        <v>25324</v>
      </c>
      <c r="C2607" s="2" t="s">
        <v>573</v>
      </c>
      <c r="D2607" s="2" t="str">
        <f t="shared" si="39"/>
        <v>Error?</v>
      </c>
    </row>
    <row r="2608" spans="1:4" x14ac:dyDescent="0.2">
      <c r="A2608" s="5">
        <v>2547</v>
      </c>
      <c r="B2608" s="138">
        <f>'Acct Summary 7-8'!G13</f>
        <v>97844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123168</v>
      </c>
      <c r="C2612" s="2" t="s">
        <v>573</v>
      </c>
      <c r="D2612" s="2" t="str">
        <f t="shared" si="39"/>
        <v>Error?</v>
      </c>
    </row>
    <row r="2613" spans="1:4" x14ac:dyDescent="0.2">
      <c r="A2613" s="5">
        <v>2552</v>
      </c>
      <c r="B2613" s="138">
        <f>'Acct Summary 7-8'!G20</f>
        <v>14050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163679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163679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164600</v>
      </c>
      <c r="C2634" s="2" t="s">
        <v>573</v>
      </c>
      <c r="D2634" s="2" t="str">
        <f t="shared" si="40"/>
        <v>Error?</v>
      </c>
    </row>
    <row r="2635" spans="1:4" x14ac:dyDescent="0.2">
      <c r="A2635" s="5">
        <v>2574</v>
      </c>
      <c r="B2635" s="138">
        <f>'Acct Summary 7-8'!E17</f>
        <v>164600</v>
      </c>
      <c r="C2635" s="2" t="s">
        <v>573</v>
      </c>
      <c r="D2635" s="2" t="str">
        <f t="shared" si="40"/>
        <v>Error?</v>
      </c>
    </row>
    <row r="2636" spans="1:4" x14ac:dyDescent="0.2">
      <c r="A2636" s="5">
        <v>2575</v>
      </c>
      <c r="B2636" s="138">
        <f>'Acct Summary 7-8'!E20</f>
        <v>-921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7043</v>
      </c>
      <c r="D2725" s="2" t="str">
        <f t="shared" si="41"/>
        <v>Error?</v>
      </c>
    </row>
    <row r="2726" spans="1:4" x14ac:dyDescent="0.2">
      <c r="A2726" s="5">
        <v>2665</v>
      </c>
      <c r="B2726" s="138">
        <f>'Expenditures 15-22'!K247</f>
        <v>7043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213378</v>
      </c>
      <c r="C2789" s="2" t="s">
        <v>573</v>
      </c>
      <c r="D2789" s="2" t="str">
        <f t="shared" si="42"/>
        <v>Error?</v>
      </c>
    </row>
    <row r="2790" spans="1:4" x14ac:dyDescent="0.2">
      <c r="A2790" s="5">
        <v>2729</v>
      </c>
      <c r="B2790" s="138">
        <f>'Expenditures 15-22'!E102</f>
        <v>213378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1733074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83863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34733</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1698341</v>
      </c>
      <c r="D2912" s="2" t="str">
        <f t="shared" si="44"/>
        <v>Error?</v>
      </c>
    </row>
    <row r="2913" spans="1:4" x14ac:dyDescent="0.2">
      <c r="A2913" s="5">
        <v>2852</v>
      </c>
      <c r="B2913" s="138">
        <f>'Assets-Liab 5-6'!I41</f>
        <v>1733074</v>
      </c>
      <c r="C2913" s="2" t="s">
        <v>573</v>
      </c>
      <c r="D2913" s="2" t="str">
        <f t="shared" si="44"/>
        <v>Error?</v>
      </c>
    </row>
    <row r="2914" spans="1:4" x14ac:dyDescent="0.2">
      <c r="A2914" s="5">
        <v>2853</v>
      </c>
      <c r="B2914" s="138">
        <f>'Assets-Liab 5-6'!L33</f>
        <v>83863</v>
      </c>
      <c r="D2914" s="2" t="str">
        <f t="shared" si="44"/>
        <v>Error?</v>
      </c>
    </row>
    <row r="2915" spans="1:4" x14ac:dyDescent="0.2">
      <c r="A2915" s="10">
        <v>2854</v>
      </c>
      <c r="D2915" s="2" t="str">
        <f t="shared" si="44"/>
        <v>OK</v>
      </c>
    </row>
    <row r="2916" spans="1:4" x14ac:dyDescent="0.2">
      <c r="A2916" s="5">
        <v>2855</v>
      </c>
      <c r="B2916" s="138">
        <f>'Assets-Liab 5-6'!L34</f>
        <v>83863</v>
      </c>
      <c r="C2916" s="2" t="s">
        <v>573</v>
      </c>
      <c r="D2916" s="2" t="str">
        <f t="shared" si="44"/>
        <v>Error?</v>
      </c>
    </row>
    <row r="2917" spans="1:4" x14ac:dyDescent="0.2">
      <c r="A2917" s="5">
        <v>2856</v>
      </c>
      <c r="B2917" s="138">
        <f>'Assets-Liab 5-6'!L41</f>
        <v>83863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12282</v>
      </c>
      <c r="D2949" s="2" t="str">
        <f t="shared" si="45"/>
        <v>Error?</v>
      </c>
    </row>
    <row r="2950" spans="1:4" x14ac:dyDescent="0.2">
      <c r="A2950" s="5">
        <v>2889</v>
      </c>
      <c r="B2950" s="138">
        <f>'Expenditures 15-22'!E79</f>
        <v>141428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16389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43279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12282</v>
      </c>
      <c r="C2973" s="2" t="s">
        <v>573</v>
      </c>
      <c r="D2973" s="2" t="str">
        <f t="shared" si="45"/>
        <v>Error?</v>
      </c>
    </row>
    <row r="2974" spans="1:4" x14ac:dyDescent="0.2">
      <c r="A2974" s="5">
        <v>2913</v>
      </c>
      <c r="B2974" s="138">
        <f>'Expenditures 15-22'!K79</f>
        <v>141428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16389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43279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13493</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13493</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66783</v>
      </c>
      <c r="C3225" s="2" t="s">
        <v>573</v>
      </c>
      <c r="D3225" s="2" t="str">
        <f t="shared" si="49"/>
        <v>Error?</v>
      </c>
    </row>
    <row r="3226" spans="1:4" x14ac:dyDescent="0.2">
      <c r="A3226" s="5">
        <v>3165</v>
      </c>
      <c r="B3226" s="138">
        <f>'Acct Summary 7-8'!I8</f>
        <v>66783</v>
      </c>
      <c r="C3226" s="2" t="s">
        <v>573</v>
      </c>
      <c r="D3226" s="2" t="str">
        <f t="shared" si="49"/>
        <v>Error?</v>
      </c>
    </row>
    <row r="3227" spans="1:4" x14ac:dyDescent="0.2">
      <c r="A3227" s="5">
        <v>3166</v>
      </c>
      <c r="B3227" s="138">
        <f>'Acct Summary 7-8'!I20</f>
        <v>66783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86795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191200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191200</v>
      </c>
      <c r="C3238" s="2" t="s">
        <v>573</v>
      </c>
      <c r="D3238" s="2" t="str">
        <f t="shared" si="49"/>
        <v>Error?</v>
      </c>
    </row>
    <row r="3239" spans="1:4" x14ac:dyDescent="0.2">
      <c r="A3239" s="5">
        <v>3178</v>
      </c>
      <c r="B3239" s="138">
        <f>'Acct Summary 7-8'!D78</f>
        <v>-5197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25749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14050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-921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615000</v>
      </c>
      <c r="C3317" s="2" t="s">
        <v>573</v>
      </c>
      <c r="D3317" s="2" t="str">
        <f t="shared" si="50"/>
        <v>Error?</v>
      </c>
    </row>
    <row r="3318" spans="1:4" x14ac:dyDescent="0.2">
      <c r="A3318" s="5">
        <v>3257</v>
      </c>
      <c r="B3318" s="138">
        <f>'Acct Summary 7-8'!I76</f>
        <v>206200</v>
      </c>
      <c r="C3318" s="2" t="s">
        <v>573</v>
      </c>
      <c r="D3318" s="2" t="str">
        <f t="shared" si="50"/>
        <v>Error?</v>
      </c>
    </row>
    <row r="3319" spans="1:4" x14ac:dyDescent="0.2">
      <c r="A3319" s="5">
        <v>3258</v>
      </c>
      <c r="B3319" s="138">
        <f>'Acct Summary 7-8'!I77</f>
        <v>408800</v>
      </c>
      <c r="C3319" s="2" t="s">
        <v>573</v>
      </c>
      <c r="D3319" s="2" t="str">
        <f t="shared" si="50"/>
        <v>Error?</v>
      </c>
    </row>
    <row r="3320" spans="1:4" x14ac:dyDescent="0.2">
      <c r="A3320" s="5">
        <v>3259</v>
      </c>
      <c r="B3320" s="138">
        <f>'Acct Summary 7-8'!I78</f>
        <v>475583</v>
      </c>
      <c r="C3320" s="2" t="s">
        <v>573</v>
      </c>
      <c r="D3320" s="2" t="str">
        <f t="shared" si="50"/>
        <v>Error?</v>
      </c>
    </row>
    <row r="3321" spans="1:4" x14ac:dyDescent="0.2">
      <c r="A3321" s="5">
        <v>3260</v>
      </c>
      <c r="B3321" s="138">
        <f>'Acct Summary 7-8'!I79</f>
        <v>1222758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1698341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59645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19426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84037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11728</v>
      </c>
      <c r="D3387" s="2" t="str">
        <f t="shared" si="51"/>
        <v>Error?</v>
      </c>
    </row>
    <row r="3388" spans="1:4" x14ac:dyDescent="0.2">
      <c r="A3388" s="5">
        <v>3327</v>
      </c>
      <c r="B3388" s="138">
        <f>'Expenditures 15-22'!D217</f>
        <v>5387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11728</v>
      </c>
      <c r="C3390" s="2" t="s">
        <v>573</v>
      </c>
      <c r="D3390" s="2" t="str">
        <f t="shared" si="51"/>
        <v>Error?</v>
      </c>
    </row>
    <row r="3391" spans="1:4" x14ac:dyDescent="0.2">
      <c r="A3391" s="5">
        <v>3330</v>
      </c>
      <c r="B3391" s="138">
        <f>'Expenditures 15-22'!K217</f>
        <v>5387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750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750438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323681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88077</v>
      </c>
      <c r="D3417" s="2" t="str">
        <f t="shared" si="52"/>
        <v>Error?</v>
      </c>
    </row>
    <row r="3418" spans="1:4" x14ac:dyDescent="0.2">
      <c r="A3418" s="10">
        <v>3357</v>
      </c>
      <c r="D3418" s="2" t="str">
        <f t="shared" si="52"/>
        <v>OK</v>
      </c>
    </row>
    <row r="3419" spans="1:4" x14ac:dyDescent="0.2">
      <c r="A3419" s="5">
        <v>3358</v>
      </c>
      <c r="B3419" s="138">
        <f>'Assets-Liab 5-6'!F4</f>
        <v>98722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108120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1733074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83863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58270</v>
      </c>
      <c r="C3446" s="2" t="s">
        <v>573</v>
      </c>
      <c r="D3446" s="2" t="str">
        <f t="shared" si="52"/>
        <v>Error?</v>
      </c>
    </row>
    <row r="3447" spans="1:4" x14ac:dyDescent="0.2">
      <c r="A3447" s="5">
        <v>3386</v>
      </c>
      <c r="B3447" s="138">
        <f>'Tax Sched 23'!D16</f>
        <v>24901</v>
      </c>
      <c r="C3447" s="2" t="s">
        <v>573</v>
      </c>
      <c r="D3447" s="2" t="str">
        <f t="shared" si="52"/>
        <v>Error?</v>
      </c>
    </row>
    <row r="3448" spans="1:4" x14ac:dyDescent="0.2">
      <c r="A3448" s="5">
        <v>3387</v>
      </c>
      <c r="B3448" s="138">
        <f>'Tax Sched 23'!C16</f>
        <v>33369</v>
      </c>
      <c r="D3448" s="2" t="str">
        <f t="shared" si="52"/>
        <v>Error?</v>
      </c>
    </row>
    <row r="3449" spans="1:4" x14ac:dyDescent="0.2">
      <c r="A3449" s="5">
        <v>3388</v>
      </c>
      <c r="B3449" s="138">
        <f>'Tax Sched 23'!F16</f>
        <v>31628</v>
      </c>
      <c r="C3449" s="2" t="s">
        <v>573</v>
      </c>
      <c r="D3449" s="2" t="str">
        <f t="shared" si="52"/>
        <v>Error?</v>
      </c>
    </row>
    <row r="3450" spans="1:4" x14ac:dyDescent="0.2">
      <c r="A3450" s="5">
        <v>3389</v>
      </c>
      <c r="B3450" s="138">
        <f>'Tax Sched 23'!E16</f>
        <v>64997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22161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142289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164450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164450</v>
      </c>
      <c r="D3567" s="2" t="str">
        <f t="shared" si="54"/>
        <v>Error?</v>
      </c>
    </row>
    <row r="3568" spans="1:4" x14ac:dyDescent="0.2">
      <c r="A3568" s="5">
        <v>3507</v>
      </c>
      <c r="B3568" s="138">
        <f>'Assets-Liab 5-6'!K41</f>
        <v>164450</v>
      </c>
      <c r="C3568" s="2" t="s">
        <v>573</v>
      </c>
      <c r="D3568" s="2" t="str">
        <f t="shared" si="54"/>
        <v>Error?</v>
      </c>
    </row>
    <row r="3569" spans="1:4" x14ac:dyDescent="0.2">
      <c r="A3569" s="5">
        <v>3508</v>
      </c>
      <c r="B3569" s="138">
        <f>'Acct Summary 7-8'!K4</f>
        <v>56639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56639</v>
      </c>
      <c r="C3571" s="2" t="s">
        <v>573</v>
      </c>
      <c r="D3571" s="2" t="str">
        <f t="shared" si="54"/>
        <v>Error?</v>
      </c>
    </row>
    <row r="3572" spans="1:4" x14ac:dyDescent="0.2">
      <c r="A3572" s="5">
        <v>3511</v>
      </c>
      <c r="B3572" s="138">
        <f>'Acct Summary 7-8'!K13</f>
        <v>103803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103803</v>
      </c>
      <c r="C3575" s="2" t="s">
        <v>573</v>
      </c>
      <c r="D3575" s="2" t="str">
        <f t="shared" si="54"/>
        <v>Error?</v>
      </c>
    </row>
    <row r="3576" spans="1:4" x14ac:dyDescent="0.2">
      <c r="A3576" s="5">
        <v>3515</v>
      </c>
      <c r="B3576" s="138">
        <f>'Acct Summary 7-8'!K20</f>
        <v>-47164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-47164</v>
      </c>
      <c r="C3588" s="2" t="s">
        <v>573</v>
      </c>
      <c r="D3588" s="2" t="str">
        <f t="shared" si="55"/>
        <v>Error?</v>
      </c>
    </row>
    <row r="3589" spans="1:4" x14ac:dyDescent="0.2">
      <c r="A3589" s="5">
        <v>3528</v>
      </c>
      <c r="B3589" s="138">
        <f>'Acct Summary 7-8'!K79</f>
        <v>211614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164450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103803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103803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103803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103803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103803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103803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103803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-47164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53612</v>
      </c>
      <c r="C3725" s="2" t="s">
        <v>573</v>
      </c>
      <c r="D3725" s="2" t="str">
        <f t="shared" si="57"/>
        <v>Error?</v>
      </c>
    </row>
    <row r="3726" spans="1:4" x14ac:dyDescent="0.2">
      <c r="A3726" s="5">
        <v>3665</v>
      </c>
      <c r="B3726" s="138">
        <f>'Tax Sched 23'!D13</f>
        <v>23942</v>
      </c>
      <c r="C3726" s="2" t="s">
        <v>573</v>
      </c>
      <c r="D3726" s="2" t="str">
        <f t="shared" si="57"/>
        <v>Error?</v>
      </c>
    </row>
    <row r="3727" spans="1:4" x14ac:dyDescent="0.2">
      <c r="A3727" s="5">
        <v>3666</v>
      </c>
      <c r="B3727" s="138">
        <f>'Tax Sched 23'!C13</f>
        <v>29670</v>
      </c>
      <c r="D3727" s="2" t="str">
        <f t="shared" si="57"/>
        <v>Error?</v>
      </c>
    </row>
    <row r="3728" spans="1:4" x14ac:dyDescent="0.2">
      <c r="A3728" s="5">
        <v>3667</v>
      </c>
      <c r="B3728" s="138">
        <f>'Tax Sched 23'!F13</f>
        <v>28123</v>
      </c>
      <c r="C3728" s="2" t="s">
        <v>573</v>
      </c>
      <c r="D3728" s="2" t="str">
        <f t="shared" si="57"/>
        <v>Error?</v>
      </c>
    </row>
    <row r="3729" spans="1:4" x14ac:dyDescent="0.2">
      <c r="A3729" s="5">
        <v>3668</v>
      </c>
      <c r="B3729" s="138">
        <f>'Tax Sched 23'!E13</f>
        <v>57793</v>
      </c>
      <c r="D3729" s="2" t="str">
        <f t="shared" si="57"/>
        <v>Error?</v>
      </c>
    </row>
    <row r="3730" spans="1:4" x14ac:dyDescent="0.2">
      <c r="A3730" s="5">
        <v>3669</v>
      </c>
      <c r="B3730" s="138">
        <f>'ICR Computation 30'!E10</f>
        <v>7333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162274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2664777</v>
      </c>
      <c r="C4122" s="2" t="s">
        <v>573</v>
      </c>
      <c r="D4122" s="2" t="str">
        <f t="shared" si="63"/>
        <v>Error?</v>
      </c>
    </row>
    <row r="4123" spans="1:4" x14ac:dyDescent="0.2">
      <c r="A4123" s="5">
        <v>4062</v>
      </c>
      <c r="B4123" s="138">
        <f>'Acct Summary 7-8'!D10</f>
        <v>287820</v>
      </c>
      <c r="C4123" s="2" t="s">
        <v>573</v>
      </c>
      <c r="D4123" s="2" t="str">
        <f t="shared" si="63"/>
        <v>Error?</v>
      </c>
    </row>
    <row r="4124" spans="1:4" x14ac:dyDescent="0.2">
      <c r="A4124" s="5">
        <v>4063</v>
      </c>
      <c r="B4124" s="138">
        <f>'Acct Summary 7-8'!E10</f>
        <v>163679</v>
      </c>
      <c r="C4124" s="2" t="s">
        <v>573</v>
      </c>
      <c r="D4124" s="2" t="str">
        <f t="shared" si="63"/>
        <v>Error?</v>
      </c>
    </row>
    <row r="4125" spans="1:4" x14ac:dyDescent="0.2">
      <c r="A4125" s="5">
        <v>4064</v>
      </c>
      <c r="B4125" s="138">
        <f>'Acct Summary 7-8'!F10</f>
        <v>357535</v>
      </c>
      <c r="C4125" s="2" t="s">
        <v>573</v>
      </c>
      <c r="D4125" s="2" t="str">
        <f t="shared" si="63"/>
        <v>Error?</v>
      </c>
    </row>
    <row r="4126" spans="1:4" x14ac:dyDescent="0.2">
      <c r="A4126" s="5">
        <v>4065</v>
      </c>
      <c r="B4126" s="138">
        <f>'Acct Summary 7-8'!G10</f>
        <v>137218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66783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56639</v>
      </c>
      <c r="C4130" s="2" t="s">
        <v>573</v>
      </c>
      <c r="D4130" s="2" t="str">
        <f t="shared" si="63"/>
        <v>Error?</v>
      </c>
    </row>
    <row r="4131" spans="1:4" x14ac:dyDescent="0.2">
      <c r="A4131" s="5">
        <v>4070</v>
      </c>
      <c r="B4131" s="138">
        <f>'Acct Summary 7-8'!C18</f>
        <v>162274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2577982</v>
      </c>
      <c r="C4136" s="2" t="s">
        <v>573</v>
      </c>
      <c r="D4136" s="2" t="str">
        <f t="shared" si="63"/>
        <v>Error?</v>
      </c>
    </row>
    <row r="4137" spans="1:4" x14ac:dyDescent="0.2">
      <c r="A4137" s="5">
        <v>4076</v>
      </c>
      <c r="B4137" s="138">
        <f>'Acct Summary 7-8'!D19</f>
        <v>484217</v>
      </c>
      <c r="C4137" s="2" t="s">
        <v>573</v>
      </c>
      <c r="D4137" s="2" t="str">
        <f t="shared" si="63"/>
        <v>Error?</v>
      </c>
    </row>
    <row r="4138" spans="1:4" x14ac:dyDescent="0.2">
      <c r="A4138" s="5">
        <v>4077</v>
      </c>
      <c r="B4138" s="138">
        <f>'Acct Summary 7-8'!E19</f>
        <v>164600</v>
      </c>
      <c r="C4138" s="2" t="s">
        <v>573</v>
      </c>
      <c r="D4138" s="2" t="str">
        <f t="shared" si="63"/>
        <v>Error?</v>
      </c>
    </row>
    <row r="4139" spans="1:4" x14ac:dyDescent="0.2">
      <c r="A4139" s="5">
        <v>4078</v>
      </c>
      <c r="B4139" s="138">
        <f>'Acct Summary 7-8'!F19</f>
        <v>331786</v>
      </c>
      <c r="C4139" s="2" t="s">
        <v>573</v>
      </c>
      <c r="D4139" s="2" t="str">
        <f t="shared" si="63"/>
        <v>Error?</v>
      </c>
    </row>
    <row r="4140" spans="1:4" x14ac:dyDescent="0.2">
      <c r="A4140" s="5">
        <v>4079</v>
      </c>
      <c r="B4140" s="138">
        <f>'Acct Summary 7-8'!G19</f>
        <v>123168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103803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600000</v>
      </c>
      <c r="C4171" s="2" t="s">
        <v>573</v>
      </c>
      <c r="D4171" s="2" t="str">
        <f t="shared" si="64"/>
        <v>Error?</v>
      </c>
    </row>
    <row r="4172" spans="1:4" x14ac:dyDescent="0.2">
      <c r="A4172" s="5">
        <v>4111</v>
      </c>
      <c r="B4172" s="138">
        <f>'Short-Term Long-Term Debt 24'!J49</f>
        <v>511923</v>
      </c>
      <c r="C4172" s="2" t="s">
        <v>573</v>
      </c>
      <c r="D4172" s="2" t="str">
        <f t="shared" si="64"/>
        <v>Error?</v>
      </c>
    </row>
    <row r="4173" spans="1:4" x14ac:dyDescent="0.2">
      <c r="A4173" s="5">
        <v>4112</v>
      </c>
      <c r="B4173" s="138">
        <f>'Short-Term Long-Term Debt 24'!H49</f>
        <v>160000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1660.7</v>
      </c>
      <c r="C4265" s="2" t="s">
        <v>573</v>
      </c>
      <c r="D4265" s="2" t="str">
        <f t="shared" si="65"/>
        <v>Error?</v>
      </c>
      <c r="E4265" s="128"/>
    </row>
    <row r="4266" spans="1:5" x14ac:dyDescent="0.2">
      <c r="A4266" s="12">
        <v>4205</v>
      </c>
      <c r="B4266" s="138">
        <f>('FP Info 3'!F10)*100000</f>
        <v>248.6</v>
      </c>
      <c r="C4266" s="2" t="s">
        <v>573</v>
      </c>
      <c r="D4266" s="2" t="str">
        <f t="shared" si="65"/>
        <v>Error?</v>
      </c>
      <c r="E4266" s="128"/>
    </row>
    <row r="4267" spans="1:5" x14ac:dyDescent="0.2">
      <c r="A4267" s="12">
        <v>4206</v>
      </c>
      <c r="B4267" s="138">
        <f>('FP Info 3'!H10)*100000</f>
        <v>119.30000000000001</v>
      </c>
      <c r="C4267" s="2" t="s">
        <v>573</v>
      </c>
      <c r="D4267" s="2" t="str">
        <f t="shared" si="65"/>
        <v>Error?</v>
      </c>
      <c r="E4267" s="128"/>
    </row>
    <row r="4268" spans="1:5" x14ac:dyDescent="0.2">
      <c r="A4268" s="12">
        <v>4207</v>
      </c>
      <c r="B4268" s="138">
        <f>('FP Info 3'!J10)*100000</f>
        <v>2029</v>
      </c>
      <c r="C4268" s="2" t="s">
        <v>573</v>
      </c>
      <c r="D4268" s="2" t="str">
        <f t="shared" si="65"/>
        <v>Error?</v>
      </c>
    </row>
    <row r="4269" spans="1:5" x14ac:dyDescent="0.2">
      <c r="A4269" s="12">
        <v>4208</v>
      </c>
      <c r="B4269" s="138">
        <f>'FP Info 3'!J16</f>
        <v>5218168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2449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20963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20963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11228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3931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116233652</v>
      </c>
      <c r="D4995" s="2" t="str">
        <f t="shared" si="77"/>
        <v>Error?</v>
      </c>
    </row>
    <row r="4996" spans="1:4" x14ac:dyDescent="0.2">
      <c r="A4996" s="12">
        <v>4935</v>
      </c>
      <c r="B4996" s="138">
        <f>'FP Info 3'!H31</f>
        <v>8020121.9880000008</v>
      </c>
      <c r="D4996" s="2" t="str">
        <f t="shared" si="77"/>
        <v>Error?</v>
      </c>
    </row>
    <row r="4997" spans="1:4" x14ac:dyDescent="0.2">
      <c r="A4997" s="12">
        <v>4936</v>
      </c>
      <c r="B4997" s="138">
        <f>'FP Info 3'!H37</f>
        <v>600000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53612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1882748</v>
      </c>
      <c r="D5061" s="2" t="str">
        <f t="shared" si="78"/>
        <v>Error?</v>
      </c>
    </row>
    <row r="5062" spans="1:4" x14ac:dyDescent="0.2">
      <c r="A5062" s="10">
        <v>5001</v>
      </c>
      <c r="D5062" s="2" t="str">
        <f t="shared" si="78"/>
        <v>OK</v>
      </c>
    </row>
    <row r="5063" spans="1:4" x14ac:dyDescent="0.2">
      <c r="A5063" s="5">
        <v>5002</v>
      </c>
      <c r="B5063" s="138">
        <f>'Revenues 9-14'!C7</f>
        <v>22548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1958908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79614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79614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37069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37069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10729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26600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37329</v>
      </c>
      <c r="C5102" s="2" t="s">
        <v>573</v>
      </c>
      <c r="D5102" s="2" t="str">
        <f t="shared" si="78"/>
        <v>Error?</v>
      </c>
    </row>
    <row r="5103" spans="1:4" x14ac:dyDescent="0.2">
      <c r="A5103" s="5">
        <v>5042</v>
      </c>
      <c r="B5103" s="138">
        <f>'Revenues 9-14'!C84</f>
        <v>31706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170</v>
      </c>
      <c r="D5107" s="2" t="str">
        <f t="shared" si="78"/>
        <v>Error?</v>
      </c>
    </row>
    <row r="5108" spans="1:4" x14ac:dyDescent="0.2">
      <c r="A5108" s="5">
        <v>5047</v>
      </c>
      <c r="B5108" s="138">
        <f>'Revenues 9-14'!C89</f>
        <v>12685</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44561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1600</v>
      </c>
      <c r="D5114" s="2" t="str">
        <f t="shared" si="78"/>
        <v>Error?</v>
      </c>
    </row>
    <row r="5115" spans="1:4" x14ac:dyDescent="0.2">
      <c r="A5115" s="5">
        <v>5054</v>
      </c>
      <c r="B5115" s="138">
        <f>'Revenues 9-14'!C98</f>
        <v>52060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37994</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97054</v>
      </c>
      <c r="C5120" s="2" t="s">
        <v>573</v>
      </c>
      <c r="D5120" s="2" t="str">
        <f t="shared" si="79"/>
        <v>Error?</v>
      </c>
    </row>
    <row r="5121" spans="1:4" x14ac:dyDescent="0.2">
      <c r="A5121" s="5">
        <v>5060</v>
      </c>
      <c r="B5121" s="138">
        <f>'Revenues 9-14'!C109</f>
        <v>2254535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750</v>
      </c>
      <c r="D5124" s="2" t="str">
        <f t="shared" si="79"/>
        <v>Error?</v>
      </c>
    </row>
    <row r="5125" spans="1:4" x14ac:dyDescent="0.2">
      <c r="A5125" s="5">
        <v>5064</v>
      </c>
      <c r="B5125" s="138">
        <f>'Revenues 9-14'!C114</f>
        <v>750</v>
      </c>
      <c r="C5125" s="2" t="s">
        <v>573</v>
      </c>
      <c r="D5125" s="2" t="str">
        <f t="shared" si="79"/>
        <v>Error?</v>
      </c>
    </row>
    <row r="5126" spans="1:4" x14ac:dyDescent="0.2">
      <c r="A5126" s="5">
        <v>5065</v>
      </c>
      <c r="B5126" s="138">
        <f>'Revenues 9-14'!C117</f>
        <v>129840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129840</v>
      </c>
      <c r="C5132" s="2" t="s">
        <v>573</v>
      </c>
      <c r="D5132" s="2" t="str">
        <f t="shared" si="79"/>
        <v>Error?</v>
      </c>
    </row>
    <row r="5133" spans="1:4" x14ac:dyDescent="0.2">
      <c r="A5133" s="5">
        <v>5072</v>
      </c>
      <c r="B5133" s="138">
        <f>'Revenues 9-14'!C125</f>
        <v>10975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10975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9826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33609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156</v>
      </c>
      <c r="D5167" s="2" t="str">
        <f t="shared" si="79"/>
        <v>Error?</v>
      </c>
    </row>
    <row r="5168" spans="1:4" x14ac:dyDescent="0.2">
      <c r="A5168" s="5">
        <v>5107</v>
      </c>
      <c r="B5168" s="138">
        <f>'Revenues 9-14'!C148</f>
        <v>5446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50975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180815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9147</v>
      </c>
      <c r="C5246" s="2" t="s">
        <v>573</v>
      </c>
      <c r="D5246" s="2" t="str">
        <f t="shared" si="80"/>
        <v>Error?</v>
      </c>
    </row>
    <row r="5247" spans="1:4" x14ac:dyDescent="0.2">
      <c r="A5247" s="5">
        <v>5186</v>
      </c>
      <c r="B5247" s="138">
        <f>'Revenues 9-14'!C200</f>
        <v>18685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11228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18685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66403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66403</v>
      </c>
      <c r="C5326" s="2" t="s">
        <v>573</v>
      </c>
      <c r="D5326" s="2" t="str">
        <f t="shared" si="82"/>
        <v>Error?</v>
      </c>
    </row>
    <row r="5327" spans="1:5" x14ac:dyDescent="0.2">
      <c r="A5327" s="5">
        <v>5266</v>
      </c>
      <c r="B5327" s="138">
        <f>'Revenues 9-14'!C268</f>
        <v>2502503</v>
      </c>
      <c r="C5327" s="2" t="s">
        <v>573</v>
      </c>
      <c r="D5327" s="2" t="str">
        <f t="shared" si="82"/>
        <v>Error?</v>
      </c>
    </row>
    <row r="5328" spans="1:5" x14ac:dyDescent="0.2">
      <c r="A5328" s="5">
        <v>5267</v>
      </c>
      <c r="B5328" s="138">
        <f>'Revenues 9-14'!D5</f>
        <v>281851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281851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2330</v>
      </c>
      <c r="D5338" s="2" t="str">
        <f t="shared" si="82"/>
        <v>Error?</v>
      </c>
    </row>
    <row r="5339" spans="1:4" x14ac:dyDescent="0.2">
      <c r="A5339" s="5">
        <v>5278</v>
      </c>
      <c r="B5339" s="138">
        <f>'Revenues 9-14'!D18</f>
        <v>2330</v>
      </c>
      <c r="C5339" s="2" t="s">
        <v>573</v>
      </c>
      <c r="D5339" s="2" t="str">
        <f t="shared" si="82"/>
        <v>Error?</v>
      </c>
    </row>
    <row r="5340" spans="1:4" x14ac:dyDescent="0.2">
      <c r="A5340" s="5">
        <v>5279</v>
      </c>
      <c r="B5340" s="138">
        <f>'Revenues 9-14'!D65</f>
        <v>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3625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3625</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287820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287820</v>
      </c>
      <c r="C5508" s="2" t="s">
        <v>573</v>
      </c>
      <c r="D5508" s="2" t="str">
        <f t="shared" si="85"/>
        <v>Error?</v>
      </c>
    </row>
    <row r="5509" spans="1:4" x14ac:dyDescent="0.2">
      <c r="A5509" s="5">
        <v>5448</v>
      </c>
      <c r="B5509" s="138">
        <f>'Revenues 9-14'!E5</f>
        <v>163679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163679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163679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163679</v>
      </c>
      <c r="C5552" s="2" t="s">
        <v>573</v>
      </c>
      <c r="D5552" s="2" t="str">
        <f t="shared" si="85"/>
        <v>Error?</v>
      </c>
    </row>
    <row r="5553" spans="1:4" x14ac:dyDescent="0.2">
      <c r="A5553" s="5">
        <v>5492</v>
      </c>
      <c r="B5553" s="138">
        <f>'Revenues 9-14'!F5</f>
        <v>135286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135286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115617</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5004</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120621</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649</v>
      </c>
      <c r="D5586" s="2" t="str">
        <f t="shared" si="86"/>
        <v>Error?</v>
      </c>
    </row>
    <row r="5587" spans="1:4" x14ac:dyDescent="0.2">
      <c r="A5587" s="5">
        <v>5526</v>
      </c>
      <c r="B5587" s="138">
        <f>'Revenues 9-14'!F108</f>
        <v>649</v>
      </c>
      <c r="C5587" s="2" t="s">
        <v>573</v>
      </c>
      <c r="D5587" s="2" t="str">
        <f t="shared" si="86"/>
        <v>Error?</v>
      </c>
    </row>
    <row r="5588" spans="1:4" x14ac:dyDescent="0.2">
      <c r="A5588" s="5">
        <v>5527</v>
      </c>
      <c r="B5588" s="138">
        <f>'Revenues 9-14'!F109</f>
        <v>256556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23081</v>
      </c>
      <c r="D5615" s="2" t="str">
        <f t="shared" si="86"/>
        <v>Error?</v>
      </c>
    </row>
    <row r="5616" spans="1:4" x14ac:dyDescent="0.2">
      <c r="A5616" s="10">
        <v>5555</v>
      </c>
      <c r="D5616" s="2" t="str">
        <f t="shared" si="86"/>
        <v>OK</v>
      </c>
    </row>
    <row r="5617" spans="1:5" x14ac:dyDescent="0.2">
      <c r="A5617" s="5">
        <v>5556</v>
      </c>
      <c r="B5617" s="138">
        <f>'Revenues 9-14'!F153</f>
        <v>77898</v>
      </c>
      <c r="D5617" s="2" t="str">
        <f t="shared" si="86"/>
        <v>Error?</v>
      </c>
    </row>
    <row r="5618" spans="1:5" x14ac:dyDescent="0.2">
      <c r="A5618" s="5">
        <v>5557</v>
      </c>
      <c r="B5618" s="138">
        <f>'Revenues 9-14'!F155</f>
        <v>100979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100979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100979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357535</v>
      </c>
      <c r="C5720" s="2" t="s">
        <v>573</v>
      </c>
      <c r="D5720" s="2" t="str">
        <f t="shared" si="88"/>
        <v>Error?</v>
      </c>
    </row>
    <row r="5721" spans="1:4" x14ac:dyDescent="0.2">
      <c r="A5721" s="5">
        <v>5660</v>
      </c>
      <c r="B5721" s="138">
        <f>'Revenues 9-14'!G5</f>
        <v>64565</v>
      </c>
      <c r="D5721" s="2" t="str">
        <f t="shared" si="88"/>
        <v>Error?</v>
      </c>
    </row>
    <row r="5722" spans="1:4" x14ac:dyDescent="0.2">
      <c r="A5722" s="5">
        <v>5661</v>
      </c>
      <c r="B5722" s="138">
        <f>'Revenues 9-14'!G7</f>
        <v>0</v>
      </c>
      <c r="D5722" s="2" t="str">
        <f t="shared" si="88"/>
        <v>Error?</v>
      </c>
    </row>
    <row r="5723" spans="1:4" x14ac:dyDescent="0.2">
      <c r="A5723" s="5">
        <v>5662</v>
      </c>
      <c r="B5723" s="138">
        <f>'Revenues 9-14'!G8</f>
        <v>58270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122835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8383</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137218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56375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56375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10101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10101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307</v>
      </c>
      <c r="D5929" s="2" t="str">
        <f t="shared" si="91"/>
        <v>Error?</v>
      </c>
    </row>
    <row r="5930" spans="1:4" x14ac:dyDescent="0.2">
      <c r="A5930" s="5">
        <v>5869</v>
      </c>
      <c r="B5930" s="138">
        <f>'Revenues 9-14'!I108</f>
        <v>307</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66783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56375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56375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56639</v>
      </c>
      <c r="C6023" s="2" t="s">
        <v>573</v>
      </c>
      <c r="D6023" s="2" t="str">
        <f t="shared" si="93"/>
        <v>Error?</v>
      </c>
    </row>
    <row r="6024" spans="1:5" x14ac:dyDescent="0.2">
      <c r="A6024" s="5">
        <v>5963</v>
      </c>
      <c r="B6024" s="138">
        <f>'Revenues 9-14'!G109</f>
        <v>137218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66783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56639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1629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194296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34733</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194296</v>
      </c>
      <c r="D6215" s="2" t="str">
        <f t="shared" si="96"/>
        <v>Error?</v>
      </c>
      <c r="E6215" s="2" t="s">
        <v>190</v>
      </c>
    </row>
    <row r="6216" spans="1:5" x14ac:dyDescent="0.2">
      <c r="A6216">
        <v>6155</v>
      </c>
      <c r="B6216" s="138">
        <f>'Assets-Liab 5-6'!J41</f>
        <v>194296</v>
      </c>
      <c r="D6216" s="2" t="str">
        <f t="shared" si="96"/>
        <v>Error?</v>
      </c>
      <c r="E6216" s="2" t="s">
        <v>190</v>
      </c>
    </row>
    <row r="6217" spans="1:5" x14ac:dyDescent="0.2">
      <c r="A6217">
        <v>6156</v>
      </c>
      <c r="B6217" s="138">
        <f>'Assets-Liab 5-6'!J4</f>
        <v>24604</v>
      </c>
      <c r="D6217" s="2" t="str">
        <f t="shared" si="96"/>
        <v>Error?</v>
      </c>
      <c r="E6217" s="2" t="s">
        <v>190</v>
      </c>
    </row>
    <row r="6218" spans="1:5" x14ac:dyDescent="0.2">
      <c r="A6218">
        <v>6157</v>
      </c>
      <c r="B6218" s="138">
        <f>'Assets-Liab 5-6'!J5</f>
        <v>169692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189100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189100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189100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215395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215395</v>
      </c>
      <c r="D6229" s="2" t="str">
        <f t="shared" si="96"/>
        <v>Error?</v>
      </c>
      <c r="E6229" s="2" t="s">
        <v>190</v>
      </c>
    </row>
    <row r="6230" spans="1:5" x14ac:dyDescent="0.2">
      <c r="A6230">
        <v>6169</v>
      </c>
      <c r="B6230" s="138">
        <f>'Acct Summary 7-8'!J20</f>
        <v>-26295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15000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-26295</v>
      </c>
      <c r="D6263" s="2" t="str">
        <f t="shared" si="96"/>
        <v>Error?</v>
      </c>
      <c r="E6263" s="2" t="s">
        <v>190</v>
      </c>
    </row>
    <row r="6264" spans="1:5" x14ac:dyDescent="0.2">
      <c r="A6264">
        <v>6203</v>
      </c>
      <c r="B6264" s="138">
        <f>'Acct Summary 7-8'!J79</f>
        <v>220591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194296</v>
      </c>
      <c r="D6266" s="2" t="str">
        <f t="shared" si="96"/>
        <v>Error?</v>
      </c>
      <c r="E6266" s="2" t="s">
        <v>190</v>
      </c>
    </row>
    <row r="6267" spans="1:5" x14ac:dyDescent="0.2">
      <c r="A6267">
        <v>6206</v>
      </c>
      <c r="B6267" s="138">
        <f>'Acct Summary 7-8'!C82</f>
        <v>86795</v>
      </c>
      <c r="D6267" s="2" t="str">
        <f t="shared" si="96"/>
        <v>Error?</v>
      </c>
      <c r="E6267" s="2" t="s">
        <v>190</v>
      </c>
    </row>
    <row r="6268" spans="1:5" x14ac:dyDescent="0.2">
      <c r="A6268">
        <v>6207</v>
      </c>
      <c r="B6268" s="138">
        <f>'Acct Summary 7-8'!D82</f>
        <v>-5197</v>
      </c>
      <c r="D6268" s="2" t="str">
        <f t="shared" si="96"/>
        <v>Error?</v>
      </c>
      <c r="E6268" s="2" t="s">
        <v>190</v>
      </c>
    </row>
    <row r="6269" spans="1:5" x14ac:dyDescent="0.2">
      <c r="A6269">
        <v>6208</v>
      </c>
      <c r="B6269" s="138">
        <f>'Acct Summary 7-8'!E82</f>
        <v>-921</v>
      </c>
      <c r="D6269" s="2" t="str">
        <f t="shared" si="96"/>
        <v>Error?</v>
      </c>
      <c r="E6269" s="2" t="s">
        <v>190</v>
      </c>
    </row>
    <row r="6270" spans="1:5" x14ac:dyDescent="0.2">
      <c r="A6270">
        <v>6209</v>
      </c>
      <c r="B6270" s="138">
        <f>'Acct Summary 7-8'!F82</f>
        <v>25749</v>
      </c>
      <c r="D6270" s="2" t="str">
        <f t="shared" si="96"/>
        <v>Error?</v>
      </c>
      <c r="E6270" s="2" t="s">
        <v>190</v>
      </c>
    </row>
    <row r="6271" spans="1:5" x14ac:dyDescent="0.2">
      <c r="A6271">
        <v>6210</v>
      </c>
      <c r="B6271" s="138">
        <f>'Acct Summary 7-8'!G82</f>
        <v>14050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475583</v>
      </c>
      <c r="D6273" s="2" t="str">
        <f t="shared" si="97"/>
        <v>Error?</v>
      </c>
      <c r="E6273" s="2" t="s">
        <v>190</v>
      </c>
    </row>
    <row r="6274" spans="1:5" x14ac:dyDescent="0.2">
      <c r="A6274">
        <v>6213</v>
      </c>
      <c r="B6274" s="138">
        <f>'Acct Summary 7-8'!J82</f>
        <v>-26295</v>
      </c>
      <c r="D6274" s="2" t="str">
        <f t="shared" si="97"/>
        <v>Error?</v>
      </c>
      <c r="E6274" s="2" t="s">
        <v>190</v>
      </c>
    </row>
    <row r="6275" spans="1:5" x14ac:dyDescent="0.2">
      <c r="A6275">
        <v>6214</v>
      </c>
      <c r="B6275" s="138">
        <f>'Acct Summary 7-8'!K82</f>
        <v>-47164</v>
      </c>
      <c r="D6275" s="2" t="str">
        <f t="shared" si="97"/>
        <v>Error?</v>
      </c>
      <c r="E6275" s="2" t="s">
        <v>190</v>
      </c>
    </row>
    <row r="6276" spans="1:5" x14ac:dyDescent="0.2">
      <c r="A6276">
        <v>6215</v>
      </c>
      <c r="B6276" s="138">
        <f>'Acct Summary 7-8'!C83</f>
        <v>3.3341349034889042E-2</v>
      </c>
      <c r="D6276" s="2" t="str">
        <f t="shared" si="97"/>
        <v>Error?</v>
      </c>
      <c r="E6276" s="2" t="s">
        <v>190</v>
      </c>
    </row>
    <row r="6277" spans="1:5" x14ac:dyDescent="0.2">
      <c r="A6277">
        <v>6216</v>
      </c>
      <c r="B6277" s="138">
        <f>'Acct Summary 7-8'!D83</f>
        <v>-9.1114535722613479E-3</v>
      </c>
      <c r="D6277" s="2" t="str">
        <f t="shared" si="97"/>
        <v>Error?</v>
      </c>
      <c r="E6277" s="2" t="s">
        <v>190</v>
      </c>
    </row>
    <row r="6278" spans="1:5" x14ac:dyDescent="0.2">
      <c r="A6278">
        <v>6217</v>
      </c>
      <c r="B6278" s="138">
        <f>'Acct Summary 7-8'!E83</f>
        <v>-1.0456759426410981E-2</v>
      </c>
      <c r="D6278" s="2" t="str">
        <f t="shared" si="97"/>
        <v>Error?</v>
      </c>
      <c r="E6278" s="2" t="s">
        <v>190</v>
      </c>
    </row>
    <row r="6279" spans="1:5" x14ac:dyDescent="0.2">
      <c r="A6279">
        <v>6218</v>
      </c>
      <c r="B6279" s="138">
        <f>'Acct Summary 7-8'!F83</f>
        <v>7.4371357106134212E-2</v>
      </c>
      <c r="D6279" s="2" t="str">
        <f t="shared" si="97"/>
        <v>Error?</v>
      </c>
      <c r="E6279" s="2" t="s">
        <v>190</v>
      </c>
    </row>
    <row r="6280" spans="1:5" x14ac:dyDescent="0.2">
      <c r="A6280">
        <v>6219</v>
      </c>
      <c r="B6280" s="138">
        <f>'Acct Summary 7-8'!G83</f>
        <v>0.12994820569737328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0.28002798024660536</v>
      </c>
      <c r="D6282" s="2" t="str">
        <f t="shared" si="97"/>
        <v>Error?</v>
      </c>
      <c r="E6282" s="2" t="s">
        <v>190</v>
      </c>
    </row>
    <row r="6283" spans="1:5" x14ac:dyDescent="0.2">
      <c r="A6283">
        <v>6222</v>
      </c>
      <c r="B6283" s="138">
        <f>'Acct Summary 7-8'!J83</f>
        <v>-0.13533474698398321</v>
      </c>
      <c r="D6283" s="2" t="str">
        <f t="shared" si="97"/>
        <v>Error?</v>
      </c>
      <c r="E6283" s="2" t="s">
        <v>190</v>
      </c>
    </row>
    <row r="6284" spans="1:5" x14ac:dyDescent="0.2">
      <c r="A6284">
        <v>6223</v>
      </c>
      <c r="B6284" s="138">
        <f>'Acct Summary 7-8'!K83</f>
        <v>-0.28679841897233199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187517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187517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1583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1583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5400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8383</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189100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23783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36843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1592</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1592</v>
      </c>
      <c r="D6940" s="2" t="str">
        <f t="shared" si="107"/>
        <v>Error?</v>
      </c>
    </row>
    <row r="6941" spans="1:4" x14ac:dyDescent="0.2">
      <c r="A6941">
        <v>6880</v>
      </c>
      <c r="B6941" s="138">
        <f>'Expenditures 15-22'!L52</f>
        <v>1750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59774</v>
      </c>
      <c r="D6983" s="2" t="str">
        <f t="shared" si="108"/>
        <v>Error?</v>
      </c>
    </row>
    <row r="6984" spans="1:4" x14ac:dyDescent="0.2">
      <c r="A6984">
        <v>6923</v>
      </c>
      <c r="B6984" s="138">
        <f>'Expenditures 15-22'!K86</f>
        <v>59774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24222</v>
      </c>
      <c r="D6987" s="2" t="str">
        <f t="shared" si="108"/>
        <v>Error?</v>
      </c>
    </row>
    <row r="6988" spans="1:4" x14ac:dyDescent="0.2">
      <c r="A6988">
        <v>6927</v>
      </c>
      <c r="B6988" s="138">
        <f>'Expenditures 15-22'!K88</f>
        <v>24222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83996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215395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189100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357</v>
      </c>
      <c r="D7079" s="2" t="str">
        <f t="shared" si="109"/>
        <v>Error?</v>
      </c>
    </row>
    <row r="7080" spans="1:4" x14ac:dyDescent="0.2">
      <c r="A7080">
        <v>7019</v>
      </c>
      <c r="B7080" s="138">
        <f>'Expenditures 15-22'!K226</f>
        <v>357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10070</v>
      </c>
      <c r="D7093" s="2" t="str">
        <f t="shared" si="109"/>
        <v>Error?</v>
      </c>
    </row>
    <row r="7094" spans="1:4" x14ac:dyDescent="0.2">
      <c r="A7094">
        <v>7033</v>
      </c>
      <c r="B7094" s="138">
        <f>'Expenditures 15-22'!K254</f>
        <v>10070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33236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33236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37522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37522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136687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7950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144637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136687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78708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215395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136687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78708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215395</v>
      </c>
      <c r="D7224" s="2" t="str">
        <f t="shared" si="111"/>
        <v>Error?</v>
      </c>
    </row>
    <row r="7225" spans="1:4" x14ac:dyDescent="0.2">
      <c r="A7225">
        <v>7164</v>
      </c>
      <c r="B7225" s="138">
        <f>'Expenditures 15-22'!K343</f>
        <v>-26295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29827</v>
      </c>
      <c r="D7263" s="2" t="str">
        <f t="shared" si="112"/>
        <v>Error?</v>
      </c>
    </row>
    <row r="7264" spans="1:4" x14ac:dyDescent="0.2">
      <c r="A7264">
        <f t="shared" si="113"/>
        <v>7203</v>
      </c>
      <c r="B7264" s="138">
        <f>'Expenditures 15-22'!D17</f>
        <v>6219</v>
      </c>
      <c r="D7264" s="2" t="str">
        <f t="shared" si="112"/>
        <v>Error?</v>
      </c>
    </row>
    <row r="7265" spans="1:5" x14ac:dyDescent="0.2">
      <c r="A7265">
        <f t="shared" si="113"/>
        <v>7204</v>
      </c>
      <c r="B7265" s="138">
        <f>'Expenditures 15-22'!E17</f>
        <v>797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162861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5400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5446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10846</v>
      </c>
      <c r="D7719" s="2" t="str">
        <f t="shared" si="126"/>
        <v>Error?</v>
      </c>
      <c r="E7719" s="2" t="s">
        <v>827</v>
      </c>
    </row>
    <row r="7720" spans="1:6" x14ac:dyDescent="0.2">
      <c r="A7720">
        <v>7659</v>
      </c>
      <c r="B7720" s="138">
        <f>'Rest Tax Levies-Tort Im 25'!H14</f>
        <v>22548</v>
      </c>
      <c r="D7720" s="2" t="str">
        <f t="shared" si="126"/>
        <v>Error?</v>
      </c>
      <c r="E7720" s="2" t="s">
        <v>827</v>
      </c>
    </row>
    <row r="7721" spans="1:6" x14ac:dyDescent="0.2">
      <c r="A7721">
        <v>7660</v>
      </c>
      <c r="B7721" s="138">
        <f>'Rest Tax Levies-Tort Im 25'!K14</f>
        <v>10846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191200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167439</v>
      </c>
      <c r="D7797" s="2" t="str">
        <f t="shared" si="127"/>
        <v>Error?</v>
      </c>
      <c r="E7797" s="4" t="s">
        <v>1903</v>
      </c>
    </row>
    <row r="7798" spans="1:5" x14ac:dyDescent="0.2">
      <c r="A7798">
        <v>7737</v>
      </c>
      <c r="B7798" s="138">
        <f>'Contracts Paid in CY 29'!F141</f>
        <v>125088</v>
      </c>
      <c r="D7798" s="2" t="str">
        <f t="shared" si="127"/>
        <v>Error?</v>
      </c>
      <c r="E7798" s="4" t="s">
        <v>1903</v>
      </c>
    </row>
    <row r="7799" spans="1:5" x14ac:dyDescent="0.2">
      <c r="A7799">
        <v>7738</v>
      </c>
      <c r="B7799" s="138">
        <f>'Contracts Paid in CY 29'!G141</f>
        <v>42351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Newark CHSD 18</v>
      </c>
      <c r="B7" s="2408"/>
      <c r="C7" s="2408"/>
      <c r="D7" s="2409"/>
      <c r="E7" s="2410">
        <f>COVER!A13</f>
        <v>24047018016</v>
      </c>
      <c r="F7" s="2411"/>
      <c r="G7" s="2417" t="str">
        <f>COVER!T23</f>
        <v>066-005100</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Mack &amp; Associates, P.C.</v>
      </c>
      <c r="H9" s="2423"/>
      <c r="I9" s="2423"/>
      <c r="J9" s="2423"/>
      <c r="K9" s="2423"/>
      <c r="L9" s="2424"/>
    </row>
    <row r="10" spans="1:29" ht="13.5" customHeight="1" x14ac:dyDescent="0.2">
      <c r="A10" s="2397" t="str">
        <f>COVER!A38</f>
        <v>Amy Smith</v>
      </c>
      <c r="B10" s="2398"/>
      <c r="C10" s="2398"/>
      <c r="D10" s="2398"/>
      <c r="E10" s="2398"/>
      <c r="F10" s="2399"/>
      <c r="G10" s="2391" t="str">
        <f>COVER!T17</f>
        <v>116 E. Washington St., Suite One</v>
      </c>
      <c r="H10" s="2392"/>
      <c r="I10" s="2392"/>
      <c r="J10" s="2392"/>
      <c r="K10" s="2392"/>
      <c r="L10" s="2393"/>
    </row>
    <row r="11" spans="1:29" ht="13.5" customHeight="1" x14ac:dyDescent="0.2">
      <c r="A11" s="1184" t="s">
        <v>1519</v>
      </c>
      <c r="B11" s="1185"/>
      <c r="C11" s="1186"/>
      <c r="D11" s="1191"/>
      <c r="E11" s="1186"/>
      <c r="F11" s="1190"/>
      <c r="G11" s="2391" t="str">
        <f>COVER!T19</f>
        <v>Morris</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tmack@mackcpas.com</v>
      </c>
      <c r="J13" s="2404"/>
      <c r="K13" s="2404"/>
      <c r="L13" s="2405"/>
    </row>
    <row r="14" spans="1:29" ht="13.5" customHeight="1" x14ac:dyDescent="0.2">
      <c r="A14" s="2391" t="str">
        <f>COVER!A19</f>
        <v>413 Chicago Road</v>
      </c>
      <c r="B14" s="2392"/>
      <c r="C14" s="2392"/>
      <c r="D14" s="2392"/>
      <c r="E14" s="2392"/>
      <c r="F14" s="2393"/>
      <c r="G14" s="1195" t="s">
        <v>1185</v>
      </c>
      <c r="H14" s="1193"/>
      <c r="I14" s="1193"/>
      <c r="J14" s="1193"/>
      <c r="K14" s="1193"/>
      <c r="L14" s="1194"/>
    </row>
    <row r="15" spans="1:29" ht="13.5" customHeight="1" x14ac:dyDescent="0.2">
      <c r="A15" s="2391" t="str">
        <f>COVER!A21</f>
        <v>Newark</v>
      </c>
      <c r="B15" s="2392"/>
      <c r="C15" s="2392"/>
      <c r="D15" s="2392"/>
      <c r="E15" s="2392"/>
      <c r="F15" s="2393"/>
      <c r="G15" s="2388" t="str">
        <f>COVER!T15</f>
        <v>Tawnya Mack, CPA</v>
      </c>
      <c r="H15" s="2389"/>
      <c r="I15" s="2389"/>
      <c r="J15" s="2389"/>
      <c r="K15" s="2389"/>
      <c r="L15" s="2390"/>
    </row>
    <row r="16" spans="1:29" ht="12.2" customHeight="1" x14ac:dyDescent="0.2">
      <c r="A16" s="2413">
        <f>COVER!A25</f>
        <v>60541</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815-942-3306</v>
      </c>
      <c r="H18" s="2408"/>
      <c r="I18" s="2408"/>
      <c r="J18" s="2408"/>
      <c r="K18" s="2407" t="str">
        <f>COVER!X21</f>
        <v>815-942-9430</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Newark CHSD 18</v>
      </c>
      <c r="B1" s="2406"/>
      <c r="C1" s="2406"/>
      <c r="D1" s="2406"/>
    </row>
    <row r="2" spans="1:11" s="1212" customFormat="1" ht="12.75" x14ac:dyDescent="0.2">
      <c r="A2" s="2430">
        <f>'Single Audit Cover'!E7</f>
        <v>24047018016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Newark CHSD 18</v>
      </c>
      <c r="B1" s="2433"/>
      <c r="C1" s="2433"/>
      <c r="D1" s="2433"/>
      <c r="E1" s="2433"/>
    </row>
    <row r="2" spans="1:5" x14ac:dyDescent="0.2">
      <c r="A2" s="2434">
        <f>'Single Audit Cover'!E7</f>
        <v>24047018016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66403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1629</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68032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68032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68032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Newark CHSD 18</v>
      </c>
      <c r="C1" s="2437"/>
      <c r="D1" s="2437"/>
      <c r="E1" s="2437"/>
      <c r="F1" s="2437"/>
      <c r="G1" s="2437"/>
      <c r="H1" s="2437"/>
      <c r="I1" s="2437"/>
      <c r="J1" s="2437"/>
      <c r="K1" s="2437"/>
      <c r="L1" s="2437"/>
      <c r="M1" s="2437"/>
    </row>
    <row r="2" spans="2:14" ht="15" x14ac:dyDescent="0.2">
      <c r="B2" s="2438">
        <f>'Single Audit Cover'!E7</f>
        <v>24047018016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Newark CHSD 18</v>
      </c>
      <c r="B1" s="2450"/>
      <c r="C1" s="2450"/>
      <c r="D1" s="2450"/>
      <c r="E1" s="2450"/>
      <c r="F1" s="2450"/>
    </row>
    <row r="2" spans="1:7" ht="13.5" customHeight="1" x14ac:dyDescent="0.2">
      <c r="A2" s="2438">
        <f>'Single Audit Cover'!E7</f>
        <v>24047018016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Newark CHSD 18</v>
      </c>
      <c r="C1" s="2465"/>
      <c r="D1" s="2465"/>
      <c r="E1" s="2465"/>
      <c r="F1" s="2465"/>
      <c r="G1" s="2465"/>
      <c r="H1" s="2465"/>
      <c r="I1" s="2465"/>
      <c r="J1" s="1406"/>
    </row>
    <row r="2" spans="2:10" s="317" customFormat="1" ht="12.75" customHeight="1" x14ac:dyDescent="0.2">
      <c r="B2" s="2466">
        <f>'Single Audit Cover'!E7</f>
        <v>24047018016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Newark CHSD 18</v>
      </c>
      <c r="C1" s="2464"/>
      <c r="D1" s="2464"/>
      <c r="E1" s="2464"/>
      <c r="F1" s="2464"/>
      <c r="G1" s="2464"/>
      <c r="H1" s="2464"/>
      <c r="I1" s="2464"/>
      <c r="J1" s="2464"/>
      <c r="K1" s="2464"/>
      <c r="L1" s="1371"/>
      <c r="M1" s="1371"/>
    </row>
    <row r="2" spans="1:13" ht="12" customHeight="1" x14ac:dyDescent="0.2">
      <c r="B2" s="2466">
        <f>'Single Audit Cover'!E7</f>
        <v>24047018016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Newark CHSD 18</v>
      </c>
      <c r="C1" s="2487"/>
      <c r="D1" s="2487"/>
      <c r="E1" s="2487"/>
      <c r="F1" s="2487"/>
      <c r="G1" s="2487"/>
      <c r="H1" s="2487"/>
      <c r="I1" s="2487"/>
      <c r="J1" s="2487"/>
      <c r="K1" s="2487"/>
      <c r="L1" s="1449"/>
    </row>
    <row r="2" spans="1:12" ht="12.75" customHeight="1" x14ac:dyDescent="0.2">
      <c r="B2" s="2488">
        <f>'Single Audit Cover'!E7</f>
        <v>24047018016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Newark CHSD 18</v>
      </c>
      <c r="C1" s="2464"/>
      <c r="D1" s="2464"/>
      <c r="E1" s="1469"/>
    </row>
    <row r="2" spans="2:5" s="1279" customFormat="1" ht="12.75" customHeight="1" x14ac:dyDescent="0.2">
      <c r="B2" s="2466">
        <f>'Single Audit Cover'!E7</f>
        <v>24047018016</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purl.org/dc/terms/"/>
    <ds:schemaRef ds:uri="4d435f69-8686-490b-bd6d-b153bf22ab50"/>
    <ds:schemaRef ds:uri="http://schemas.microsoft.com/sharepoint/v3"/>
    <ds:schemaRef ds:uri="http://www.w3.org/XML/1998/namespace"/>
    <ds:schemaRef ds:uri="http://purl.org/dc/elements/1.1/"/>
    <ds:schemaRef ds:uri="d21dc803-237d-4c68-8692-8d731fd29118"/>
    <ds:schemaRef ds:uri="http://schemas.microsoft.com/office/2006/metadata/properties"/>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2019-09-25T13:48:07Z</cp:lastPrinted>
  <dcterms:created xsi:type="dcterms:W3CDTF">2003-10-29T19:06:34Z</dcterms:created>
  <dcterms:modified xsi:type="dcterms:W3CDTF">2019-10-29T14:00:59Z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6275e8ad-28dc-4029-9ed8-c12198e94086</vt:lpwstr>
  </property>
</Properties>
</file>